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信息" sheetId="80" r:id="rId29"/>
    <sheet name="租金案例" sheetId="81" r:id="rId30"/>
    <sheet name="售价案例" sheetId="82"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19" i="1" l="1"/>
  <c r="C34" i="34" l="1"/>
  <c r="E105" i="34"/>
  <c r="F105" i="34" s="1"/>
  <c r="G105" i="34" s="1"/>
  <c r="H105" i="34" s="1"/>
  <c r="I105" i="34" s="1"/>
  <c r="D105" i="34"/>
  <c r="E67" i="34"/>
  <c r="D67" i="34" s="1"/>
  <c r="C67" i="34" s="1"/>
  <c r="F67" i="34"/>
  <c r="C14" i="74"/>
  <c r="B14" i="74"/>
  <c r="D33" i="43"/>
  <c r="N18" i="1" l="1"/>
  <c r="J49" i="67" s="1"/>
  <c r="B56" i="1"/>
  <c r="B21" i="1"/>
  <c r="F19" i="6"/>
  <c r="I15" i="3"/>
  <c r="I14" i="3"/>
  <c r="C14" i="3"/>
  <c r="C15" i="3"/>
  <c r="C13" i="3"/>
  <c r="I13" i="3"/>
  <c r="A3" i="3"/>
  <c r="F7" i="80"/>
  <c r="I12" i="79"/>
  <c r="Y6" i="1" l="1"/>
  <c r="C37" i="34"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6" i="79"/>
  <c r="AD37" i="79"/>
  <c r="S33" i="79"/>
  <c r="AG33" i="79" s="1"/>
  <c r="S35" i="79"/>
  <c r="AG35" i="79" s="1"/>
  <c r="S34" i="79"/>
  <c r="AG34" i="79" s="1"/>
  <c r="AA31" i="79"/>
  <c r="AD31" i="79" s="1"/>
  <c r="T40" i="79"/>
  <c r="U46" i="79"/>
  <c r="AI46" i="79" s="1"/>
  <c r="AD47" i="79"/>
  <c r="S48" i="79"/>
  <c r="AG48"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AH33" i="79"/>
  <c r="W33" i="79"/>
  <c r="AK33" i="79" s="1"/>
  <c r="W40" i="79"/>
  <c r="AK40" i="79" s="1"/>
  <c r="AH40" i="79"/>
  <c r="W23" i="79"/>
  <c r="AK23" i="79" s="1"/>
  <c r="AH23" i="79"/>
  <c r="W12" i="79"/>
  <c r="AK12" i="79" s="1"/>
  <c r="AH12" i="79"/>
  <c r="W21" i="79"/>
  <c r="AK21" i="79" s="1"/>
  <c r="AH21" i="79"/>
  <c r="W47" i="79"/>
  <c r="AK47" i="79" s="1"/>
  <c r="AH47" i="79"/>
  <c r="W45" i="79"/>
  <c r="AK45" i="79" s="1"/>
  <c r="AH45" i="79"/>
  <c r="W49" i="79"/>
  <c r="AK49" i="79" s="1"/>
  <c r="AH49" i="79"/>
  <c r="W38" i="79"/>
  <c r="AK38" i="79" s="1"/>
  <c r="AH38"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H25" i="40"/>
  <c r="J25" i="40"/>
  <c r="H29" i="39"/>
  <c r="AB29" i="39" s="1"/>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U29" i="39"/>
  <c r="W29" i="39"/>
  <c r="W18" i="36"/>
  <c r="U21" i="37"/>
  <c r="S21" i="37"/>
  <c r="U21" i="34"/>
  <c r="S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H47" i="34" s="1"/>
  <c r="B129" i="34"/>
  <c r="B127" i="34"/>
  <c r="B99" i="34"/>
  <c r="B97" i="34"/>
  <c r="H31" i="34" s="1"/>
  <c r="B95" i="34"/>
  <c r="B93" i="34"/>
  <c r="B75" i="34"/>
  <c r="B73" i="34"/>
  <c r="F13" i="34" s="1"/>
  <c r="B71" i="34"/>
  <c r="J12" i="34" s="1"/>
  <c r="W12" i="34" s="1"/>
  <c r="B130" i="33"/>
  <c r="B128" i="33"/>
  <c r="B126" i="33"/>
  <c r="F44" i="33" s="1"/>
  <c r="B98" i="33"/>
  <c r="B96" i="33"/>
  <c r="B94" i="33"/>
  <c r="B74" i="33"/>
  <c r="J14" i="33" s="1"/>
  <c r="W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H9" i="34"/>
  <c r="AB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S31" i="35"/>
  <c r="U34" i="35"/>
  <c r="F36" i="34"/>
  <c r="AA36" i="34" s="1"/>
  <c r="J35" i="34"/>
  <c r="AC35" i="34" s="1"/>
  <c r="U34" i="34"/>
  <c r="H39" i="33"/>
  <c r="AB39" i="33" s="1"/>
  <c r="U33" i="33"/>
  <c r="W33" i="33"/>
  <c r="W39" i="33"/>
  <c r="S27" i="35"/>
  <c r="F11" i="40"/>
  <c r="H11" i="40"/>
  <c r="AB11" i="40"/>
  <c r="W8"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F34" i="36"/>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W36" i="34"/>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J42" i="21"/>
  <c r="AC42" i="21"/>
  <c r="H42" i="21"/>
  <c r="U42" i="21" s="1"/>
  <c r="J44" i="34"/>
  <c r="W44" i="34" s="1"/>
  <c r="F44" i="34"/>
  <c r="S44" i="34" s="1"/>
  <c r="J10" i="35"/>
  <c r="AC10" i="35" s="1"/>
  <c r="F14" i="21"/>
  <c r="S14" i="21" s="1"/>
  <c r="J44" i="21"/>
  <c r="AC44" i="21" s="1"/>
  <c r="H44" i="21"/>
  <c r="U44" i="21" s="1"/>
  <c r="F44" i="21"/>
  <c r="AA44" i="21" s="1"/>
  <c r="H46" i="21"/>
  <c r="U46" i="21" s="1"/>
  <c r="J46" i="21"/>
  <c r="F46" i="21"/>
  <c r="AA46" i="21"/>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F14" i="34"/>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U13" i="36" s="1"/>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AB37" i="37" s="1"/>
  <c r="U37" i="37"/>
  <c r="H40" i="37"/>
  <c r="U40" i="37" s="1"/>
  <c r="J40" i="37"/>
  <c r="AC40" i="37"/>
  <c r="F40" i="37"/>
  <c r="AA40" i="37" s="1"/>
  <c r="AC12" i="40"/>
  <c r="W12" i="40"/>
  <c r="H14" i="33"/>
  <c r="H30" i="33"/>
  <c r="AB30" i="33"/>
  <c r="F30" i="33"/>
  <c r="J30" i="33"/>
  <c r="J44" i="33"/>
  <c r="W44" i="33" s="1"/>
  <c r="J46" i="33"/>
  <c r="AC46" i="33"/>
  <c r="F46" i="33"/>
  <c r="AA46" i="33" s="1"/>
  <c r="H46" i="33"/>
  <c r="AB46" i="33"/>
  <c r="J13" i="34"/>
  <c r="W13" i="34" s="1"/>
  <c r="J29" i="34"/>
  <c r="F29" i="34"/>
  <c r="S29" i="34" s="1"/>
  <c r="H29" i="34"/>
  <c r="AB29" i="34" s="1"/>
  <c r="H45" i="34"/>
  <c r="U45" i="34" s="1"/>
  <c r="J45" i="34"/>
  <c r="W45" i="34"/>
  <c r="F45" i="34"/>
  <c r="S45" i="34" s="1"/>
  <c r="F13" i="35"/>
  <c r="J13" i="35"/>
  <c r="AC13" i="35"/>
  <c r="H13" i="35"/>
  <c r="U13" i="35" s="1"/>
  <c r="W25" i="35"/>
  <c r="F25" i="35"/>
  <c r="S25" i="35" s="1"/>
  <c r="H25" i="35"/>
  <c r="AB25" i="35" s="1"/>
  <c r="J35" i="35"/>
  <c r="AC35" i="35" s="1"/>
  <c r="F35" i="35"/>
  <c r="AA35" i="35" s="1"/>
  <c r="H35" i="35"/>
  <c r="J25" i="36"/>
  <c r="W25" i="36" s="1"/>
  <c r="F25" i="36"/>
  <c r="S25" i="36" s="1"/>
  <c r="H25" i="36"/>
  <c r="AB25" i="36"/>
  <c r="H13" i="37"/>
  <c r="F13" i="37"/>
  <c r="S13" i="37" s="1"/>
  <c r="J13" i="37"/>
  <c r="W13" i="37" s="1"/>
  <c r="F28" i="37"/>
  <c r="AA28" i="37" s="1"/>
  <c r="J28" i="37"/>
  <c r="AC28" i="37" s="1"/>
  <c r="H28" i="37"/>
  <c r="H38" i="37"/>
  <c r="AB38" i="37"/>
  <c r="J38" i="37"/>
  <c r="AC38" i="37" s="1"/>
  <c r="F38" i="37"/>
  <c r="S38" i="37"/>
  <c r="F43" i="39"/>
  <c r="AA43" i="39" s="1"/>
  <c r="H43" i="39"/>
  <c r="J14" i="39"/>
  <c r="AC14" i="39" s="1"/>
  <c r="F14" i="39"/>
  <c r="AA14" i="39" s="1"/>
  <c r="H14" i="39"/>
  <c r="F12" i="40"/>
  <c r="S12" i="40" s="1"/>
  <c r="H12" i="40"/>
  <c r="AB12" i="40" s="1"/>
  <c r="H30" i="40"/>
  <c r="U30" i="40" s="1"/>
  <c r="F33" i="40"/>
  <c r="H33" i="40"/>
  <c r="AB33" i="40" s="1"/>
  <c r="U33" i="40"/>
  <c r="J35" i="40"/>
  <c r="AC35" i="40" s="1"/>
  <c r="J37" i="40"/>
  <c r="AC37" i="40"/>
  <c r="H13" i="40"/>
  <c r="J13" i="40"/>
  <c r="W13" i="40" s="1"/>
  <c r="F13" i="40"/>
  <c r="AA13" i="40" s="1"/>
  <c r="F14" i="37"/>
  <c r="AA14" i="37" s="1"/>
  <c r="F27" i="37"/>
  <c r="AA27" i="37" s="1"/>
  <c r="F13" i="39"/>
  <c r="J13" i="39"/>
  <c r="W13" i="39" s="1"/>
  <c r="H13" i="39"/>
  <c r="AB13" i="39" s="1"/>
  <c r="H14" i="40"/>
  <c r="AB14" i="40"/>
  <c r="J14" i="40"/>
  <c r="W14" i="40" s="1"/>
  <c r="F14" i="40"/>
  <c r="J14" i="37"/>
  <c r="J27" i="37"/>
  <c r="AC27" i="37"/>
  <c r="U46" i="33"/>
  <c r="J36" i="37"/>
  <c r="AC36" i="37" s="1"/>
  <c r="J10" i="36"/>
  <c r="AC10" i="36" s="1"/>
  <c r="S11" i="36"/>
  <c r="AB46" i="34"/>
  <c r="S45" i="33"/>
  <c r="AB45" i="33"/>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4" i="3"/>
  <c r="BA562" i="3"/>
  <c r="BA558" i="3"/>
  <c r="BA556" i="3"/>
  <c r="BA554" i="3"/>
  <c r="AZ554" i="3"/>
  <c r="BA552" i="3"/>
  <c r="AZ552" i="3" s="1"/>
  <c r="BA548" i="3"/>
  <c r="BA546" i="3"/>
  <c r="AZ546" i="3" s="1"/>
  <c r="BA544" i="3"/>
  <c r="BA542" i="3"/>
  <c r="BA540" i="3"/>
  <c r="BA536" i="3"/>
  <c r="AZ536" i="3" s="1"/>
  <c r="BA532" i="3"/>
  <c r="BA528" i="3"/>
  <c r="BA526" i="3"/>
  <c r="BA524" i="3"/>
  <c r="BA520" i="3"/>
  <c r="BA518" i="3"/>
  <c r="BA516" i="3"/>
  <c r="BA512" i="3"/>
  <c r="AZ512" i="3" s="1"/>
  <c r="BA510" i="3"/>
  <c r="BA508" i="3"/>
  <c r="BA506" i="3"/>
  <c r="BA504" i="3"/>
  <c r="BA502" i="3"/>
  <c r="BA500" i="3"/>
  <c r="BA498" i="3"/>
  <c r="AZ498" i="3" s="1"/>
  <c r="BA496" i="3"/>
  <c r="BA494" i="3"/>
  <c r="BA587" i="3"/>
  <c r="BA583" i="3"/>
  <c r="BA581" i="3"/>
  <c r="BA579" i="3"/>
  <c r="BA575" i="3"/>
  <c r="BA573" i="3"/>
  <c r="BA571" i="3"/>
  <c r="BA567" i="3"/>
  <c r="BA565" i="3"/>
  <c r="BA563" i="3"/>
  <c r="AZ563" i="3" s="1"/>
  <c r="BA559" i="3"/>
  <c r="BA555" i="3"/>
  <c r="BA553" i="3"/>
  <c r="BA547" i="3"/>
  <c r="BA545" i="3"/>
  <c r="BA543" i="3"/>
  <c r="BA539" i="3"/>
  <c r="BA537" i="3"/>
  <c r="BA535" i="3"/>
  <c r="BA531" i="3"/>
  <c r="BA529" i="3"/>
  <c r="BA527" i="3"/>
  <c r="AZ527" i="3" s="1"/>
  <c r="BA523" i="3"/>
  <c r="BA519" i="3"/>
  <c r="BA517" i="3"/>
  <c r="BA513" i="3"/>
  <c r="AZ513" i="3" s="1"/>
  <c r="BA511" i="3"/>
  <c r="BA507" i="3"/>
  <c r="BA503" i="3"/>
  <c r="AZ503" i="3" s="1"/>
  <c r="BA501" i="3"/>
  <c r="AZ501" i="3" s="1"/>
  <c r="BA499" i="3"/>
  <c r="BA495" i="3"/>
  <c r="BA493" i="3"/>
  <c r="G583" i="3"/>
  <c r="G581" i="3"/>
  <c r="G579" i="3"/>
  <c r="G577" i="3"/>
  <c r="G573" i="3"/>
  <c r="G571" i="3"/>
  <c r="G569" i="3"/>
  <c r="G565" i="3"/>
  <c r="G563" i="3"/>
  <c r="G561" i="3"/>
  <c r="BA557" i="3"/>
  <c r="AZ557" i="3" s="1"/>
  <c r="AC557" i="3"/>
  <c r="G557" i="3" s="1"/>
  <c r="BQ557" i="3"/>
  <c r="BL557" i="3" s="1"/>
  <c r="BQ583" i="3"/>
  <c r="BQ581" i="3"/>
  <c r="BL581" i="3"/>
  <c r="BQ579" i="3"/>
  <c r="BQ577" i="3"/>
  <c r="BL577" i="3" s="1"/>
  <c r="BQ575" i="3"/>
  <c r="BL575" i="3"/>
  <c r="BQ573" i="3"/>
  <c r="BQ571" i="3"/>
  <c r="BL571" i="3"/>
  <c r="BQ569" i="3"/>
  <c r="BL569" i="3" s="1"/>
  <c r="BQ567" i="3"/>
  <c r="BL567" i="3"/>
  <c r="BQ565" i="3"/>
  <c r="BL565" i="3" s="1"/>
  <c r="AZ565" i="3"/>
  <c r="BQ563" i="3"/>
  <c r="BL563" i="3"/>
  <c r="BQ561" i="3"/>
  <c r="BL561" i="3"/>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AZ535" i="3" s="1"/>
  <c r="BQ533" i="3"/>
  <c r="BL533" i="3"/>
  <c r="BQ531" i="3"/>
  <c r="BQ529" i="3"/>
  <c r="BL529" i="3" s="1"/>
  <c r="BQ527" i="3"/>
  <c r="BL527" i="3" s="1"/>
  <c r="BQ525" i="3"/>
  <c r="BL525" i="3" s="1"/>
  <c r="BQ523" i="3"/>
  <c r="BL523" i="3" s="1"/>
  <c r="AC521" i="3"/>
  <c r="G521" i="3"/>
  <c r="BQ521" i="3"/>
  <c r="BL520" i="3"/>
  <c r="AZ520" i="3"/>
  <c r="G519" i="3"/>
  <c r="G515" i="3"/>
  <c r="G513" i="3"/>
  <c r="G511" i="3"/>
  <c r="BQ519" i="3"/>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s="1"/>
  <c r="F37" i="37"/>
  <c r="F31" i="40"/>
  <c r="AA31" i="40" s="1"/>
  <c r="H31" i="40"/>
  <c r="U31" i="40" s="1"/>
  <c r="F32" i="40"/>
  <c r="S32" i="40"/>
  <c r="H32" i="40"/>
  <c r="J36" i="40"/>
  <c r="W36" i="40"/>
  <c r="H19" i="37"/>
  <c r="H42" i="33"/>
  <c r="AB42" i="33" s="1"/>
  <c r="J43" i="33"/>
  <c r="AC43" i="33"/>
  <c r="S28" i="31"/>
  <c r="S27" i="31"/>
  <c r="S26" i="31"/>
  <c r="U14" i="40"/>
  <c r="W23" i="35"/>
  <c r="U26" i="37"/>
  <c r="AA13" i="33"/>
  <c r="AC31" i="33"/>
  <c r="AC45" i="33"/>
  <c r="U11" i="33"/>
  <c r="U19" i="21"/>
  <c r="AB38" i="21"/>
  <c r="F43" i="33"/>
  <c r="S43" i="33" s="1"/>
  <c r="AA43" i="33"/>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s="1"/>
  <c r="J15" i="37"/>
  <c r="W15" i="37"/>
  <c r="AT6" i="3"/>
  <c r="H19" i="40"/>
  <c r="F88" i="40"/>
  <c r="G88" i="40" s="1"/>
  <c r="F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105" i="3"/>
  <c r="AZ120" i="3"/>
  <c r="G534"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BM5" i="3"/>
  <c r="BJ5" i="3"/>
  <c r="BH5" i="3"/>
  <c r="BD5" i="3"/>
  <c r="AZ325" i="3"/>
  <c r="AZ496" i="3"/>
  <c r="G548" i="3"/>
  <c r="G520" i="3"/>
  <c r="G502" i="3"/>
  <c r="BS5" i="3"/>
  <c r="BN5" i="3"/>
  <c r="BK5" i="3"/>
  <c r="BI5" i="3"/>
  <c r="BE5" i="3"/>
  <c r="BC5" i="3"/>
  <c r="G17" i="3"/>
  <c r="BA17" i="3"/>
  <c r="BT5" i="3"/>
  <c r="AZ350" i="3"/>
  <c r="BA15" i="3"/>
  <c r="BR5" i="3"/>
  <c r="G509" i="3"/>
  <c r="BL493" i="3"/>
  <c r="AZ493" i="3"/>
  <c r="U36" i="40"/>
  <c r="F83" i="43"/>
  <c r="H85" i="43" s="1"/>
  <c r="F50" i="43"/>
  <c r="H54" i="43" s="1"/>
  <c r="F72" i="43"/>
  <c r="H75" i="43" s="1"/>
  <c r="U17" i="39"/>
  <c r="S14" i="35"/>
  <c r="U43" i="21"/>
  <c r="U35" i="21"/>
  <c r="AC35" i="21"/>
  <c r="AC11" i="39"/>
  <c r="W37" i="37"/>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4" i="3"/>
  <c r="F23" i="39"/>
  <c r="AA23" i="39"/>
  <c r="H27" i="36"/>
  <c r="U27" i="36" s="1"/>
  <c r="F27" i="36"/>
  <c r="AA27" i="36" s="1"/>
  <c r="H33" i="34"/>
  <c r="U33" i="34" s="1"/>
  <c r="F32" i="37"/>
  <c r="AA32" i="37" s="1"/>
  <c r="F20" i="36"/>
  <c r="AA20" i="36" s="1"/>
  <c r="J33" i="34"/>
  <c r="AC33" i="34" s="1"/>
  <c r="H23" i="39"/>
  <c r="U23" i="39" s="1"/>
  <c r="D48" i="9"/>
  <c r="M52" i="9" s="1"/>
  <c r="K9" i="1"/>
  <c r="M9" i="1" s="1"/>
  <c r="D93" i="9"/>
  <c r="K6" i="1"/>
  <c r="AP6" i="1" s="1"/>
  <c r="AB33" i="36"/>
  <c r="AC12" i="39"/>
  <c r="AZ465" i="3"/>
  <c r="W12" i="33"/>
  <c r="AC12" i="33"/>
  <c r="AA32" i="36"/>
  <c r="S32" i="36"/>
  <c r="BL14" i="3"/>
  <c r="U30" i="33"/>
  <c r="W28" i="37"/>
  <c r="S19" i="39"/>
  <c r="F12" i="33"/>
  <c r="H12" i="39"/>
  <c r="AB12" i="39"/>
  <c r="F39" i="40"/>
  <c r="AA39" i="40" s="1"/>
  <c r="BA14" i="3"/>
  <c r="AZ254" i="3"/>
  <c r="AZ149" i="3"/>
  <c r="AZ173" i="3"/>
  <c r="AZ181" i="3"/>
  <c r="B12" i="1"/>
  <c r="E12" i="1" s="1"/>
  <c r="B10" i="1"/>
  <c r="E10" i="1" s="1"/>
  <c r="K12" i="1"/>
  <c r="M12" i="1" s="1"/>
  <c r="S13" i="1"/>
  <c r="AR13" i="1" s="1"/>
  <c r="R13" i="1"/>
  <c r="J51" i="67"/>
  <c r="C42" i="1"/>
  <c r="C24" i="12" s="1"/>
  <c r="AC34" i="33"/>
  <c r="AA34" i="33"/>
  <c r="B41" i="1"/>
  <c r="F52" i="9" s="1"/>
  <c r="AB37" i="40"/>
  <c r="S35" i="40"/>
  <c r="AC36" i="40"/>
  <c r="W38" i="40"/>
  <c r="AA32" i="40"/>
  <c r="S17" i="40"/>
  <c r="S23" i="40"/>
  <c r="AC17" i="40"/>
  <c r="AC15" i="40"/>
  <c r="AB27" i="40"/>
  <c r="S30" i="40"/>
  <c r="S28" i="40"/>
  <c r="AA27" i="40"/>
  <c r="U21" i="40"/>
  <c r="U37" i="39"/>
  <c r="S37" i="39"/>
  <c r="F32" i="39"/>
  <c r="F106" i="39"/>
  <c r="G106" i="39" s="1"/>
  <c r="H106" i="39" s="1"/>
  <c r="I106" i="39" s="1"/>
  <c r="J106" i="39" s="1"/>
  <c r="K106" i="39" s="1"/>
  <c r="L106" i="39" s="1"/>
  <c r="M106" i="39" s="1"/>
  <c r="U25" i="39"/>
  <c r="AB27" i="39"/>
  <c r="U31" i="39"/>
  <c r="J21" i="39"/>
  <c r="W21" i="39" s="1"/>
  <c r="F21" i="39"/>
  <c r="H21" i="39"/>
  <c r="AB21" i="39" s="1"/>
  <c r="W19" i="39"/>
  <c r="U19" i="39"/>
  <c r="S17" i="39"/>
  <c r="AA12" i="39"/>
  <c r="S9" i="39"/>
  <c r="U12" i="39"/>
  <c r="S23" i="36"/>
  <c r="S33" i="36"/>
  <c r="AA26" i="36"/>
  <c r="AC26" i="36"/>
  <c r="AA22" i="36"/>
  <c r="W14" i="36"/>
  <c r="U22" i="36"/>
  <c r="S16" i="36"/>
  <c r="AA25" i="36"/>
  <c r="U23" i="36"/>
  <c r="AB20" i="36"/>
  <c r="U16" i="36"/>
  <c r="S14" i="36"/>
  <c r="AA25" i="35"/>
  <c r="S23" i="35"/>
  <c r="W24" i="35"/>
  <c r="U29" i="35"/>
  <c r="U28" i="35"/>
  <c r="AB27" i="35"/>
  <c r="U32" i="35"/>
  <c r="AA33" i="35"/>
  <c r="AC30" i="35"/>
  <c r="S32" i="35"/>
  <c r="S28" i="35"/>
  <c r="AB16" i="35"/>
  <c r="U22" i="35"/>
  <c r="S20" i="35"/>
  <c r="AC20" i="35"/>
  <c r="S22" i="35"/>
  <c r="U14" i="35"/>
  <c r="AA11" i="35"/>
  <c r="AC9" i="35"/>
  <c r="W13" i="35"/>
  <c r="F9" i="35"/>
  <c r="S9" i="35" s="1"/>
  <c r="H9" i="35"/>
  <c r="U9" i="35" s="1"/>
  <c r="AB40" i="37"/>
  <c r="W27" i="37"/>
  <c r="U29" i="37"/>
  <c r="S32" i="37"/>
  <c r="W30" i="37"/>
  <c r="S36" i="37"/>
  <c r="AA38" i="37"/>
  <c r="U32" i="37"/>
  <c r="W38" i="37"/>
  <c r="AC35" i="37"/>
  <c r="AC15" i="37"/>
  <c r="J17" i="37"/>
  <c r="W17" i="37" s="1"/>
  <c r="F17" i="37"/>
  <c r="AA17" i="37" s="1"/>
  <c r="AB17" i="37"/>
  <c r="F75" i="37"/>
  <c r="F19" i="37"/>
  <c r="S19" i="37" s="1"/>
  <c r="F79" i="37"/>
  <c r="G79" i="37" s="1"/>
  <c r="F23" i="37"/>
  <c r="S23" i="37" s="1"/>
  <c r="U23" i="37"/>
  <c r="AC13" i="37"/>
  <c r="AA13" i="37"/>
  <c r="H10" i="37"/>
  <c r="AB10" i="37" s="1"/>
  <c r="F63" i="37"/>
  <c r="F11" i="37"/>
  <c r="S11" i="37" s="1"/>
  <c r="AC39" i="34"/>
  <c r="W41" i="34"/>
  <c r="AC42" i="34"/>
  <c r="U39" i="34"/>
  <c r="U28" i="34"/>
  <c r="AA29" i="34"/>
  <c r="H10" i="34"/>
  <c r="AB10" i="34" s="1"/>
  <c r="F11" i="34"/>
  <c r="S11" i="34" s="1"/>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H25" i="33"/>
  <c r="F25" i="33"/>
  <c r="J23" i="33"/>
  <c r="AC23" i="33" s="1"/>
  <c r="F85" i="33"/>
  <c r="H23" i="33"/>
  <c r="F81" i="33"/>
  <c r="F19" i="33"/>
  <c r="S19" i="33" s="1"/>
  <c r="W19" i="33"/>
  <c r="J17" i="33"/>
  <c r="F79" i="33"/>
  <c r="G79" i="33" s="1"/>
  <c r="S15" i="33"/>
  <c r="W15" i="33"/>
  <c r="U9" i="33"/>
  <c r="J10" i="33"/>
  <c r="W10" i="33" s="1"/>
  <c r="H10" i="33"/>
  <c r="U10" i="33" s="1"/>
  <c r="AC11" i="33"/>
  <c r="W43" i="21"/>
  <c r="W36" i="21"/>
  <c r="W41" i="21"/>
  <c r="AB39" i="21"/>
  <c r="AA43" i="21"/>
  <c r="S39"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9"/>
  <c r="G1" i="67"/>
  <c r="W23" i="40"/>
  <c r="AB31" i="40"/>
  <c r="S37" i="40"/>
  <c r="AB28" i="40"/>
  <c r="W28" i="40"/>
  <c r="W19" i="40"/>
  <c r="W27" i="40"/>
  <c r="S36" i="40"/>
  <c r="W37" i="40"/>
  <c r="AC14" i="40"/>
  <c r="S13" i="40"/>
  <c r="AA15" i="40"/>
  <c r="U11" i="40"/>
  <c r="S31" i="40"/>
  <c r="U15" i="40"/>
  <c r="AB17" i="40"/>
  <c r="S8" i="40"/>
  <c r="AA39" i="39"/>
  <c r="AC41" i="39"/>
  <c r="U42" i="39"/>
  <c r="W25" i="39"/>
  <c r="AC25" i="39"/>
  <c r="U13" i="39"/>
  <c r="AA13" i="39"/>
  <c r="S13" i="39"/>
  <c r="S14" i="39"/>
  <c r="U43" i="39"/>
  <c r="AB43" i="39"/>
  <c r="AB11" i="39"/>
  <c r="AA27" i="39"/>
  <c r="S27" i="39"/>
  <c r="W17" i="39"/>
  <c r="W31" i="39"/>
  <c r="AC31" i="39"/>
  <c r="S23" i="39"/>
  <c r="AA45" i="39"/>
  <c r="AB39" i="39"/>
  <c r="W34" i="39"/>
  <c r="U38" i="39"/>
  <c r="S8" i="39"/>
  <c r="S20" i="36"/>
  <c r="U32" i="36"/>
  <c r="AC20" i="36"/>
  <c r="U25" i="36"/>
  <c r="AB28" i="36"/>
  <c r="AA13" i="36"/>
  <c r="W9" i="36"/>
  <c r="W22" i="36"/>
  <c r="W23" i="36"/>
  <c r="AC25" i="35"/>
  <c r="U25" i="35"/>
  <c r="S24" i="35"/>
  <c r="S35" i="35"/>
  <c r="AA16" i="35"/>
  <c r="AA35" i="37"/>
  <c r="W36" i="37"/>
  <c r="S27" i="37"/>
  <c r="U36" i="37"/>
  <c r="S40" i="37"/>
  <c r="U38" i="37"/>
  <c r="AC34" i="37"/>
  <c r="AB35" i="37"/>
  <c r="AA31" i="37"/>
  <c r="AA29" i="37"/>
  <c r="U8" i="37"/>
  <c r="AA40" i="34"/>
  <c r="AB40" i="34"/>
  <c r="AC45" i="34"/>
  <c r="AB45" i="34"/>
  <c r="AB36" i="34"/>
  <c r="AC32" i="34"/>
  <c r="AC29" i="34"/>
  <c r="W29" i="34"/>
  <c r="W46" i="34"/>
  <c r="AC46" i="34"/>
  <c r="S32" i="34"/>
  <c r="AA32" i="34"/>
  <c r="AB30" i="34"/>
  <c r="S37" i="34"/>
  <c r="U38" i="34"/>
  <c r="AA19" i="34"/>
  <c r="S36" i="34"/>
  <c r="U9" i="34"/>
  <c r="S46" i="34"/>
  <c r="AA46" i="34"/>
  <c r="AB32" i="34"/>
  <c r="U14" i="34"/>
  <c r="AB14" i="34"/>
  <c r="U12" i="34"/>
  <c r="AB12" i="34"/>
  <c r="AC37" i="33"/>
  <c r="W46" i="33"/>
  <c r="U39" i="33"/>
  <c r="U38" i="33"/>
  <c r="S33" i="33"/>
  <c r="AB34" i="33"/>
  <c r="S30" i="33"/>
  <c r="AA30" i="33"/>
  <c r="AC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17" i="21"/>
  <c r="W25" i="21"/>
  <c r="S17" i="21"/>
  <c r="AA15" i="21"/>
  <c r="AC26" i="21"/>
  <c r="AB29" i="21"/>
  <c r="AC34" i="21"/>
  <c r="AB36" i="21"/>
  <c r="W30" i="40"/>
  <c r="C19" i="39"/>
  <c r="C15" i="40"/>
  <c r="C17" i="40"/>
  <c r="C23" i="40"/>
  <c r="C21" i="40"/>
  <c r="B56" i="43"/>
  <c r="B67" i="43"/>
  <c r="B51" i="43"/>
  <c r="B58" i="43"/>
  <c r="B62" i="43"/>
  <c r="B65" i="43"/>
  <c r="B69" i="43"/>
  <c r="D23" i="15"/>
  <c r="D22" i="15"/>
  <c r="E4" i="4"/>
  <c r="B5" i="62" s="1"/>
  <c r="B73" i="72" s="1"/>
  <c r="C4" i="4"/>
  <c r="F30" i="11"/>
  <c r="C48" i="11" s="1"/>
  <c r="F28" i="67"/>
  <c r="F32" i="67"/>
  <c r="F60" i="67" s="1"/>
  <c r="F30" i="69"/>
  <c r="F48" i="69" s="1"/>
  <c r="F28" i="15"/>
  <c r="S12" i="33"/>
  <c r="AA12" i="33"/>
  <c r="F54" i="9"/>
  <c r="J32" i="39"/>
  <c r="W32" i="39" s="1"/>
  <c r="H32" i="39"/>
  <c r="AB32" i="39" s="1"/>
  <c r="AA32" i="39"/>
  <c r="S32" i="39"/>
  <c r="U21" i="39"/>
  <c r="AA21" i="39"/>
  <c r="S21" i="39"/>
  <c r="AC17" i="37"/>
  <c r="S17" i="37"/>
  <c r="J19" i="37"/>
  <c r="W19" i="37" s="1"/>
  <c r="G75" i="37"/>
  <c r="AA19" i="37"/>
  <c r="J23"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D6" i="52"/>
  <c r="AP7" i="1"/>
  <c r="AB45" i="21"/>
  <c r="AB9" i="21"/>
  <c r="U9" i="21"/>
  <c r="AA32" i="21"/>
  <c r="S32" i="21"/>
  <c r="AC9" i="21"/>
  <c r="AB32" i="21"/>
  <c r="U32" i="21"/>
  <c r="U32" i="39"/>
  <c r="AC32" i="39"/>
  <c r="W23" i="37"/>
  <c r="AC23" i="37"/>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E11" i="76"/>
  <c r="L47" i="67"/>
  <c r="AO13" i="1"/>
  <c r="F4" i="73"/>
  <c r="F9" i="67"/>
  <c r="F42" i="67"/>
  <c r="F6" i="67"/>
  <c r="B13" i="76"/>
  <c r="E7" i="76"/>
  <c r="B10" i="76"/>
  <c r="B9" i="76"/>
  <c r="E2" i="69"/>
  <c r="B7" i="76"/>
  <c r="F13" i="67"/>
  <c r="E2" i="68"/>
  <c r="F26" i="67"/>
  <c r="M9" i="67"/>
  <c r="F7" i="73"/>
  <c r="E9" i="76"/>
  <c r="F38" i="67"/>
  <c r="F40" i="67"/>
  <c r="F8" i="67"/>
  <c r="F3" i="73"/>
  <c r="F37" i="67"/>
  <c r="M26" i="67"/>
  <c r="E10" i="76"/>
  <c r="L48" i="67"/>
  <c r="J15" i="67"/>
  <c r="F7" i="67"/>
  <c r="F43" i="67"/>
  <c r="E8" i="76"/>
  <c r="M6" i="67"/>
  <c r="M22" i="67"/>
  <c r="M23" i="67"/>
  <c r="F36" i="67"/>
  <c r="M28" i="67"/>
  <c r="F5" i="73"/>
  <c r="M29" i="67"/>
  <c r="C76" i="67"/>
  <c r="E13" i="76"/>
  <c r="B12" i="76"/>
  <c r="E12" i="76"/>
  <c r="B8" i="76"/>
  <c r="F6" i="73"/>
  <c r="M24" i="67"/>
  <c r="B11" i="76"/>
  <c r="F16" i="67"/>
  <c r="F20" i="31"/>
  <c r="C5" i="68" l="1"/>
  <c r="E7" i="34"/>
  <c r="G7" i="34"/>
  <c r="I7" i="34"/>
  <c r="C18" i="9"/>
  <c r="D18" i="9" s="1"/>
  <c r="AB17" i="34"/>
  <c r="U43" i="34"/>
  <c r="AC43" i="34"/>
  <c r="AB35" i="34"/>
  <c r="S35" i="34"/>
  <c r="AA33" i="34"/>
  <c r="AB33" i="34"/>
  <c r="U27" i="34"/>
  <c r="AC27" i="34"/>
  <c r="W25" i="34"/>
  <c r="U25" i="34"/>
  <c r="AB8" i="34"/>
  <c r="AA8" i="34"/>
  <c r="AC44" i="34"/>
  <c r="AA44" i="34"/>
  <c r="S43" i="34"/>
  <c r="W35" i="34"/>
  <c r="W33" i="34"/>
  <c r="AA25" i="34"/>
  <c r="S23" i="34"/>
  <c r="AC23" i="34"/>
  <c r="AB23" i="34"/>
  <c r="AC17" i="34"/>
  <c r="F78" i="34"/>
  <c r="G78" i="34" s="1"/>
  <c r="J15" i="34"/>
  <c r="W15" i="34" s="1"/>
  <c r="H15" i="34"/>
  <c r="AB15" i="34" s="1"/>
  <c r="F15" i="34"/>
  <c r="AA15" i="34" s="1"/>
  <c r="U15" i="34"/>
  <c r="W8" i="34"/>
  <c r="D68" i="9"/>
  <c r="M18" i="15"/>
  <c r="M18" i="67"/>
  <c r="F30" i="68"/>
  <c r="F48" i="68" s="1"/>
  <c r="F32" i="15"/>
  <c r="F60" i="15" s="1"/>
  <c r="C21" i="68"/>
  <c r="C40" i="68"/>
  <c r="C40" i="69"/>
  <c r="G1" i="15"/>
  <c r="B6" i="1"/>
  <c r="E6" i="1" s="1"/>
  <c r="BB5" i="3"/>
  <c r="H5" i="3"/>
  <c r="J1" i="73"/>
  <c r="A15" i="62"/>
  <c r="B61" i="72" s="1"/>
  <c r="AA13" i="34"/>
  <c r="S13" i="34"/>
  <c r="U47" i="34"/>
  <c r="AB47" i="34"/>
  <c r="AZ175" i="3"/>
  <c r="AC23" i="21"/>
  <c r="AZ537" i="3"/>
  <c r="AB14" i="39"/>
  <c r="U14" i="39"/>
  <c r="W11" i="40"/>
  <c r="AC11" i="40"/>
  <c r="AA23" i="37"/>
  <c r="AZ123" i="3"/>
  <c r="U14" i="33"/>
  <c r="AB14" i="33"/>
  <c r="W14" i="34"/>
  <c r="AC14" i="34"/>
  <c r="AC27" i="21"/>
  <c r="W27" i="21"/>
  <c r="S13" i="21"/>
  <c r="AC14" i="33"/>
  <c r="AA30" i="34"/>
  <c r="W19" i="34"/>
  <c r="S28" i="37"/>
  <c r="U8" i="40"/>
  <c r="W34" i="40"/>
  <c r="S46" i="33"/>
  <c r="W42" i="33"/>
  <c r="S30" i="37"/>
  <c r="AB31" i="37"/>
  <c r="AB13" i="35"/>
  <c r="AC13" i="39"/>
  <c r="S43" i="39"/>
  <c r="AB23" i="35"/>
  <c r="AZ344" i="3"/>
  <c r="AZ305" i="3"/>
  <c r="AZ306" i="3"/>
  <c r="AB41" i="39"/>
  <c r="U41" i="39"/>
  <c r="AA37" i="37"/>
  <c r="S37" i="37"/>
  <c r="AZ515" i="3"/>
  <c r="AZ529" i="3"/>
  <c r="AZ575" i="3"/>
  <c r="AZ587" i="3"/>
  <c r="AZ500" i="3"/>
  <c r="AZ508" i="3"/>
  <c r="AZ516" i="3"/>
  <c r="AZ526" i="3"/>
  <c r="AZ540" i="3"/>
  <c r="J47" i="34"/>
  <c r="F31" i="34"/>
  <c r="H13" i="34"/>
  <c r="U13" i="34" s="1"/>
  <c r="H44" i="33"/>
  <c r="U28" i="33"/>
  <c r="AB28" i="33"/>
  <c r="S34" i="36"/>
  <c r="AA34" i="36"/>
  <c r="J28" i="21"/>
  <c r="H28" i="21"/>
  <c r="AB35" i="33"/>
  <c r="U35" i="33"/>
  <c r="J24" i="36"/>
  <c r="H24" i="36"/>
  <c r="F24" i="36"/>
  <c r="AB35" i="39"/>
  <c r="U35" i="39"/>
  <c r="H44" i="39"/>
  <c r="J44" i="39"/>
  <c r="BA551" i="3"/>
  <c r="AZ551" i="3" s="1"/>
  <c r="BA550" i="3"/>
  <c r="BA549" i="3"/>
  <c r="AZ549" i="3" s="1"/>
  <c r="BL548" i="3"/>
  <c r="BL544" i="3"/>
  <c r="AZ544" i="3" s="1"/>
  <c r="BL542" i="3"/>
  <c r="AZ542" i="3" s="1"/>
  <c r="BA541" i="3"/>
  <c r="AZ541" i="3" s="1"/>
  <c r="BA538" i="3"/>
  <c r="AZ538" i="3" s="1"/>
  <c r="BL537" i="3"/>
  <c r="BA534" i="3"/>
  <c r="AZ534" i="3" s="1"/>
  <c r="BA533" i="3"/>
  <c r="AZ533" i="3" s="1"/>
  <c r="BL532" i="3"/>
  <c r="AZ532" i="3" s="1"/>
  <c r="BA530" i="3"/>
  <c r="AZ530" i="3" s="1"/>
  <c r="BL526" i="3"/>
  <c r="BA525" i="3"/>
  <c r="AZ525" i="3" s="1"/>
  <c r="BL524" i="3"/>
  <c r="AZ524" i="3" s="1"/>
  <c r="BA522" i="3"/>
  <c r="AZ522" i="3" s="1"/>
  <c r="BL521" i="3"/>
  <c r="BA521" i="3"/>
  <c r="BA515" i="3"/>
  <c r="BA514" i="3"/>
  <c r="AZ514" i="3" s="1"/>
  <c r="BL506" i="3"/>
  <c r="AZ506" i="3" s="1"/>
  <c r="BA505" i="3"/>
  <c r="AZ505" i="3" s="1"/>
  <c r="BL504" i="3"/>
  <c r="BL499" i="3"/>
  <c r="AZ499" i="3" s="1"/>
  <c r="BO5" i="3"/>
  <c r="BF5" i="3"/>
  <c r="BA497" i="3"/>
  <c r="AZ497" i="3" s="1"/>
  <c r="AC5" i="3"/>
  <c r="BL495" i="3"/>
  <c r="BP5" i="3"/>
  <c r="BG5" i="3"/>
  <c r="S15" i="39"/>
  <c r="U20" i="35"/>
  <c r="AB20" i="35"/>
  <c r="F29" i="6"/>
  <c r="AB19" i="37"/>
  <c r="U19" i="37"/>
  <c r="U41" i="34"/>
  <c r="AB41" i="34"/>
  <c r="U13" i="40"/>
  <c r="AB13" i="40"/>
  <c r="S44" i="33"/>
  <c r="AA44" i="33"/>
  <c r="AB36" i="33"/>
  <c r="S39" i="40"/>
  <c r="W40" i="34"/>
  <c r="U19" i="34"/>
  <c r="W35" i="35"/>
  <c r="U29" i="34"/>
  <c r="AA38" i="21"/>
  <c r="U26" i="36"/>
  <c r="F48" i="9"/>
  <c r="O52" i="9" s="1"/>
  <c r="F31" i="12"/>
  <c r="C31" i="12" s="1"/>
  <c r="AC13" i="34"/>
  <c r="AZ391" i="3"/>
  <c r="AZ390" i="3"/>
  <c r="AZ371" i="3"/>
  <c r="AZ351" i="3"/>
  <c r="AZ329" i="3"/>
  <c r="AZ304" i="3"/>
  <c r="AZ135" i="3"/>
  <c r="W8" i="39"/>
  <c r="U19" i="40"/>
  <c r="AB19" i="40"/>
  <c r="AC12" i="37"/>
  <c r="S25" i="21"/>
  <c r="AA25" i="21"/>
  <c r="AZ511" i="3"/>
  <c r="AZ523" i="3"/>
  <c r="AZ494" i="3"/>
  <c r="AZ510" i="3"/>
  <c r="AZ518" i="3"/>
  <c r="AZ528" i="3"/>
  <c r="AZ548" i="3"/>
  <c r="AZ556" i="3"/>
  <c r="AZ502" i="3"/>
  <c r="AZ585" i="3"/>
  <c r="AA33" i="40"/>
  <c r="S33" i="40"/>
  <c r="F47" i="34"/>
  <c r="F28" i="21"/>
  <c r="AC29" i="36"/>
  <c r="W29" i="36"/>
  <c r="B97" i="43"/>
  <c r="B75" i="43"/>
  <c r="B54" i="43"/>
  <c r="J26" i="33"/>
  <c r="F26" i="33"/>
  <c r="H26" i="33"/>
  <c r="H36" i="35"/>
  <c r="F36" i="35"/>
  <c r="J36" i="35"/>
  <c r="AC36" i="35" s="1"/>
  <c r="H34" i="36"/>
  <c r="J34" i="36"/>
  <c r="W34" i="36" s="1"/>
  <c r="J39" i="37"/>
  <c r="H39" i="37"/>
  <c r="F39" i="37"/>
  <c r="S39" i="37" s="1"/>
  <c r="BL580" i="3"/>
  <c r="AZ580" i="3" s="1"/>
  <c r="BL579" i="3"/>
  <c r="AZ579" i="3" s="1"/>
  <c r="BA577" i="3"/>
  <c r="AZ577" i="3" s="1"/>
  <c r="BA576" i="3"/>
  <c r="AZ576" i="3" s="1"/>
  <c r="BA569" i="3"/>
  <c r="AZ569" i="3" s="1"/>
  <c r="BA568" i="3"/>
  <c r="AZ568" i="3" s="1"/>
  <c r="BL566" i="3"/>
  <c r="BL564" i="3"/>
  <c r="AZ564" i="3" s="1"/>
  <c r="BA561" i="3"/>
  <c r="AZ561" i="3" s="1"/>
  <c r="BA560" i="3"/>
  <c r="AZ560" i="3" s="1"/>
  <c r="BL558" i="3"/>
  <c r="AZ558" i="3" s="1"/>
  <c r="AZ307" i="3"/>
  <c r="S19" i="40"/>
  <c r="AA19" i="40"/>
  <c r="AC32" i="37"/>
  <c r="W32" i="37"/>
  <c r="AC9" i="33"/>
  <c r="W9" i="33"/>
  <c r="J12" i="36"/>
  <c r="F12" i="36"/>
  <c r="H12" i="36"/>
  <c r="AA44" i="39"/>
  <c r="S44" i="39"/>
  <c r="AB42" i="21"/>
  <c r="AC25" i="36"/>
  <c r="S42" i="33"/>
  <c r="AA45" i="34"/>
  <c r="U35" i="40"/>
  <c r="AZ14" i="3"/>
  <c r="AZ362" i="3"/>
  <c r="AZ326" i="3"/>
  <c r="AZ200" i="3"/>
  <c r="F12" i="37"/>
  <c r="S12" i="37" s="1"/>
  <c r="W44" i="21"/>
  <c r="AB32" i="40"/>
  <c r="U32" i="40"/>
  <c r="AB24" i="35"/>
  <c r="U24" i="35"/>
  <c r="AZ571" i="3"/>
  <c r="AZ504" i="3"/>
  <c r="AZ566" i="3"/>
  <c r="AA14" i="40"/>
  <c r="S14" i="40"/>
  <c r="S14" i="37"/>
  <c r="AB30" i="40"/>
  <c r="AB13" i="37"/>
  <c r="U13" i="37"/>
  <c r="J31" i="34"/>
  <c r="AC44" i="33"/>
  <c r="F14" i="33"/>
  <c r="S14" i="34"/>
  <c r="AA14" i="34"/>
  <c r="AA11" i="40"/>
  <c r="S11" i="40"/>
  <c r="H14" i="21"/>
  <c r="J14" i="21"/>
  <c r="F30" i="21"/>
  <c r="J30" i="21"/>
  <c r="H30" i="21"/>
  <c r="AA38" i="33"/>
  <c r="S38" i="33"/>
  <c r="AC28" i="36"/>
  <c r="W28" i="36"/>
  <c r="AB15" i="37"/>
  <c r="U15" i="37"/>
  <c r="AB9" i="40"/>
  <c r="U9" i="40"/>
  <c r="W38" i="34"/>
  <c r="AC38" i="34"/>
  <c r="U30" i="36"/>
  <c r="AB30" i="36"/>
  <c r="BA584" i="3"/>
  <c r="AZ584" i="3" s="1"/>
  <c r="BL582" i="3"/>
  <c r="AZ582" i="3" s="1"/>
  <c r="BL587" i="3"/>
  <c r="BL586" i="3"/>
  <c r="AZ586" i="3" s="1"/>
  <c r="J9" i="34"/>
  <c r="AZ407" i="3"/>
  <c r="AZ444" i="3"/>
  <c r="W31" i="21"/>
  <c r="S17" i="34"/>
  <c r="AC29" i="37"/>
  <c r="AB14" i="36"/>
  <c r="AZ357" i="3"/>
  <c r="AZ322" i="3"/>
  <c r="AZ313" i="3"/>
  <c r="AZ143" i="3"/>
  <c r="AZ124" i="3"/>
  <c r="AZ394" i="3"/>
  <c r="AC28" i="34"/>
  <c r="BL519" i="3"/>
  <c r="AZ519" i="3" s="1"/>
  <c r="BL531" i="3"/>
  <c r="AZ531" i="3" s="1"/>
  <c r="BL559" i="3"/>
  <c r="AZ559" i="3" s="1"/>
  <c r="BL573" i="3"/>
  <c r="AZ573" i="3" s="1"/>
  <c r="BL583" i="3"/>
  <c r="AZ583" i="3" s="1"/>
  <c r="U36" i="39"/>
  <c r="F27" i="21"/>
  <c r="AB8" i="39"/>
  <c r="C15" i="39"/>
  <c r="AA9" i="40"/>
  <c r="U31" i="36"/>
  <c r="U30" i="37"/>
  <c r="G587" i="3"/>
  <c r="J12" i="35"/>
  <c r="F25" i="37"/>
  <c r="G558" i="3"/>
  <c r="BL585" i="3"/>
  <c r="J39" i="40"/>
  <c r="H39" i="40"/>
  <c r="AZ448" i="3"/>
  <c r="AZ466" i="3"/>
  <c r="AZ458" i="3"/>
  <c r="AZ462" i="3"/>
  <c r="AZ201" i="3"/>
  <c r="AZ49" i="3"/>
  <c r="AC25" i="40"/>
  <c r="W25" i="40"/>
  <c r="C64" i="71"/>
  <c r="D63" i="71"/>
  <c r="Y26" i="71"/>
  <c r="Z26" i="71" s="1"/>
  <c r="Y25" i="71"/>
  <c r="Z25" i="71"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BL250" i="3"/>
  <c r="AZ250" i="3" s="1"/>
  <c r="BA259" i="3"/>
  <c r="AZ259" i="3" s="1"/>
  <c r="BL261" i="3"/>
  <c r="BA263" i="3"/>
  <c r="BA267" i="3"/>
  <c r="AZ267" i="3" s="1"/>
  <c r="BA269" i="3"/>
  <c r="AZ269" i="3" s="1"/>
  <c r="BA271" i="3"/>
  <c r="BL271" i="3"/>
  <c r="BA274" i="3"/>
  <c r="AZ274" i="3" s="1"/>
  <c r="BL274" i="3"/>
  <c r="BA276" i="3"/>
  <c r="BL286" i="3"/>
  <c r="T32" i="71"/>
  <c r="D32" i="71"/>
  <c r="X33" i="71"/>
  <c r="X34" i="71"/>
  <c r="X26" i="71"/>
  <c r="X36" i="71"/>
  <c r="X35" i="71"/>
  <c r="AB37" i="71"/>
  <c r="AB35" i="71"/>
  <c r="F38" i="71"/>
  <c r="F39" i="71" s="1"/>
  <c r="F40" i="71" s="1"/>
  <c r="V40" i="71" s="1"/>
  <c r="AB32" i="71"/>
  <c r="AB27" i="71"/>
  <c r="C47" i="71"/>
  <c r="D47" i="71" s="1"/>
  <c r="D46" i="71"/>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8" i="3"/>
  <c r="BA282" i="3"/>
  <c r="BL282" i="3"/>
  <c r="BA288" i="3"/>
  <c r="AZ302" i="3"/>
  <c r="BA116" i="3"/>
  <c r="AZ116" i="3" s="1"/>
  <c r="BA121" i="3"/>
  <c r="BL121" i="3"/>
  <c r="BA22" i="3"/>
  <c r="BA30" i="3"/>
  <c r="BA40" i="3"/>
  <c r="AZ40" i="3" s="1"/>
  <c r="BA50" i="3"/>
  <c r="BL91" i="3"/>
  <c r="C51" i="71"/>
  <c r="BL16" i="3"/>
  <c r="AZ16" i="3" s="1"/>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BA281" i="3"/>
  <c r="BA286" i="3"/>
  <c r="AZ286" i="3" s="1"/>
  <c r="BL290" i="3"/>
  <c r="BL291" i="3"/>
  <c r="AZ291" i="3" s="1"/>
  <c r="BL293" i="3"/>
  <c r="BL294" i="3"/>
  <c r="BA297" i="3"/>
  <c r="AZ297" i="3" s="1"/>
  <c r="BL297" i="3"/>
  <c r="BA301" i="3"/>
  <c r="BA132" i="3"/>
  <c r="AZ132" i="3" s="1"/>
  <c r="BL135" i="3"/>
  <c r="BL175" i="3"/>
  <c r="G48" i="3"/>
  <c r="C55" i="71"/>
  <c r="D54" i="71"/>
  <c r="BA124" i="3"/>
  <c r="BA126" i="3"/>
  <c r="AZ126" i="3" s="1"/>
  <c r="BA129" i="3"/>
  <c r="BL133" i="3"/>
  <c r="AZ133" i="3" s="1"/>
  <c r="BL139" i="3"/>
  <c r="AZ139" i="3" s="1"/>
  <c r="BL141" i="3"/>
  <c r="BL143" i="3"/>
  <c r="BL157" i="3"/>
  <c r="AZ157" i="3" s="1"/>
  <c r="BL159" i="3"/>
  <c r="AZ159" i="3" s="1"/>
  <c r="BL177" i="3"/>
  <c r="AZ177" i="3" s="1"/>
  <c r="BL183" i="3"/>
  <c r="AZ183" i="3" s="1"/>
  <c r="BA186" i="3"/>
  <c r="AZ186" i="3" s="1"/>
  <c r="BA190" i="3"/>
  <c r="BA197" i="3"/>
  <c r="AZ197" i="3" s="1"/>
  <c r="BL201" i="3"/>
  <c r="BL203" i="3"/>
  <c r="AZ203" i="3" s="1"/>
  <c r="BA204" i="3"/>
  <c r="AZ204" i="3" s="1"/>
  <c r="BA18" i="3"/>
  <c r="AZ18" i="3" s="1"/>
  <c r="G21" i="3"/>
  <c r="BL21" i="3"/>
  <c r="G23" i="3"/>
  <c r="G29" i="3"/>
  <c r="BL29" i="3"/>
  <c r="G33" i="3"/>
  <c r="G34" i="3"/>
  <c r="BA37" i="3"/>
  <c r="G39" i="3"/>
  <c r="BL39" i="3"/>
  <c r="G43" i="3"/>
  <c r="G44" i="3"/>
  <c r="BA45" i="3"/>
  <c r="AZ45" i="3" s="1"/>
  <c r="BA46" i="3"/>
  <c r="BL49" i="3"/>
  <c r="BL50" i="3"/>
  <c r="BL51" i="3"/>
  <c r="AZ51" i="3" s="1"/>
  <c r="G53" i="3"/>
  <c r="BL53" i="3"/>
  <c r="BA56" i="3"/>
  <c r="AZ56" i="3" s="1"/>
  <c r="BA57" i="3"/>
  <c r="AZ57" i="3" s="1"/>
  <c r="BL58" i="3"/>
  <c r="AZ58" i="3" s="1"/>
  <c r="G60" i="3"/>
  <c r="BA60" i="3"/>
  <c r="AZ60" i="3" s="1"/>
  <c r="BA63" i="3"/>
  <c r="BL69" i="3"/>
  <c r="G70" i="3"/>
  <c r="BL70" i="3"/>
  <c r="AZ70" i="3" s="1"/>
  <c r="BL71" i="3"/>
  <c r="BL72" i="3"/>
  <c r="AZ72" i="3" s="1"/>
  <c r="G74" i="3"/>
  <c r="BA75" i="3"/>
  <c r="AZ75" i="3" s="1"/>
  <c r="BL86" i="3"/>
  <c r="G87" i="3"/>
  <c r="BA91" i="3"/>
  <c r="AZ91" i="3" s="1"/>
  <c r="AZ100" i="3"/>
  <c r="BA110" i="3"/>
  <c r="AZ110" i="3" s="1"/>
  <c r="F3" i="35"/>
  <c r="AB25" i="40"/>
  <c r="U25" i="40"/>
  <c r="AB25" i="71"/>
  <c r="AB28" i="71"/>
  <c r="AB26" i="71"/>
  <c r="Y30" i="71"/>
  <c r="Z30" i="71" s="1"/>
  <c r="C34" i="71"/>
  <c r="Y28" i="71"/>
  <c r="Z28" i="71" s="1"/>
  <c r="C23" i="71"/>
  <c r="B22" i="71"/>
  <c r="B21" i="71" s="1"/>
  <c r="B20" i="71" s="1"/>
  <c r="AA3" i="71"/>
  <c r="BA273" i="3"/>
  <c r="AZ273" i="3" s="1"/>
  <c r="BA278" i="3"/>
  <c r="BA280" i="3"/>
  <c r="AZ280" i="3" s="1"/>
  <c r="G283" i="3"/>
  <c r="BL283" i="3"/>
  <c r="AZ283" i="3" s="1"/>
  <c r="BL284" i="3"/>
  <c r="AZ284" i="3" s="1"/>
  <c r="G285" i="3"/>
  <c r="G288" i="3"/>
  <c r="BL292" i="3"/>
  <c r="BA294" i="3"/>
  <c r="BL295" i="3"/>
  <c r="BA298" i="3"/>
  <c r="AZ298" i="3" s="1"/>
  <c r="BL301" i="3"/>
  <c r="BL302" i="3"/>
  <c r="BA114" i="3"/>
  <c r="BL123" i="3"/>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BA193" i="3"/>
  <c r="BA196" i="3"/>
  <c r="AZ196" i="3" s="1"/>
  <c r="G203" i="3"/>
  <c r="BA205" i="3"/>
  <c r="AZ205" i="3" s="1"/>
  <c r="BL20" i="3"/>
  <c r="BA21" i="3"/>
  <c r="AZ21" i="3" s="1"/>
  <c r="BA25" i="3"/>
  <c r="AZ25" i="3" s="1"/>
  <c r="BA26" i="3"/>
  <c r="BL28" i="3"/>
  <c r="BA29" i="3"/>
  <c r="BA36" i="3"/>
  <c r="BL38" i="3"/>
  <c r="AZ38" i="3" s="1"/>
  <c r="BA39" i="3"/>
  <c r="AZ39" i="3" s="1"/>
  <c r="BL47" i="3"/>
  <c r="AZ47" i="3" s="1"/>
  <c r="BA52" i="3"/>
  <c r="AZ52" i="3" s="1"/>
  <c r="BA53" i="3"/>
  <c r="AZ53" i="3" s="1"/>
  <c r="BA54" i="3"/>
  <c r="BL57" i="3"/>
  <c r="BL62" i="3"/>
  <c r="AZ62" i="3" s="1"/>
  <c r="BL63" i="3"/>
  <c r="BL65" i="3"/>
  <c r="AZ65" i="3" s="1"/>
  <c r="BL66" i="3"/>
  <c r="BL67" i="3"/>
  <c r="AZ67" i="3" s="1"/>
  <c r="BL79" i="3"/>
  <c r="BL81" i="3"/>
  <c r="BA82" i="3"/>
  <c r="AZ82" i="3" s="1"/>
  <c r="BL83" i="3"/>
  <c r="BA89" i="3"/>
  <c r="BL93" i="3"/>
  <c r="BL94" i="3"/>
  <c r="AZ94" i="3" s="1"/>
  <c r="BL101" i="3"/>
  <c r="BL102" i="3"/>
  <c r="AZ102" i="3" s="1"/>
  <c r="G105" i="3"/>
  <c r="BL106" i="3"/>
  <c r="BA108" i="3"/>
  <c r="BL111" i="3"/>
  <c r="AZ111" i="3" s="1"/>
  <c r="U21" i="33"/>
  <c r="AB21" i="33"/>
  <c r="B100" i="43"/>
  <c r="B57" i="43"/>
  <c r="B68" i="43"/>
  <c r="T44" i="71"/>
  <c r="P65" i="71"/>
  <c r="P66" i="71"/>
  <c r="F28" i="71"/>
  <c r="F27" i="71" s="1"/>
  <c r="F26" i="71" s="1"/>
  <c r="C40" i="71"/>
  <c r="E39" i="71"/>
  <c r="E40" i="71" s="1"/>
  <c r="U40" i="71" s="1"/>
  <c r="E59" i="71"/>
  <c r="E60" i="71" s="1"/>
  <c r="U60" i="71" s="1"/>
  <c r="T76" i="71"/>
  <c r="D76" i="71"/>
  <c r="C75" i="71"/>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BA202" i="3"/>
  <c r="BL207" i="3"/>
  <c r="BL18" i="3"/>
  <c r="G19" i="3"/>
  <c r="BL19" i="3"/>
  <c r="AZ19" i="3" s="1"/>
  <c r="BA20" i="3"/>
  <c r="AZ20" i="3" s="1"/>
  <c r="BL25" i="3"/>
  <c r="BL27" i="3"/>
  <c r="AZ27" i="3" s="1"/>
  <c r="BA28" i="3"/>
  <c r="BA31" i="3"/>
  <c r="AZ31" i="3" s="1"/>
  <c r="BA32" i="3"/>
  <c r="G38" i="3"/>
  <c r="BA38" i="3"/>
  <c r="BA41" i="3"/>
  <c r="AZ41" i="3" s="1"/>
  <c r="BA42" i="3"/>
  <c r="G46" i="3"/>
  <c r="BL48" i="3"/>
  <c r="BL54" i="3"/>
  <c r="BL55" i="3"/>
  <c r="AZ55" i="3" s="1"/>
  <c r="G57" i="3"/>
  <c r="BA59" i="3"/>
  <c r="AZ59" i="3" s="1"/>
  <c r="G61" i="3"/>
  <c r="BL61" i="3"/>
  <c r="AZ61" i="3" s="1"/>
  <c r="G64" i="3"/>
  <c r="BA64" i="3"/>
  <c r="AZ64" i="3" s="1"/>
  <c r="G67" i="3"/>
  <c r="BL68" i="3"/>
  <c r="BA69" i="3"/>
  <c r="AZ69" i="3" s="1"/>
  <c r="BA73" i="3"/>
  <c r="G78" i="3"/>
  <c r="G79" i="3"/>
  <c r="G81" i="3"/>
  <c r="G85" i="3"/>
  <c r="BL85" i="3"/>
  <c r="BA86" i="3"/>
  <c r="AZ86" i="3" s="1"/>
  <c r="G93" i="3"/>
  <c r="G96" i="3"/>
  <c r="BL97" i="3"/>
  <c r="AZ97" i="3" s="1"/>
  <c r="G103" i="3"/>
  <c r="BA103" i="3"/>
  <c r="AZ103" i="3" s="1"/>
  <c r="BA104" i="3"/>
  <c r="BA106" i="3"/>
  <c r="BL108" i="3"/>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66" i="3"/>
  <c r="AZ66" i="3" s="1"/>
  <c r="BA71" i="3"/>
  <c r="G76" i="3"/>
  <c r="BL77" i="3"/>
  <c r="AZ77" i="3" s="1"/>
  <c r="BA79" i="3"/>
  <c r="AZ79" i="3" s="1"/>
  <c r="G82" i="3"/>
  <c r="G83" i="3"/>
  <c r="BA84" i="3"/>
  <c r="AZ84" i="3" s="1"/>
  <c r="BL88" i="3"/>
  <c r="AZ88" i="3" s="1"/>
  <c r="G90" i="3"/>
  <c r="BL90" i="3"/>
  <c r="AZ90" i="3" s="1"/>
  <c r="BL92" i="3"/>
  <c r="G101" i="3"/>
  <c r="BA101" i="3"/>
  <c r="G108" i="3"/>
  <c r="G109" i="3"/>
  <c r="BL112" i="3"/>
  <c r="S21" i="34"/>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8"/>
  <c r="C36" i="69"/>
  <c r="F16" i="15"/>
  <c r="M8" i="15"/>
  <c r="F37" i="15"/>
  <c r="M26" i="15"/>
  <c r="F8" i="15"/>
  <c r="L47" i="15"/>
  <c r="D4" i="73"/>
  <c r="L48" i="15"/>
  <c r="C76" i="15"/>
  <c r="C16" i="67"/>
  <c r="F42" i="15"/>
  <c r="M6" i="15"/>
  <c r="M23" i="15"/>
  <c r="F36" i="15"/>
  <c r="F6" i="15"/>
  <c r="M24" i="15"/>
  <c r="M22" i="15"/>
  <c r="D3" i="73"/>
  <c r="J15" i="15"/>
  <c r="M9" i="15"/>
  <c r="F27" i="69"/>
  <c r="F13" i="15"/>
  <c r="F40" i="15"/>
  <c r="M28" i="15"/>
  <c r="F43" i="15"/>
  <c r="F38" i="15"/>
  <c r="M29" i="15"/>
  <c r="F7" i="15"/>
  <c r="D7" i="73"/>
  <c r="D6" i="73"/>
  <c r="D9" i="69"/>
  <c r="F9" i="15"/>
  <c r="F26" i="15"/>
  <c r="D5" i="73"/>
  <c r="AC15" i="34" l="1"/>
  <c r="C30" i="68"/>
  <c r="C48" i="68"/>
  <c r="M7" i="15"/>
  <c r="J6" i="15" s="1"/>
  <c r="J18" i="15" s="1"/>
  <c r="F50" i="15"/>
  <c r="L58" i="15"/>
  <c r="Q73" i="15" s="1"/>
  <c r="L59" i="15"/>
  <c r="Q74" i="15" s="1"/>
  <c r="N59" i="15"/>
  <c r="M59" i="15"/>
  <c r="C27" i="15"/>
  <c r="F51" i="15"/>
  <c r="F66" i="15"/>
  <c r="C6" i="15"/>
  <c r="C32" i="15" s="1"/>
  <c r="Q71" i="15"/>
  <c r="F71" i="15"/>
  <c r="F64" i="15"/>
  <c r="F65" i="15"/>
  <c r="F68" i="15"/>
  <c r="J53" i="15"/>
  <c r="L56" i="15" s="1"/>
  <c r="J57" i="15"/>
  <c r="J55" i="15" s="1"/>
  <c r="J58" i="15" s="1"/>
  <c r="Q50" i="15" s="1"/>
  <c r="I54" i="15"/>
  <c r="E11" i="6"/>
  <c r="E60" i="39" s="1"/>
  <c r="E10" i="6"/>
  <c r="E28" i="6"/>
  <c r="K14" i="1" s="1"/>
  <c r="P6" i="1"/>
  <c r="C13" i="12" s="1"/>
  <c r="N370" i="46"/>
  <c r="F26" i="43"/>
  <c r="D67" i="71"/>
  <c r="C66" i="71"/>
  <c r="O67" i="71"/>
  <c r="T40" i="71"/>
  <c r="D40" i="71"/>
  <c r="B19" i="71"/>
  <c r="B18" i="71" s="1"/>
  <c r="B17" i="71" s="1"/>
  <c r="B16" i="71" s="1"/>
  <c r="S20" i="71"/>
  <c r="S30" i="21"/>
  <c r="AA30" i="21"/>
  <c r="U26" i="33"/>
  <c r="AB26" i="33"/>
  <c r="AA28" i="21"/>
  <c r="S28" i="21"/>
  <c r="AB44" i="39"/>
  <c r="U44" i="39"/>
  <c r="AB24" i="36"/>
  <c r="U24" i="36"/>
  <c r="AB28" i="21"/>
  <c r="U28" i="21"/>
  <c r="AA31" i="34"/>
  <c r="S31" i="34"/>
  <c r="G29" i="6"/>
  <c r="E26" i="43"/>
  <c r="H26" i="43"/>
  <c r="E13" i="6"/>
  <c r="E12" i="6"/>
  <c r="E57" i="40" s="1"/>
  <c r="E14" i="6"/>
  <c r="AZ114" i="3"/>
  <c r="AZ101" i="3"/>
  <c r="AZ71" i="3"/>
  <c r="AZ28" i="3"/>
  <c r="AZ29" i="3"/>
  <c r="AZ294" i="3"/>
  <c r="AZ278" i="3"/>
  <c r="D23" i="71"/>
  <c r="C22" i="71"/>
  <c r="AZ190" i="3"/>
  <c r="AZ301" i="3"/>
  <c r="AZ229" i="3"/>
  <c r="AZ218" i="3"/>
  <c r="C52" i="71"/>
  <c r="D51" i="71"/>
  <c r="AZ121" i="3"/>
  <c r="AZ414" i="3"/>
  <c r="AZ263" i="3"/>
  <c r="AZ223" i="3"/>
  <c r="AB39" i="40"/>
  <c r="U39" i="40"/>
  <c r="AC9" i="34"/>
  <c r="W9" i="34"/>
  <c r="AC14" i="21"/>
  <c r="W14" i="21"/>
  <c r="AC31" i="34"/>
  <c r="W31" i="34"/>
  <c r="AC12" i="36"/>
  <c r="W12" i="36"/>
  <c r="AB39" i="37"/>
  <c r="U39" i="37"/>
  <c r="S26" i="33"/>
  <c r="AA26" i="33"/>
  <c r="S47" i="34"/>
  <c r="AA47" i="34"/>
  <c r="AZ521" i="3"/>
  <c r="AZ550" i="3"/>
  <c r="AC24" i="36"/>
  <c r="W24" i="36"/>
  <c r="W28" i="21"/>
  <c r="AC28" i="21"/>
  <c r="W47" i="34"/>
  <c r="AC47" i="34"/>
  <c r="AA12" i="36"/>
  <c r="S12" i="36"/>
  <c r="U34" i="36"/>
  <c r="AB34" i="36"/>
  <c r="G26" i="43"/>
  <c r="G5" i="3"/>
  <c r="B3" i="3" s="1"/>
  <c r="E349" i="3" s="1"/>
  <c r="AZ36" i="3"/>
  <c r="AZ113" i="3"/>
  <c r="AZ295" i="3"/>
  <c r="AZ317" i="3"/>
  <c r="C26" i="71"/>
  <c r="D26" i="71" s="1"/>
  <c r="D27" i="71"/>
  <c r="AZ178" i="3"/>
  <c r="AZ249" i="3"/>
  <c r="AZ282" i="3"/>
  <c r="AZ483" i="3"/>
  <c r="AZ271" i="3"/>
  <c r="AZ243" i="3"/>
  <c r="AZ368" i="3"/>
  <c r="AZ353" i="3"/>
  <c r="AC39" i="40"/>
  <c r="W39" i="40"/>
  <c r="AA25" i="37"/>
  <c r="S25" i="37"/>
  <c r="AA27" i="21"/>
  <c r="S27" i="21"/>
  <c r="AB30" i="21"/>
  <c r="U30" i="21"/>
  <c r="U14" i="21"/>
  <c r="AB14" i="21"/>
  <c r="AC39" i="37"/>
  <c r="W39" i="37"/>
  <c r="S36" i="35"/>
  <c r="AA36" i="35"/>
  <c r="W26" i="33"/>
  <c r="AC26" i="33"/>
  <c r="AB44" i="33"/>
  <c r="U44" i="33"/>
  <c r="N94" i="46"/>
  <c r="AA12" i="37"/>
  <c r="AZ37" i="3"/>
  <c r="AA39" i="37"/>
  <c r="G16" i="1"/>
  <c r="F10" i="39" s="1"/>
  <c r="S10" i="39" s="1"/>
  <c r="D75" i="71"/>
  <c r="C74" i="71"/>
  <c r="D74" i="71" s="1"/>
  <c r="AZ108" i="3"/>
  <c r="D34" i="71"/>
  <c r="C35" i="71"/>
  <c r="AZ63" i="3"/>
  <c r="C56" i="71"/>
  <c r="D55" i="71"/>
  <c r="AZ50" i="3"/>
  <c r="AZ238" i="3"/>
  <c r="W12" i="35"/>
  <c r="AC12" i="35"/>
  <c r="AC30" i="21"/>
  <c r="W30" i="21"/>
  <c r="S14" i="33"/>
  <c r="AA14" i="33"/>
  <c r="AB12" i="36"/>
  <c r="U12" i="36"/>
  <c r="AB36" i="35"/>
  <c r="U36" i="35"/>
  <c r="AC44" i="39"/>
  <c r="W44" i="39"/>
  <c r="S24" i="36"/>
  <c r="AA24" i="36"/>
  <c r="J7" i="37"/>
  <c r="K1" i="73"/>
  <c r="AA26" i="37"/>
  <c r="S26" i="37"/>
  <c r="BA5" i="3"/>
  <c r="E27" i="6" s="1"/>
  <c r="K26" i="6" s="1"/>
  <c r="M26" i="6" s="1"/>
  <c r="I26" i="6" s="1"/>
  <c r="S26" i="6" s="1"/>
  <c r="AZ5" i="3"/>
  <c r="E3"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C16" i="15"/>
  <c r="AE6" i="1"/>
  <c r="G1" i="73"/>
  <c r="F41" i="67"/>
  <c r="Q60" i="15" l="1"/>
  <c r="J5" i="15"/>
  <c r="J24" i="15" s="1"/>
  <c r="C49" i="15"/>
  <c r="F1" i="15"/>
  <c r="Q61" i="15"/>
  <c r="Q52" i="15"/>
  <c r="H10" i="39"/>
  <c r="U10" i="39" s="1"/>
  <c r="E16" i="6"/>
  <c r="E61" i="39"/>
  <c r="D26" i="43"/>
  <c r="C25" i="43" s="1"/>
  <c r="AA10" i="39"/>
  <c r="J10" i="39"/>
  <c r="W10" i="39" s="1"/>
  <c r="F10" i="40"/>
  <c r="S10" i="40" s="1"/>
  <c r="E369" i="3"/>
  <c r="E487" i="3"/>
  <c r="E296" i="3"/>
  <c r="X6" i="3"/>
  <c r="E263" i="3"/>
  <c r="E445" i="3"/>
  <c r="E215" i="3"/>
  <c r="E514" i="3"/>
  <c r="AJ6" i="3"/>
  <c r="E377" i="3"/>
  <c r="E557" i="3"/>
  <c r="E327" i="3"/>
  <c r="E315" i="3"/>
  <c r="E472" i="3"/>
  <c r="E503" i="3"/>
  <c r="E162" i="3"/>
  <c r="E293" i="3"/>
  <c r="AG6" i="3"/>
  <c r="E35" i="3"/>
  <c r="E142" i="3"/>
  <c r="E242" i="3"/>
  <c r="E161" i="3"/>
  <c r="E387" i="3"/>
  <c r="E70" i="3"/>
  <c r="E454" i="3"/>
  <c r="E151" i="3"/>
  <c r="E139" i="3"/>
  <c r="E118" i="3"/>
  <c r="E240" i="3"/>
  <c r="E119" i="3"/>
  <c r="E246" i="3"/>
  <c r="E191" i="3"/>
  <c r="E563" i="3"/>
  <c r="E335" i="3"/>
  <c r="E201" i="3"/>
  <c r="E322" i="3"/>
  <c r="E211" i="3"/>
  <c r="E345" i="3"/>
  <c r="E89" i="3"/>
  <c r="E146" i="3"/>
  <c r="E228" i="3"/>
  <c r="E185" i="3"/>
  <c r="E585" i="3"/>
  <c r="E415" i="3"/>
  <c r="E303" i="3"/>
  <c r="E539" i="3"/>
  <c r="E148" i="3"/>
  <c r="E385" i="3"/>
  <c r="E278" i="3"/>
  <c r="E247" i="3"/>
  <c r="E217" i="3"/>
  <c r="E400" i="3"/>
  <c r="E227" i="3"/>
  <c r="E77" i="3"/>
  <c r="AR6" i="3"/>
  <c r="E111" i="3"/>
  <c r="E471" i="3"/>
  <c r="H10" i="40"/>
  <c r="AB10" i="40" s="1"/>
  <c r="J10" i="40"/>
  <c r="AC10" i="40" s="1"/>
  <c r="E94" i="3"/>
  <c r="E219" i="3"/>
  <c r="E275" i="3"/>
  <c r="E200" i="3"/>
  <c r="E423" i="3"/>
  <c r="E535" i="3"/>
  <c r="E69" i="3"/>
  <c r="M6" i="3"/>
  <c r="E509" i="3"/>
  <c r="E109" i="3"/>
  <c r="E28" i="3"/>
  <c r="Z6" i="3"/>
  <c r="E362" i="3"/>
  <c r="E587" i="3"/>
  <c r="E350" i="3"/>
  <c r="E508" i="3"/>
  <c r="E193" i="3"/>
  <c r="E125" i="3"/>
  <c r="E312" i="3"/>
  <c r="K6" i="3"/>
  <c r="E181" i="3"/>
  <c r="E124" i="3"/>
  <c r="E134" i="3"/>
  <c r="E528" i="3"/>
  <c r="E380" i="3"/>
  <c r="E337" i="3"/>
  <c r="E441" i="3"/>
  <c r="E505" i="3"/>
  <c r="E31" i="3"/>
  <c r="E562" i="3"/>
  <c r="E85" i="3"/>
  <c r="E290" i="3"/>
  <c r="E320" i="3"/>
  <c r="E239" i="3"/>
  <c r="E166" i="3"/>
  <c r="E496" i="3"/>
  <c r="E501" i="3"/>
  <c r="E66" i="3"/>
  <c r="E123" i="3"/>
  <c r="E283" i="3"/>
  <c r="E106" i="3"/>
  <c r="E465" i="3"/>
  <c r="E277" i="3"/>
  <c r="E568" i="3"/>
  <c r="E495" i="3"/>
  <c r="E180" i="3"/>
  <c r="E261" i="3"/>
  <c r="E561" i="3"/>
  <c r="E388" i="3"/>
  <c r="E210" i="3"/>
  <c r="E515" i="3"/>
  <c r="E150" i="3"/>
  <c r="E573" i="3"/>
  <c r="E336" i="3"/>
  <c r="E395" i="3"/>
  <c r="E559" i="3"/>
  <c r="E366" i="3"/>
  <c r="E581" i="3"/>
  <c r="E120" i="3"/>
  <c r="E548" i="3"/>
  <c r="E464" i="3"/>
  <c r="E25" i="3"/>
  <c r="E510" i="3"/>
  <c r="E37" i="3"/>
  <c r="E184" i="3"/>
  <c r="AF6" i="3"/>
  <c r="E356" i="3"/>
  <c r="E376" i="3"/>
  <c r="E325" i="3"/>
  <c r="E265" i="3"/>
  <c r="E386" i="3"/>
  <c r="E354" i="3"/>
  <c r="E542" i="3"/>
  <c r="E413" i="3"/>
  <c r="E529" i="3"/>
  <c r="E196" i="3"/>
  <c r="E291" i="3"/>
  <c r="E302" i="3"/>
  <c r="E238" i="3"/>
  <c r="E424" i="3"/>
  <c r="E580" i="3"/>
  <c r="E164" i="3"/>
  <c r="E558" i="3"/>
  <c r="E121" i="3"/>
  <c r="N6" i="3"/>
  <c r="V6" i="3"/>
  <c r="E114" i="3"/>
  <c r="E453" i="3"/>
  <c r="E527" i="3"/>
  <c r="E318" i="3"/>
  <c r="E27" i="3"/>
  <c r="E410" i="3"/>
  <c r="E439" i="3"/>
  <c r="E502" i="3"/>
  <c r="E467" i="3"/>
  <c r="E391" i="3"/>
  <c r="E512" i="3"/>
  <c r="E329" i="3"/>
  <c r="E372" i="3"/>
  <c r="E289" i="3"/>
  <c r="E566" i="3"/>
  <c r="E416" i="3"/>
  <c r="E436" i="3"/>
  <c r="E179" i="3"/>
  <c r="E461" i="3"/>
  <c r="E54" i="3"/>
  <c r="E367" i="3"/>
  <c r="E426" i="3"/>
  <c r="E237" i="3"/>
  <c r="E402" i="3"/>
  <c r="E177" i="3"/>
  <c r="E73" i="3"/>
  <c r="E236" i="3"/>
  <c r="E448" i="3"/>
  <c r="E444" i="3"/>
  <c r="AP6" i="3"/>
  <c r="E371" i="3"/>
  <c r="E174" i="3"/>
  <c r="E470" i="3"/>
  <c r="E564" i="3"/>
  <c r="E79" i="3"/>
  <c r="E176" i="3"/>
  <c r="E521" i="3"/>
  <c r="E138" i="3"/>
  <c r="E341" i="3"/>
  <c r="E154" i="3"/>
  <c r="E313" i="3"/>
  <c r="E93" i="3"/>
  <c r="E126" i="3"/>
  <c r="E97" i="3"/>
  <c r="E17" i="3"/>
  <c r="AA6" i="3"/>
  <c r="E481" i="3"/>
  <c r="E394" i="3"/>
  <c r="E252" i="3"/>
  <c r="P6" i="3"/>
  <c r="E88" i="3"/>
  <c r="E334" i="3"/>
  <c r="E553" i="3"/>
  <c r="E396" i="3"/>
  <c r="E551" i="3"/>
  <c r="E230" i="3"/>
  <c r="E550" i="3"/>
  <c r="E382" i="3"/>
  <c r="E583" i="3"/>
  <c r="E99" i="3"/>
  <c r="E458" i="3"/>
  <c r="E450" i="3"/>
  <c r="E351" i="3"/>
  <c r="E269" i="3"/>
  <c r="E478" i="3"/>
  <c r="E447" i="3"/>
  <c r="E331" i="3"/>
  <c r="E530"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131" i="3"/>
  <c r="E248" i="3"/>
  <c r="E378" i="3"/>
  <c r="S6" i="3"/>
  <c r="E30" i="3"/>
  <c r="E229" i="3"/>
  <c r="E117" i="3"/>
  <c r="E578" i="3"/>
  <c r="E45" i="3"/>
  <c r="E72" i="3"/>
  <c r="E271" i="3"/>
  <c r="E477" i="3"/>
  <c r="E384" i="3"/>
  <c r="E305" i="3"/>
  <c r="E533" i="3"/>
  <c r="E570" i="3"/>
  <c r="E431" i="3"/>
  <c r="E526" i="3"/>
  <c r="E273" i="3"/>
  <c r="E489" i="3"/>
  <c r="AO6" i="3"/>
  <c r="E368" i="3"/>
  <c r="E214" i="3"/>
  <c r="E577" i="3"/>
  <c r="E560" i="3"/>
  <c r="AK6" i="3"/>
  <c r="E399" i="3"/>
  <c r="E301" i="3"/>
  <c r="E361" i="3"/>
  <c r="E231" i="3"/>
  <c r="E143" i="3"/>
  <c r="E175" i="3"/>
  <c r="AS6" i="3"/>
  <c r="E549" i="3"/>
  <c r="E571" i="3"/>
  <c r="E314" i="3"/>
  <c r="E245" i="3"/>
  <c r="E294" i="3"/>
  <c r="E516" i="3"/>
  <c r="E316" i="3"/>
  <c r="E32" i="3"/>
  <c r="E298" i="3"/>
  <c r="E82" i="3"/>
  <c r="E552" i="3"/>
  <c r="E197" i="3"/>
  <c r="AY6" i="3"/>
  <c r="E256" i="3"/>
  <c r="E429" i="3"/>
  <c r="E437" i="3"/>
  <c r="E128" i="3"/>
  <c r="E280" i="3"/>
  <c r="E159" i="3"/>
  <c r="E565"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203" i="3"/>
  <c r="AE6" i="3"/>
  <c r="E330" i="3"/>
  <c r="E434" i="3"/>
  <c r="E353" i="3"/>
  <c r="E221" i="3"/>
  <c r="E304"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299" i="3"/>
  <c r="E15" i="3"/>
  <c r="E346" i="3"/>
  <c r="E463" i="3"/>
  <c r="E440" i="3"/>
  <c r="E393" i="3"/>
  <c r="E326" i="3"/>
  <c r="E324" i="3"/>
  <c r="E225" i="3"/>
  <c r="E13" i="3"/>
  <c r="E456" i="3"/>
  <c r="E205" i="3"/>
  <c r="E206" i="3"/>
  <c r="E96" i="3"/>
  <c r="E281" i="3"/>
  <c r="E81" i="3"/>
  <c r="E33" i="3"/>
  <c r="E249" i="3"/>
  <c r="E484" i="3"/>
  <c r="E292" i="3"/>
  <c r="E479" i="3"/>
  <c r="E255" i="3"/>
  <c r="E499" i="3"/>
  <c r="F67" i="39"/>
  <c r="D22" i="71"/>
  <c r="C21" i="71"/>
  <c r="U7" i="36"/>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C36" i="71"/>
  <c r="D35" i="71"/>
  <c r="E63" i="39"/>
  <c r="E65" i="39" s="1"/>
  <c r="E59" i="40"/>
  <c r="E29" i="6"/>
  <c r="G30" i="6"/>
  <c r="G31" i="6" s="1"/>
  <c r="O65" i="71"/>
  <c r="D66" i="71"/>
  <c r="O66" i="71"/>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T52" i="71"/>
  <c r="D5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F41" i="15"/>
  <c r="M27" i="67"/>
  <c r="M27" i="15"/>
  <c r="C48" i="15" l="1"/>
  <c r="C66" i="15" s="1"/>
  <c r="F22" i="68"/>
  <c r="C23" i="68" s="1"/>
  <c r="H6" i="3"/>
  <c r="AC6" i="3"/>
  <c r="F25" i="12"/>
  <c r="C26" i="12" s="1"/>
  <c r="D25" i="12" s="1"/>
  <c r="G54" i="34"/>
  <c r="H54" i="34" s="1"/>
  <c r="K15" i="1"/>
  <c r="K16" i="1" s="1"/>
  <c r="E30" i="6"/>
  <c r="E31" i="6" s="1"/>
  <c r="D36" i="71"/>
  <c r="T36" i="71"/>
  <c r="D116" i="43"/>
  <c r="D21" i="71"/>
  <c r="C20"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34" i="9"/>
  <c r="C66" i="67"/>
  <c r="C60" i="67"/>
  <c r="D10" i="68"/>
  <c r="C14" i="67"/>
  <c r="D10" i="69"/>
  <c r="C17" i="67"/>
  <c r="C34" i="69"/>
  <c r="C17" i="15"/>
  <c r="C26" i="68" l="1"/>
  <c r="D22" i="68" s="1"/>
  <c r="H21" i="6"/>
  <c r="D30" i="6"/>
  <c r="E6" i="3"/>
  <c r="C26" i="11"/>
  <c r="D22" i="11" s="1"/>
  <c r="C44" i="11"/>
  <c r="D41" i="11" s="1"/>
  <c r="H25" i="6"/>
  <c r="C19" i="71"/>
  <c r="T20" i="71"/>
  <c r="D20" i="71"/>
  <c r="U20" i="71" s="1"/>
  <c r="E53" i="34"/>
  <c r="F53" i="34"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E48" i="21" l="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D19" i="9"/>
  <c r="D102" i="9" l="1"/>
  <c r="D21" i="9"/>
  <c r="G19" i="9"/>
  <c r="G21" i="9" s="1"/>
  <c r="D22"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6" i="1"/>
  <c r="AO11" i="1"/>
  <c r="AO10" i="1"/>
  <c r="D20" i="9"/>
  <c r="AO7"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C105" i="9" s="1"/>
  <c r="F4" i="52" l="1"/>
  <c r="B51" i="72" s="1"/>
  <c r="F119" i="9"/>
  <c r="F5" i="52" s="1"/>
  <c r="B53" i="72" s="1"/>
  <c r="I4" i="52"/>
  <c r="G4" i="52"/>
  <c r="B52" i="72" s="1"/>
  <c r="H102" i="9"/>
  <c r="H118" i="9"/>
  <c r="E118" i="9"/>
  <c r="D118" i="9" l="1"/>
  <c r="E4" i="52"/>
  <c r="B48" i="72" s="1"/>
  <c r="C104" i="9"/>
  <c r="H119" i="9"/>
  <c r="H5" i="52" s="1"/>
  <c r="H101" i="9"/>
  <c r="D14" i="74" s="1"/>
  <c r="H4" i="52"/>
  <c r="D7" i="53"/>
  <c r="B21" i="72" s="1"/>
  <c r="F14" i="74" l="1"/>
  <c r="E14" i="74"/>
  <c r="B5" i="74"/>
  <c r="D5" i="53"/>
  <c r="H107" i="9"/>
  <c r="G14" i="74" s="1"/>
  <c r="B6" i="74" s="1"/>
  <c r="D6" i="74" s="1"/>
  <c r="D45" i="9"/>
  <c r="M48" i="9"/>
  <c r="D119" i="9"/>
  <c r="D5" i="52" s="1"/>
  <c r="B49" i="72" s="1"/>
  <c r="D4" i="52"/>
  <c r="B47" i="72" s="1"/>
  <c r="D5" i="74" l="1"/>
  <c r="C5" i="74"/>
  <c r="D13" i="53"/>
  <c r="D122" i="9"/>
  <c r="M49" i="9"/>
  <c r="H108" i="9"/>
  <c r="C78" i="9"/>
  <c r="C73" i="9" s="1"/>
  <c r="D55" i="9"/>
  <c r="M53" i="9" s="1"/>
  <c r="C85" i="9"/>
  <c r="D53" i="9"/>
  <c r="C64" i="9"/>
  <c r="C63" i="9" s="1"/>
  <c r="C67" i="9" s="1"/>
  <c r="C93" i="9"/>
  <c r="C86" i="9" s="1"/>
  <c r="C72" i="9"/>
  <c r="D52" i="9"/>
  <c r="B20" i="72"/>
  <c r="D6" i="53"/>
  <c r="B22" i="72" s="1"/>
  <c r="C79" i="9" l="1"/>
  <c r="C95" i="9"/>
  <c r="C96" i="9" s="1"/>
  <c r="E96" i="9" s="1"/>
  <c r="E97" i="9" s="1"/>
  <c r="C6" i="74"/>
  <c r="D15" i="53"/>
  <c r="B31" i="72" s="1"/>
  <c r="C80" i="9"/>
  <c r="E80" i="9" s="1"/>
  <c r="E81" i="9" s="1"/>
  <c r="L64" i="9"/>
  <c r="M64" i="9" s="1"/>
  <c r="L65" i="9"/>
  <c r="M65" i="9" s="1"/>
  <c r="L68" i="9"/>
  <c r="M68" i="9" s="1"/>
  <c r="L67" i="9"/>
  <c r="M67" i="9" s="1"/>
  <c r="L63" i="9"/>
  <c r="M63" i="9" s="1"/>
  <c r="L66" i="9"/>
  <c r="M66" i="9" s="1"/>
  <c r="D8" i="52"/>
  <c r="D123" i="9"/>
  <c r="D9" i="52" s="1"/>
  <c r="D59" i="9"/>
  <c r="M55" i="9" s="1"/>
  <c r="C68" i="9"/>
  <c r="D54" i="9" s="1"/>
  <c r="D14" i="53"/>
  <c r="B32" i="72" s="1"/>
  <c r="B30" i="72"/>
  <c r="C81" i="9" l="1"/>
  <c r="M69" i="9"/>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<sst xmlns="http://schemas.openxmlformats.org/spreadsheetml/2006/main" count="7938" uniqueCount="3498">
  <si>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</si>
  <si>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</si>
  <si>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</si>
  <si>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</si>
  <si>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</si>
  <si>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</si>
  <si>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</si>
  <si>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</si>
  <si>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</si>
  <si>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</si>
  <si>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</si>
  <si>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</si>
  <si>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</si>
  <si>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</si>
  <si>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</si>
  <si>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</si>
  <si>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</si>
  <si>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</si>
  <si>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</si>
  <si>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</si>
  <si>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</si>
  <si>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</si>
  <si>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</si>
  <si>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</si>
  <si>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</si>
  <si>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</si>
  <si>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</si>
  <si>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</si>
  <si>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</si>
  <si>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</si>
  <si>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</si>
  <si>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</si>
  <si>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</si>
  <si>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</si>
  <si>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</si>
  <si>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</si>
  <si>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</si>
  <si>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</si>
  <si>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</si>
  <si>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</si>
  <si>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</si>
  <si>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</si>
  <si>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</si>
  <si>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</si>
  <si>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</si>
  <si>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</si>
  <si>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</si>
  <si>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</si>
  <si>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</si>
  <si>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</si>
  <si>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</si>
  <si>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</si>
  <si>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</si>
  <si>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</si>
  <si>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</si>
  <si>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</si>
  <si>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</si>
  <si>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</si>
  <si>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</si>
  <si>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</si>
  <si>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</si>
  <si>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</si>
  <si>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</si>
  <si>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</si>
  <si>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</si>
  <si>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</si>
  <si>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</si>
  <si>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</si>
  <si>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</si>
  <si>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</si>
  <si>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</si>
  <si>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</si>
  <si>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</si>
  <si>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</si>
  <si>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</si>
  <si>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</si>
  <si>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</si>
  <si>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</si>
  <si>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</si>
  <si>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</si>
  <si>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</si>
  <si>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</si>
  <si>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</si>
  <si>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</si>
  <si>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</si>
  <si>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</si>
  <si>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</si>
  <si>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</si>
  <si>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</si>
  <si>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</si>
  <si>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</si>
  <si>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</si>
  <si>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</si>
  <si>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</si>
  <si>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</si>
  <si>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</si>
  <si>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</si>
  <si>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</si>
  <si>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</si>
  <si>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</si>
  <si>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</si>
  <si>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</si>
  <si>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</si>
  <si>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</si>
  <si>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</si>
  <si>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</si>
  <si>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</si>
  <si>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</si>
  <si>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</si>
  <si>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</si>
  <si>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</si>
  <si>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</si>
  <si>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</si>
  <si>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</si>
  <si>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</si>
  <si>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</si>
  <si>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</si>
  <si>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</si>
  <si>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</si>
  <si>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</si>
  <si>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</si>
  <si>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</si>
  <si>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</si>
  <si>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</si>
  <si>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</si>
  <si>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</si>
  <si>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</si>
  <si>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</si>
  <si>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</si>
  <si>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</si>
  <si>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</si>
  <si>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</si>
  <si>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</si>
  <si>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</si>
  <si>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</si>
  <si>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</si>
  <si>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</si>
  <si>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</si>
  <si>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</si>
  <si>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</si>
  <si>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</si>
  <si>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</si>
  <si>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</si>
  <si>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</si>
  <si>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</si>
  <si>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</si>
  <si>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</si>
  <si>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</si>
  <si>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</si>
  <si>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</si>
  <si>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</si>
  <si>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</si>
  <si>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</si>
  <si>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</si>
  <si>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</si>
  <si>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</si>
  <si>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</si>
  <si>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</si>
  <si>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</si>
  <si>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</si>
  <si>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</si>
  <si>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</si>
  <si>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</si>
  <si>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</si>
  <si>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</si>
  <si>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</si>
  <si>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</si>
  <si>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</si>
  <si>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</si>
  <si>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</si>
  <si>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</si>
  <si>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</si>
  <si>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</si>
  <si>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</si>
  <si>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</si>
  <si>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</si>
  <si>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</si>
  <si>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</si>
  <si>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</si>
  <si>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</si>
  <si>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</si>
  <si>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</si>
  <si>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</si>
  <si>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</si>
  <si>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</si>
  <si>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</si>
  <si>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</si>
  <si>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</si>
  <si>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</si>
  <si>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</si>
  <si>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</si>
  <si>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</si>
  <si>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</si>
  <si>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</si>
  <si>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</si>
  <si>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</si>
  <si>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</si>
  <si>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</si>
  <si>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</si>
  <si>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</si>
  <si>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</si>
  <si>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</si>
  <si>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</si>
  <si>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</si>
  <si>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</si>
  <si>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</si>
  <si>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</si>
  <si>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</si>
  <si>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</si>
  <si>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</si>
  <si>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</si>
  <si>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</si>
  <si>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</si>
  <si>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</si>
  <si>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</si>
  <si>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</si>
  <si>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</si>
  <si>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</si>
  <si>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</si>
  <si>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</si>
  <si>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</si>
  <si>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</si>
  <si>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</si>
  <si>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</si>
  <si>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</si>
  <si>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</si>
  <si>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</si>
  <si>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</si>
  <si>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</si>
  <si>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</si>
  <si>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</si>
  <si>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</si>
  <si>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</si>
  <si>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</si>
  <si>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</si>
  <si>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</si>
  <si>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</si>
  <si>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</si>
  <si>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</si>
  <si>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</si>
  <si>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</si>
  <si>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</si>
  <si>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</si>
  <si>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</si>
  <si>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</si>
  <si>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</si>
  <si>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</si>
  <si>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</si>
  <si>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</si>
  <si>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</si>
  <si>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</si>
  <si>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</si>
  <si>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</si>
  <si>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</si>
  <si>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</si>
  <si>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</si>
  <si>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</si>
  <si>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</si>
  <si>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</si>
  <si>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</si>
  <si>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</si>
  <si>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</si>
  <si>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</si>
  <si>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</si>
  <si>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</si>
  <si>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</si>
  <si>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</si>
  <si>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</si>
  <si>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</si>
  <si>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</si>
  <si>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</si>
  <si>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</si>
  <si>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</si>
  <si>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</si>
  <si>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</si>
  <si>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</si>
  <si>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</si>
  <si>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</si>
  <si>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</si>
  <si>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</si>
  <si>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</si>
  <si>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</si>
  <si>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</si>
  <si>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</si>
  <si>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</si>
  <si>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</si>
  <si>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</si>
  <si>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</si>
  <si>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</si>
  <si>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</si>
  <si>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</si>
  <si>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</si>
  <si>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</si>
  <si>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</si>
  <si>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</si>
  <si>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</si>
  <si>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</si>
  <si>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</si>
  <si>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</si>
  <si>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</si>
  <si>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</si>
  <si>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</si>
  <si>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</si>
  <si>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</si>
  <si>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</si>
  <si>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</si>
  <si>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</si>
  <si>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</si>
  <si>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</si>
  <si>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</si>
  <si>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</si>
  <si>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</si>
  <si>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</si>
  <si>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</si>
  <si>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</si>
  <si>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</si>
  <si>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</si>
  <si>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</si>
  <si>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</si>
  <si>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</si>
  <si>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</si>
  <si>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</si>
  <si>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</si>
  <si>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</si>
  <si>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</si>
  <si>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</si>
  <si>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</si>
  <si>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</si>
  <si>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</si>
  <si>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</si>
  <si>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</si>
  <si>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</si>
  <si>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</si>
  <si>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</si>
  <si>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</si>
  <si>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</si>
  <si>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</si>
  <si>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</si>
  <si>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</si>
  <si>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</si>
  <si>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</si>
  <si>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</si>
  <si>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</si>
  <si>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</si>
  <si>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</si>
  <si>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</si>
  <si>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</si>
  <si>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</si>
  <si>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</si>
  <si>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</si>
  <si>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</si>
  <si>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</si>
  <si>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</si>
  <si>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</si>
  <si>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</si>
  <si>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</si>
  <si>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</si>
  <si>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</si>
  <si>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</si>
  <si>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</si>
  <si>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</si>
  <si>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</si>
  <si>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</si>
  <si>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</si>
  <si>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</si>
  <si>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</si>
  <si>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</si>
  <si>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</si>
  <si>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</si>
  <si>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</si>
  <si>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</si>
  <si>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</si>
  <si>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</si>
  <si>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</si>
  <si>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</si>
  <si>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</si>
  <si>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</si>
  <si>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</si>
  <si>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</si>
  <si>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</si>
  <si>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</si>
  <si>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</si>
  <si>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</si>
  <si>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</si>
  <si>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</si>
  <si>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</si>
  <si>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</si>
  <si>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</si>
  <si>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</si>
  <si>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</si>
  <si>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</si>
  <si>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</si>
  <si>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</si>
  <si>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</si>
  <si>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</si>
  <si>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</si>
  <si>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</si>
  <si>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</si>
  <si>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</si>
  <si>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</si>
  <si>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</si>
  <si>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</si>
  <si>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</si>
  <si>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</si>
  <si>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</si>
  <si>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</si>
  <si>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</si>
  <si>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</si>
  <si>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</si>
  <si>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</si>
  <si>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</si>
  <si>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</si>
  <si>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</si>
  <si>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</si>
  <si>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</si>
  <si>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</si>
  <si>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</si>
  <si>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</si>
  <si>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</si>
  <si>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</si>
  <si>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</si>
  <si>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</si>
  <si>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</si>
  <si>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</si>
  <si>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</si>
  <si>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</si>
  <si>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</si>
  <si>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</si>
  <si>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</si>
  <si>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</si>
  <si>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</si>
  <si>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</si>
  <si>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</si>
  <si>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</si>
  <si>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</si>
  <si>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</si>
  <si>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</si>
  <si>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</si>
  <si>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</si>
  <si>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</si>
  <si>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</si>
  <si>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</si>
  <si>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</si>
  <si>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</si>
  <si>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</si>
  <si>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</si>
  <si>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</si>
  <si>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</si>
  <si>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</si>
  <si>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</si>
  <si>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</si>
  <si>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</si>
  <si>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</si>
  <si>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</si>
  <si>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</si>
  <si>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</si>
  <si>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</si>
  <si>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</si>
  <si>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</si>
  <si>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</si>
  <si>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</si>
  <si>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</si>
  <si>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</si>
  <si>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</si>
  <si>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</si>
  <si>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</si>
  <si>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</si>
  <si>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</si>
  <si>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</si>
  <si>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</si>
  <si>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</si>
  <si>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</si>
  <si>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</si>
  <si>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</si>
  <si>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</si>
  <si>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</si>
  <si>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</si>
  <si>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</si>
  <si>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</si>
  <si>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</si>
  <si>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</si>
  <si>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</si>
  <si>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</si>
  <si>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</si>
  <si>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</si>
  <si>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</si>
  <si>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</si>
  <si>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</si>
  <si>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</si>
  <si>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</si>
  <si>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</si>
  <si>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</si>
  <si>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</si>
  <si>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</si>
  <si>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</si>
  <si>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</si>
  <si>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</si>
  <si>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</si>
  <si>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</si>
  <si>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</si>
  <si>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</si>
  <si>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</si>
  <si>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</si>
  <si>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</si>
  <si>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</si>
  <si>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</si>
  <si>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</si>
  <si>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</si>
  <si>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</si>
  <si>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</si>
  <si>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</si>
  <si>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</si>
  <si>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</si>
  <si>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</si>
  <si>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</si>
  <si>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</si>
  <si>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</si>
  <si>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</si>
  <si>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</si>
  <si>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</si>
  <si>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</si>
  <si>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</si>
  <si>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</si>
  <si>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</si>
  <si>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</si>
  <si>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</si>
  <si>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</si>
  <si>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</si>
  <si>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</si>
  <si>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</si>
  <si>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</si>
  <si>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</si>
  <si>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</si>
  <si>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</si>
  <si>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</si>
  <si>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</si>
  <si>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</si>
  <si>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</si>
  <si>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</si>
  <si>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</si>
  <si>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</si>
  <si>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</si>
  <si>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</si>
  <si>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</si>
  <si>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</si>
  <si>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</si>
  <si>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</si>
  <si>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</si>
  <si>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</si>
  <si>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</si>
  <si>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</si>
  <si>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</si>
  <si>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</si>
  <si>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</si>
  <si>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</si>
  <si>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</si>
  <si>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</si>
  <si>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</si>
  <si>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</si>
  <si>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</si>
  <si>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</si>
  <si>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</si>
  <si>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</si>
  <si>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</si>
  <si>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</si>
  <si>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</si>
  <si>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</si>
  <si>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</si>
  <si>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</si>
  <si>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</si>
  <si>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</si>
  <si>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</si>
  <si>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</si>
  <si>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</si>
  <si>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</si>
  <si>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</si>
  <si>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</si>
  <si>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</si>
  <si>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</si>
  <si>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</si>
  <si>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</si>
  <si>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</si>
  <si>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</si>
  <si>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</si>
  <si>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</si>
  <si>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</si>
  <si>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</si>
  <si>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</si>
  <si>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</si>
  <si>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</si>
  <si>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</si>
  <si>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</si>
  <si>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</si>
  <si>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</si>
  <si>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</si>
  <si>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</si>
  <si>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</si>
  <si>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</si>
  <si>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</si>
  <si>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</si>
  <si>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</si>
  <si>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</si>
  <si>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</si>
  <si>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</si>
  <si>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</si>
  <si>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</si>
  <si>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</si>
  <si>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</si>
  <si>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</si>
  <si>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</si>
  <si>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</si>
  <si>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</si>
  <si>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</si>
  <si>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</si>
  <si>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</si>
  <si>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</si>
  <si>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</si>
  <si>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</si>
  <si>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</si>
  <si>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</si>
  <si>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</si>
  <si>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</si>
  <si>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</si>
  <si>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</si>
  <si>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</si>
  <si>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</si>
  <si>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</si>
  <si>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</si>
  <si>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</si>
  <si>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</si>
  <si>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</si>
  <si>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</si>
  <si>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</si>
  <si>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</si>
  <si>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</si>
  <si>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</si>
  <si>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</si>
  <si>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</si>
  <si>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</si>
  <si>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</si>
  <si>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</si>
  <si>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</si>
  <si>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</si>
  <si>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</si>
  <si>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</si>
  <si>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</si>
  <si>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</si>
  <si>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</si>
  <si>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</si>
  <si>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</si>
  <si>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</si>
  <si>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</si>
  <si>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</si>
  <si>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</si>
  <si>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</si>
  <si>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</si>
  <si>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</si>
  <si>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</si>
  <si>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</si>
  <si>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</si>
  <si>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</si>
  <si>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</si>
  <si>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</si>
  <si>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</si>
  <si>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</si>
  <si>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</si>
  <si>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</si>
  <si>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</si>
  <si>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</si>
  <si>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</si>
  <si>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</si>
  <si>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</si>
  <si>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</si>
  <si>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</si>
  <si>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</si>
  <si>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</si>
  <si>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</si>
  <si>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</si>
  <si>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</si>
  <si>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</si>
  <si>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</si>
  <si>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</si>
  <si>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</si>
  <si>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</si>
  <si>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</si>
  <si>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</si>
  <si>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</si>
  <si>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</si>
  <si>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</si>
  <si>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</si>
  <si>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</si>
  <si>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</si>
  <si>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</si>
  <si>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</si>
  <si>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</si>
  <si>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</si>
  <si>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</si>
  <si>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</si>
  <si>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</si>
  <si>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</si>
  <si>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</si>
  <si>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</si>
  <si>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</si>
  <si>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</si>
  <si>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</si>
  <si>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</si>
  <si>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</si>
  <si>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</si>
  <si>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</si>
  <si>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</si>
  <si>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</si>
  <si>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</si>
  <si>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</si>
  <si>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</si>
  <si>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</si>
  <si>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</si>
  <si>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</si>
  <si>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</si>
  <si>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</si>
  <si>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</si>
  <si>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</si>
  <si>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</si>
  <si>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</si>
  <si>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</si>
  <si>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</si>
  <si>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</si>
  <si>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</si>
  <si>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</si>
  <si>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</si>
  <si>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</si>
  <si>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</si>
  <si>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</si>
  <si>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</si>
  <si>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</si>
  <si>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</si>
  <si>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</si>
  <si>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</si>
  <si>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</si>
  <si>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</si>
  <si>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</si>
  <si>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</si>
  <si>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</si>
  <si>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</si>
  <si>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</si>
  <si>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</si>
  <si>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</si>
  <si>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</si>
  <si>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</si>
  <si>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</si>
  <si>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</si>
  <si>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</si>
  <si>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</si>
  <si>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</si>
  <si>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</si>
  <si>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</si>
  <si>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</si>
  <si>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</si>
  <si>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</si>
  <si>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</si>
  <si>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</si>
  <si>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</si>
  <si>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</si>
  <si>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</si>
  <si>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</si>
  <si>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</si>
  <si>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</si>
  <si>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</si>
  <si>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</si>
  <si>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</si>
  <si>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</si>
  <si>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</si>
  <si>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</si>
  <si>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</si>
  <si>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</si>
  <si>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</si>
  <si>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</si>
  <si>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</si>
  <si>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</si>
  <si>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</si>
  <si>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</si>
  <si>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</si>
  <si>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</si>
  <si>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</si>
  <si>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</si>
  <si>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</si>
  <si>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</si>
  <si>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</si>
  <si>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</si>
  <si>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</si>
  <si>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</si>
  <si>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</si>
  <si>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</si>
  <si>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</si>
  <si>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</si>
  <si>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</si>
  <si>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</si>
  <si>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</si>
  <si>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</si>
  <si>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</si>
  <si>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</si>
  <si>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</si>
  <si>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</si>
  <si>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</si>
  <si>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</si>
  <si>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</si>
  <si>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</si>
  <si>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</si>
  <si>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</si>
  <si>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</si>
  <si>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</si>
  <si>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</si>
  <si>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</si>
  <si>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</si>
  <si>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</si>
  <si>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</si>
  <si>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</si>
  <si>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</si>
  <si>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</si>
  <si>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</si>
  <si>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</si>
  <si>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</si>
  <si>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</si>
  <si>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</si>
  <si>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</si>
  <si>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</si>
  <si>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</si>
  <si>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</si>
  <si>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</si>
  <si>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</si>
  <si>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</si>
  <si>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</si>
  <si>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</si>
  <si>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</si>
  <si>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</si>
  <si>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</si>
  <si>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</si>
  <si>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</si>
  <si>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</si>
  <si>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</si>
  <si>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</si>
  <si>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</si>
  <si>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</si>
  <si>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</si>
  <si>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</si>
  <si>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</si>
  <si>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</si>
  <si>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</si>
  <si>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</si>
  <si>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</si>
  <si>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</si>
  <si>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</si>
  <si>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</si>
  <si>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</si>
  <si>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</si>
  <si>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</si>
  <si>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</si>
  <si>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</si>
  <si>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</si>
  <si>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</si>
  <si>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</si>
  <si>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</si>
  <si>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</si>
  <si>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</si>
  <si>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</si>
  <si>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</si>
  <si>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</si>
  <si>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</si>
  <si>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</si>
  <si>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</si>
  <si>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</si>
  <si>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</si>
  <si>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</si>
  <si>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</si>
  <si>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</si>
  <si>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</si>
  <si>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</si>
  <si>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</si>
  <si>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</si>
  <si>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</si>
  <si>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</si>
  <si>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</si>
  <si>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</si>
  <si>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</si>
  <si>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</si>
  <si>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</si>
  <si>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</si>
  <si>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</si>
  <si>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</si>
  <si>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</si>
  <si>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</si>
  <si>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</si>
  <si>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</si>
  <si>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</si>
  <si>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</si>
  <si>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</si>
  <si>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</si>
  <si>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</si>
  <si>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</si>
  <si>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</si>
  <si>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</si>
  <si>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</si>
  <si>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</si>
  <si>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</si>
  <si>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</si>
  <si>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</si>
  <si>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</si>
  <si>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</si>
  <si>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</si>
  <si>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</si>
  <si>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</si>
  <si>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</si>
  <si>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</si>
  <si>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</si>
  <si>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</si>
  <si>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</si>
  <si>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</si>
  <si>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</si>
  <si>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</si>
  <si>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</si>
  <si>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</si>
  <si>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</si>
  <si>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</si>
  <si>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</si>
  <si>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</si>
  <si>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</si>
  <si>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</si>
  <si>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</si>
  <si>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</si>
  <si>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</si>
  <si>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</si>
  <si>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</si>
  <si>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</si>
  <si>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</si>
  <si>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</si>
  <si>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</si>
  <si>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</si>
  <si>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</si>
  <si>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</si>
  <si>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</si>
  <si>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</si>
  <si>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</si>
  <si>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</si>
  <si>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</si>
  <si>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</si>
  <si>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</si>
  <si>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</si>
  <si>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</si>
  <si>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</si>
  <si>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</si>
  <si>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</si>
  <si>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</si>
  <si>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</si>
  <si>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</si>
  <si>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</si>
  <si>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</si>
  <si>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</si>
  <si>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</si>
  <si>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</si>
  <si>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</si>
  <si>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</si>
  <si>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</si>
  <si>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</si>
  <si>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</si>
  <si>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</si>
  <si>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</si>
  <si>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</si>
  <si>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</si>
  <si>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</si>
  <si>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</si>
  <si>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</si>
  <si>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</si>
  <si>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</si>
  <si>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</si>
  <si>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</si>
  <si>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</si>
  <si>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</si>
  <si>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</si>
  <si>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</si>
  <si>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</si>
  <si>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</si>
  <si>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</si>
  <si>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</si>
  <si>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</si>
  <si>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</si>
  <si>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</si>
  <si>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</si>
  <si>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</si>
  <si>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</si>
  <si>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</si>
  <si>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</si>
  <si>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</si>
  <si>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</si>
  <si>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</si>
  <si>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</si>
  <si>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</si>
  <si>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</si>
  <si>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</si>
  <si>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</si>
  <si>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</si>
  <si>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</si>
  <si>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</si>
  <si>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</si>
  <si>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</si>
  <si>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</si>
  <si>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</si>
  <si>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</si>
  <si>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</si>
  <si>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</si>
  <si>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</si>
  <si>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</si>
  <si>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</si>
  <si>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</si>
  <si>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</si>
  <si>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</si>
  <si>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</si>
  <si>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</si>
  <si>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</si>
  <si>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</si>
  <si>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</si>
  <si>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</si>
  <si>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</si>
  <si>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</si>
  <si>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</si>
  <si>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</si>
  <si>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</si>
  <si>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</si>
  <si>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</si>
  <si>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</si>
  <si>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</si>
  <si>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</si>
  <si>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</si>
  <si>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</si>
  <si>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</si>
  <si>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</si>
  <si>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</si>
  <si>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</si>
  <si>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</si>
  <si>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</si>
  <si>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</si>
  <si>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</si>
  <si>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</si>
  <si>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</si>
  <si>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</si>
  <si>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</si>
  <si>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</si>
  <si>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</si>
  <si>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</si>
  <si>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</si>
  <si>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</si>
  <si>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</si>
  <si>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</si>
  <si>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</si>
  <si>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</si>
  <si>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</si>
  <si>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</si>
  <si>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</si>
  <si>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</si>
  <si>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</si>
  <si>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</si>
  <si>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</si>
  <si>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</si>
  <si>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</si>
  <si>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</si>
  <si>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</si>
  <si>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</si>
  <si>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</si>
  <si>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</si>
  <si>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</si>
  <si>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</si>
  <si>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</si>
  <si>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</si>
  <si>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</si>
  <si>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</si>
  <si>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</si>
  <si>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</si>
  <si>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</si>
  <si>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</si>
  <si>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</si>
  <si>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</si>
  <si>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</si>
  <si>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</si>
  <si>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</si>
  <si>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</si>
  <si>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</si>
  <si>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</si>
  <si>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</si>
  <si>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</si>
  <si>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</si>
  <si>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</si>
  <si>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</si>
  <si>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</si>
  <si>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</si>
  <si>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</si>
  <si>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</si>
  <si>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</si>
  <si>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</si>
  <si>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</si>
  <si>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</si>
  <si>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</si>
  <si>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</si>
  <si>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</si>
  <si>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</si>
  <si>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</si>
  <si>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</si>
  <si>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</si>
  <si>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</si>
  <si>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</si>
  <si>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</si>
  <si>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</si>
  <si>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</si>
  <si>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</si>
  <si>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</si>
  <si>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</si>
  <si>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</si>
  <si>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</si>
  <si>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</si>
  <si>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</si>
  <si>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</si>
  <si>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</si>
  <si>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</si>
  <si>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</si>
  <si>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</si>
  <si>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</si>
  <si>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</si>
  <si>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</si>
  <si>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</si>
  <si>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</si>
  <si>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</si>
  <si>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</si>
  <si>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</si>
  <si>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</si>
  <si>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</si>
  <si>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</si>
  <si>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</si>
  <si>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</si>
  <si>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</si>
  <si>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</si>
  <si>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</si>
  <si>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</si>
  <si>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</si>
  <si>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</si>
  <si>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</si>
  <si>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</si>
  <si>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</si>
  <si>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</si>
  <si>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</si>
  <si>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</si>
  <si>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</si>
  <si>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</si>
  <si>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</si>
  <si>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</si>
  <si>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</si>
  <si>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</si>
  <si>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</si>
  <si>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</si>
  <si>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</si>
  <si>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</si>
  <si>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</si>
  <si>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</si>
  <si>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</si>
  <si>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</si>
  <si>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</si>
  <si>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</si>
  <si>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</si>
  <si>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</si>
  <si>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</si>
  <si>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</si>
  <si>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</si>
  <si>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</si>
  <si>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</si>
  <si>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</si>
  <si>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</si>
  <si>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</si>
  <si>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</si>
  <si>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</si>
  <si>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</si>
  <si>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</si>
  <si>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</si>
  <si>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</si>
  <si>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</si>
  <si>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</si>
  <si>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</si>
  <si>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</si>
  <si>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</si>
  <si>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</si>
  <si>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</si>
  <si>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</si>
  <si>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</si>
  <si>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</si>
  <si>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</si>
  <si>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</si>
  <si>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</si>
  <si>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</si>
  <si>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</si>
  <si>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</si>
  <si>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</si>
  <si>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</si>
  <si>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</si>
  <si>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</si>
  <si>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</si>
  <si>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</si>
  <si>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</si>
  <si>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</si>
  <si>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</si>
  <si>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</si>
  <si>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</si>
  <si>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</si>
  <si>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</si>
  <si>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</si>
  <si>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</si>
  <si>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</si>
  <si>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</si>
  <si>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</si>
  <si>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</si>
  <si>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</si>
  <si>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</si>
  <si>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</si>
  <si>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</si>
  <si>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</si>
  <si>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</si>
  <si>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</si>
  <si>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</si>
  <si>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</si>
  <si>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</si>
  <si>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</si>
  <si>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</si>
  <si>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</si>
  <si>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</si>
  <si>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</si>
  <si>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</si>
  <si>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</si>
  <si>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</si>
  <si>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</si>
  <si>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</si>
  <si>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</si>
  <si>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</si>
  <si>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</si>
  <si>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</si>
  <si>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</si>
  <si>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</si>
  <si>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</si>
  <si>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</si>
  <si>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</si>
  <si>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</si>
  <si>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</si>
  <si>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</si>
  <si>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</si>
  <si>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</si>
  <si>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</si>
  <si>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</si>
  <si>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</si>
  <si>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</si>
  <si>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</si>
  <si>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</si>
  <si>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</si>
  <si>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</si>
  <si>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</si>
  <si>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</si>
  <si>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</si>
  <si>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</si>
  <si>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</si>
  <si>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</si>
  <si>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</si>
  <si>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</si>
  <si>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</si>
  <si>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</si>
  <si>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</si>
  <si>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</si>
  <si>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</si>
  <si>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</si>
  <si>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</si>
  <si>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</si>
  <si>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</si>
  <si>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</si>
  <si>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</si>
  <si>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</si>
  <si>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</si>
  <si>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</si>
  <si>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</si>
  <si>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</si>
  <si>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</si>
  <si>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</si>
  <si>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</si>
  <si>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</si>
  <si>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</si>
  <si>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</si>
  <si>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</si>
  <si>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</si>
  <si>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</si>
  <si>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</si>
  <si>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</si>
  <si>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</si>
  <si>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</si>
  <si>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</si>
  <si>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</si>
  <si>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</si>
  <si>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</si>
  <si>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</si>
  <si>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</si>
  <si>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</si>
  <si>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</si>
  <si>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</si>
  <si>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</si>
  <si>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</si>
  <si>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</si>
  <si>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</si>
  <si>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</si>
  <si>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</si>
  <si>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</si>
  <si>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</si>
  <si>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</si>
  <si>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</si>
  <si>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</si>
  <si>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</si>
  <si>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</si>
  <si>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</si>
  <si>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</si>
  <si>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</si>
  <si>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</si>
  <si>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</si>
  <si>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</si>
  <si>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</si>
  <si>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</si>
  <si>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</si>
  <si>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</si>
  <si>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</si>
  <si>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</si>
  <si>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</si>
  <si>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</si>
  <si>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</si>
  <si>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</si>
  <si>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</si>
  <si>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</si>
  <si>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</si>
  <si>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</si>
  <si>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</si>
  <si>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</si>
  <si>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</si>
  <si>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</si>
  <si>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</si>
  <si>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</si>
  <si>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</si>
  <si>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</si>
  <si>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</si>
  <si>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</si>
  <si>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</si>
  <si>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</si>
  <si>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</si>
  <si>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</si>
  <si>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</si>
  <si>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</si>
  <si>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</si>
  <si>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</si>
  <si>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</si>
  <si>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</si>
  <si>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</si>
  <si>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</si>
  <si>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</si>
  <si>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</si>
  <si>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</si>
  <si>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</si>
  <si>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</si>
  <si>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</si>
  <si>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</si>
  <si>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</si>
  <si>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</si>
  <si>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</si>
  <si>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</si>
  <si>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</si>
  <si>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</si>
  <si>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</si>
  <si>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</si>
  <si>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</si>
  <si>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</si>
  <si>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</si>
  <si>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</si>
  <si>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</si>
  <si>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</si>
  <si>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</si>
  <si>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</si>
  <si>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</si>
  <si>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</si>
  <si>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</si>
  <si>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</si>
  <si>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</si>
  <si>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</si>
  <si>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</si>
  <si>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</si>
  <si>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</si>
  <si>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</si>
  <si>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</si>
  <si>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</si>
  <si>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</si>
  <si>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</si>
  <si>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</si>
  <si>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</si>
  <si>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</si>
  <si>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</si>
  <si>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</si>
  <si>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</si>
  <si>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</si>
  <si>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</si>
  <si>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</si>
  <si>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</si>
  <si>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</si>
  <si>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</si>
  <si>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</si>
  <si>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</si>
  <si>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</si>
  <si>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</si>
  <si>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</si>
  <si>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</si>
  <si>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</si>
  <si>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</si>
  <si>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</si>
  <si>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</si>
  <si>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</si>
  <si>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</si>
  <si>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</si>
  <si>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</si>
  <si>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</si>
  <si>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</si>
  <si>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</si>
  <si>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</si>
  <si>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</si>
  <si>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</si>
  <si>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</si>
  <si>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</si>
  <si>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</si>
  <si>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</si>
  <si>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</si>
  <si>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</si>
  <si>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</si>
  <si>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</si>
  <si>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</si>
  <si>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</si>
  <si>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</si>
  <si>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</si>
  <si>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</si>
  <si>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</si>
  <si>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</si>
  <si>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</si>
  <si>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</si>
  <si>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</si>
  <si>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</si>
  <si>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</si>
  <si>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</si>
  <si>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</si>
  <si>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</si>
  <si>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</si>
  <si>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</si>
  <si>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</si>
  <si>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</si>
  <si>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</si>
  <si>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</si>
  <si>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</si>
  <si>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</si>
  <si>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</si>
  <si>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</si>
  <si>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</si>
  <si>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</si>
  <si>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</si>
  <si>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</si>
  <si>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</si>
  <si>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</si>
  <si>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</si>
  <si>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</si>
  <si>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</si>
  <si>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</si>
  <si>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</si>
  <si>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</si>
  <si>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</si>
  <si>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</si>
  <si>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</si>
  <si>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</si>
  <si>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</si>
  <si>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</si>
  <si>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</si>
  <si>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</si>
  <si>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</si>
  <si>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</si>
  <si>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</si>
  <si>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</si>
  <si>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</si>
  <si>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</si>
  <si>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</si>
  <si>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</si>
  <si>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</si>
  <si>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</si>
  <si>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</si>
  <si>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</si>
  <si>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</si>
  <si>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</si>
  <si>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</si>
  <si>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</si>
  <si>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</si>
  <si>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</si>
  <si>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</si>
  <si>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</si>
  <si>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</si>
  <si>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</si>
  <si>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</si>
  <si>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</si>
  <si>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</si>
  <si>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</si>
  <si>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</si>
  <si>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</si>
  <si>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</si>
  <si>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</si>
  <si>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</si>
  <si>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</si>
  <si>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</si>
  <si>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</si>
  <si>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</si>
  <si>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</si>
  <si>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</si>
  <si>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</si>
  <si>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</si>
  <si>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</si>
  <si>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</si>
  <si>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</si>
  <si>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</si>
  <si>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</si>
  <si>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</si>
  <si>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</si>
  <si>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</si>
  <si>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</si>
  <si>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</si>
  <si>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</si>
  <si>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</si>
  <si>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</si>
  <si>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</si>
  <si>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</si>
  <si>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</si>
  <si>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</si>
  <si>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</si>
  <si>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</si>
  <si>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</si>
  <si>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</si>
  <si>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</si>
  <si>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</si>
  <si>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</si>
  <si>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</si>
  <si>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</si>
  <si>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</si>
  <si>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</si>
  <si>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</si>
  <si>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</si>
  <si>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</si>
  <si>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</si>
  <si>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</si>
  <si>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</si>
  <si>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</si>
  <si>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</si>
  <si>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</si>
  <si>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</si>
  <si>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</si>
  <si>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</si>
  <si>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</si>
  <si>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</si>
  <si>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</si>
  <si>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</si>
  <si>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</si>
  <si>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</si>
  <si>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</si>
  <si>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</si>
  <si>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</si>
  <si>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</si>
  <si>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</si>
  <si>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</si>
  <si>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</si>
  <si>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</si>
  <si>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</si>
  <si>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</si>
  <si>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</si>
  <si>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</si>
  <si>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</si>
  <si>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</si>
  <si>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</si>
  <si>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</si>
  <si>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</si>
  <si>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</si>
  <si>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</si>
  <si>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</si>
  <si>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</si>
  <si>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</si>
  <si>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</si>
  <si>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</si>
  <si>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</si>
  <si>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</si>
  <si>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</si>
  <si>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</si>
  <si>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</si>
  <si>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</si>
  <si>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</si>
  <si>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</si>
  <si>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</si>
  <si>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</si>
  <si>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</si>
  <si>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</si>
  <si>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</si>
  <si>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</si>
  <si>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</si>
  <si>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</si>
  <si>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</si>
  <si>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</si>
  <si>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</si>
  <si>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</si>
  <si>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</si>
  <si>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</si>
  <si>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</si>
  <si>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</si>
  <si>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</si>
  <si>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</si>
  <si>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</si>
  <si>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</si>
  <si>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</si>
  <si>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</si>
  <si>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</si>
  <si>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</si>
  <si>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</si>
  <si>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</si>
  <si>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</si>
  <si>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</si>
  <si>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</si>
  <si>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</si>
  <si>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</si>
  <si>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</si>
  <si>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</si>
  <si>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</si>
  <si>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</si>
  <si>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</si>
  <si>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</si>
  <si>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</si>
  <si>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</si>
  <si>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</si>
  <si>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</si>
  <si>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</si>
  <si>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</si>
  <si>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</si>
  <si>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</si>
  <si>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</si>
  <si>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</si>
  <si>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</si>
  <si>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</si>
  <si>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</si>
  <si>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</si>
  <si>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</si>
  <si>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</si>
  <si>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</si>
  <si>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</si>
  <si>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</si>
  <si>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</si>
  <si>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</si>
  <si>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</si>
  <si>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</si>
  <si>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</si>
  <si>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</si>
  <si>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</si>
  <si>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</si>
  <si>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</si>
  <si>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</si>
  <si>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</si>
  <si>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</si>
  <si>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</si>
  <si>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</si>
  <si>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</si>
  <si>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</si>
  <si>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</si>
  <si>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</si>
  <si>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</si>
  <si>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</si>
  <si>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</si>
  <si>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</si>
  <si>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</si>
  <si>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</si>
  <si>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</si>
  <si>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</si>
  <si>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</si>
  <si>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</si>
  <si>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</si>
  <si>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</si>
  <si>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</si>
  <si>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</si>
  <si>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</si>
  <si>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</si>
  <si>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</si>
  <si>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</si>
  <si>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</si>
  <si>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</si>
  <si>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</si>
  <si>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</si>
  <si>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</si>
  <si>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</si>
  <si>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</si>
  <si>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</si>
  <si>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</si>
  <si>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</si>
  <si>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</si>
  <si>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</si>
  <si>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</si>
  <si>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</si>
  <si>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</si>
  <si>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</si>
  <si>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</si>
  <si>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</si>
  <si>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</si>
  <si>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</si>
  <si>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</si>
  <si>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</si>
  <si>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</si>
  <si>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</si>
  <si>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</si>
  <si>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</si>
  <si>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</si>
  <si>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</si>
  <si>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</si>
  <si>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</si>
  <si>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</si>
  <si>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</si>
  <si>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</si>
  <si>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</si>
  <si>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</si>
  <si>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</si>
  <si>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</si>
  <si>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</si>
  <si>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</si>
  <si>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</si>
  <si>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</si>
  <si>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</si>
  <si>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</si>
  <si>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</si>
  <si>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</si>
  <si>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</si>
  <si>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</si>
  <si>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</si>
  <si>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</si>
  <si>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</si>
  <si>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</si>
  <si>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</si>
  <si>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</si>
  <si>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</si>
  <si>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</si>
  <si>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</si>
  <si>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</si>
  <si>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</si>
  <si>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</si>
  <si>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</si>
  <si>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</si>
  <si>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</si>
  <si>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</si>
  <si>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</si>
  <si>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</si>
  <si>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</si>
  <si>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</si>
  <si>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</si>
  <si>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</si>
  <si>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</si>
  <si>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</si>
  <si>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</si>
  <si>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</si>
  <si>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</si>
  <si>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</si>
  <si>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</si>
  <si>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</si>
  <si>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</si>
  <si>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</si>
  <si>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</si>
  <si>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</si>
  <si>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</si>
  <si>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</si>
  <si>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</si>
  <si>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</si>
  <si>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</si>
  <si>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</si>
  <si>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</si>
  <si>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</si>
  <si>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</si>
  <si>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</si>
  <si>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</si>
  <si>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</si>
  <si>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</si>
  <si>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</si>
  <si>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</si>
  <si>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</si>
  <si>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</si>
  <si>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</si>
  <si>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</si>
  <si>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</si>
  <si>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</si>
  <si>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</si>
  <si>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</si>
  <si>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</si>
  <si>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</si>
  <si>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</si>
  <si>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</si>
  <si>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</si>
  <si>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</si>
  <si>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</si>
  <si>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</si>
  <si>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</si>
  <si>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</si>
  <si>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</si>
  <si>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</si>
  <si>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</si>
  <si>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</si>
  <si>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</si>
  <si>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</si>
  <si>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</si>
  <si>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</si>
  <si>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</si>
  <si>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</si>
  <si>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</si>
  <si>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</si>
  <si>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</si>
  <si>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</si>
  <si>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</si>
  <si>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</si>
  <si>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</si>
  <si>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</si>
  <si>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</si>
  <si>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</si>
  <si>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</si>
  <si>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</si>
  <si>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</si>
  <si>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</si>
  <si>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</si>
  <si>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</si>
  <si>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</si>
  <si>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</si>
  <si>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</si>
  <si>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</si>
  <si>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</si>
  <si>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</si>
  <si>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</si>
  <si>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</si>
  <si>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</si>
  <si>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</si>
  <si>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</si>
  <si>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</si>
  <si>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</si>
  <si>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</si>
  <si>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</si>
  <si>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</si>
  <si>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</si>
  <si>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</si>
  <si>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</si>
  <si>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</si>
  <si>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</si>
  <si>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</si>
  <si>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</si>
  <si>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</si>
  <si>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</si>
  <si>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</si>
  <si>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</si>
  <si>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</si>
  <si>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</si>
  <si>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</si>
  <si>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</si>
  <si>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</si>
  <si>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</si>
  <si>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</si>
  <si>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</si>
  <si>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</si>
  <si>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</si>
  <si>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</si>
  <si>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</si>
  <si>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</si>
  <si>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</si>
  <si>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</si>
  <si>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</si>
  <si>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</si>
  <si>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</si>
  <si>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</si>
  <si>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</si>
  <si>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</si>
  <si>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</si>
  <si>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</si>
  <si>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</si>
  <si>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</si>
  <si>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</si>
  <si>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</si>
  <si>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</si>
  <si>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</si>
  <si>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</si>
  <si>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</si>
  <si>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</si>
  <si>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</si>
  <si>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</si>
  <si>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</si>
  <si>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</si>
  <si>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</si>
  <si>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</si>
  <si>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</si>
  <si>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</si>
  <si>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</si>
  <si>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</si>
  <si>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</si>
  <si>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</si>
  <si>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</si>
  <si>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</si>
  <si>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</si>
  <si>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</si>
  <si>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</si>
  <si>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</si>
  <si>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</si>
  <si>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</si>
  <si>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</si>
  <si>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</si>
  <si>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</si>
  <si>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</si>
  <si>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</si>
  <si>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</si>
  <si>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</si>
  <si>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</si>
  <si>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</si>
  <si>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</si>
  <si>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</si>
  <si>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</si>
  <si>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</si>
  <si>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</si>
  <si>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</si>
  <si>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</si>
  <si>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</si>
  <si>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</si>
  <si>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</si>
  <si>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</si>
  <si>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</si>
  <si>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</si>
  <si>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</si>
  <si>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</si>
  <si>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</si>
  <si>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</si>
  <si>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</si>
  <si>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</si>
  <si>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</si>
  <si>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</si>
  <si>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</si>
  <si>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</si>
  <si>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</si>
  <si>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</si>
  <si>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</si>
  <si>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</si>
  <si>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</si>
  <si>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</si>
  <si>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</si>
  <si>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</si>
  <si>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</si>
  <si>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</si>
  <si>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</si>
  <si>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</si>
  <si>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</si>
  <si>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</si>
  <si>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</si>
  <si>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</si>
  <si>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</si>
  <si>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</si>
  <si>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</si>
  <si>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</si>
  <si>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</si>
  <si>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</si>
  <si>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</si>
  <si>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</si>
  <si>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</si>
  <si>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</si>
  <si>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</si>
  <si>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</si>
  <si>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</si>
  <si>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</si>
  <si>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</si>
  <si>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</si>
  <si>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</si>
  <si>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</si>
  <si>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</si>
  <si>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</si>
  <si>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</si>
  <si>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</si>
  <si>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</si>
  <si>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</si>
  <si>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</si>
  <si>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</si>
  <si>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</si>
  <si>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</si>
  <si>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</si>
  <si>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</si>
  <si>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</si>
  <si>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</si>
  <si>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</si>
  <si>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</si>
  <si>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</si>
  <si>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</si>
  <si>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</si>
  <si>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</si>
  <si>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</si>
  <si>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</si>
  <si>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</si>
  <si>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</si>
  <si>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</si>
  <si>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</si>
  <si>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</si>
  <si>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</si>
  <si>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</si>
  <si>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</si>
  <si>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</si>
  <si>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</si>
  <si>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</si>
  <si>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</si>
  <si>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</si>
  <si>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</si>
  <si>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</si>
  <si>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</si>
  <si>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</si>
  <si>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</si>
  <si>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</si>
  <si>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</si>
  <si>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</si>
  <si>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</si>
  <si>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</si>
  <si>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</si>
  <si>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</si>
  <si>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</si>
  <si>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</si>
  <si>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</si>
  <si>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</si>
  <si>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</si>
  <si>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</si>
  <si>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</si>
  <si>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</si>
  <si>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</si>
  <si>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</si>
  <si>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</si>
  <si>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</si>
  <si>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</si>
  <si>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</si>
  <si>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</si>
  <si>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</si>
  <si>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</si>
  <si>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</si>
  <si>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</si>
  <si>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</si>
  <si>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</si>
  <si>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</si>
  <si>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</si>
  <si>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</si>
  <si>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</si>
  <si>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</si>
  <si>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</si>
  <si>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</si>
  <si>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</si>
  <si>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</si>
  <si>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</si>
  <si>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</si>
  <si>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</si>
  <si>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</si>
  <si>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</si>
  <si>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</si>
  <si>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</si>
  <si>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</si>
  <si>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</si>
  <si>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</si>
  <si>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</si>
  <si>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</si>
  <si>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</si>
  <si>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</si>
  <si>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</si>
  <si>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</si>
  <si>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</si>
  <si>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</si>
  <si>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</si>
  <si>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</si>
  <si>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</si>
  <si>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</si>
  <si>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</si>
  <si>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</si>
  <si>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</si>
  <si>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</si>
  <si>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</si>
  <si>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</si>
  <si>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</si>
  <si>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</si>
  <si>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</si>
  <si>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</si>
  <si>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</si>
  <si>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</si>
  <si>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</si>
  <si>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</si>
  <si>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</si>
  <si>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</si>
  <si>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</si>
  <si>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</si>
  <si>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</si>
  <si>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</si>
  <si>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</si>
  <si>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</si>
  <si>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</si>
  <si>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</si>
  <si>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</si>
  <si>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</si>
  <si>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</si>
  <si>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</si>
  <si>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</si>
  <si>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</si>
  <si>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</si>
  <si>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</si>
  <si>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</si>
  <si>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</si>
  <si>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</si>
  <si>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</si>
  <si>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</si>
  <si>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</si>
  <si>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</si>
  <si>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</si>
  <si>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</si>
  <si>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</si>
  <si>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</si>
  <si>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</si>
  <si>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</si>
  <si>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</si>
  <si>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</si>
  <si>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</si>
  <si>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</si>
  <si>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</si>
  <si>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</si>
  <si>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</si>
  <si>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</si>
  <si>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</si>
  <si>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</si>
  <si>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</si>
  <si>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</si>
  <si>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</si>
  <si>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</si>
  <si>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</si>
  <si>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</si>
  <si>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</si>
  <si>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</si>
  <si>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</si>
  <si>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</si>
  <si>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</si>
  <si>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</si>
  <si>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</si>
  <si>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</si>
  <si>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</si>
  <si>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</si>
  <si>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</si>
  <si>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</si>
  <si>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</si>
  <si>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</si>
  <si>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</si>
  <si>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</si>
  <si>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</si>
  <si>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</si>
  <si>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</si>
  <si>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</si>
  <si>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</si>
  <si>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</si>
  <si>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</si>
  <si>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</si>
  <si>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</si>
  <si>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</si>
  <si>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</si>
  <si>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</si>
  <si>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</si>
  <si>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</si>
  <si>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</si>
  <si>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</si>
  <si>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</si>
  <si>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</si>
  <si>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</si>
  <si>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</si>
  <si>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</si>
  <si>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</si>
  <si>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</si>
  <si>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</si>
  <si>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</si>
  <si>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</si>
  <si>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</si>
  <si>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</si>
  <si>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</si>
  <si>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</si>
  <si>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</si>
  <si>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</si>
  <si>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</si>
  <si>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</si>
  <si>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</si>
  <si>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</si>
  <si>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</si>
  <si>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</si>
  <si>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</si>
  <si>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</si>
  <si>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</si>
  <si>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</si>
  <si>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</si>
  <si>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</si>
  <si>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</si>
  <si>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</si>
  <si>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</si>
  <si>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</si>
  <si>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</si>
  <si>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</si>
  <si>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</si>
  <si>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</si>
  <si>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</si>
  <si>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</si>
  <si>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</si>
  <si>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</si>
  <si>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</si>
  <si>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</si>
  <si>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</si>
  <si>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</si>
  <si>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</si>
  <si>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</si>
  <si>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</si>
  <si>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</si>
  <si>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</si>
  <si>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</si>
  <si>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</si>
  <si>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</si>
  <si>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</si>
  <si>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</si>
  <si>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</si>
  <si>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</si>
  <si>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</si>
  <si>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</si>
  <si>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</si>
  <si>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</si>
  <si>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</si>
  <si>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</si>
  <si>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</si>
  <si>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</si>
  <si>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</si>
  <si>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</si>
  <si>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</si>
  <si>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</si>
  <si>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</si>
  <si>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</si>
  <si>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</si>
  <si>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</si>
  <si>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</si>
  <si>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</si>
  <si>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</si>
  <si>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</si>
  <si>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</si>
  <si>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</si>
  <si>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</si>
  <si>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</si>
  <si>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</si>
  <si>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</si>
  <si>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</si>
  <si>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</si>
  <si>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</si>
  <si>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</si>
  <si>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</si>
  <si>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</si>
  <si>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</si>
  <si>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</si>
  <si>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</si>
  <si>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</si>
  <si>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</si>
  <si>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</si>
  <si>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</si>
  <si>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</si>
  <si>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</si>
  <si>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</si>
  <si>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</si>
  <si>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</si>
  <si>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</si>
  <si>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</si>
  <si>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</si>
  <si>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</si>
  <si>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</si>
  <si>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</si>
  <si>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</si>
  <si>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</si>
  <si>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</si>
  <si>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</si>
  <si>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</si>
  <si>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</si>
  <si>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</si>
  <si>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</si>
  <si>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</si>
  <si>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</si>
  <si>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</si>
  <si>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</si>
  <si>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</si>
  <si>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</si>
  <si>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</si>
  <si>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</si>
  <si>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</si>
  <si>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</si>
  <si>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</si>
  <si>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</si>
  <si>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</si>
  <si>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</si>
  <si>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</si>
  <si>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</si>
  <si>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</si>
  <si>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</si>
  <si>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</si>
  <si>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</si>
  <si>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</si>
  <si>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</si>
  <si>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</si>
  <si>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</si>
  <si>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</si>
  <si>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</si>
  <si>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</si>
  <si>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</si>
  <si>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</si>
  <si>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</si>
  <si>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</si>
  <si>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</si>
  <si>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</si>
  <si>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</si>
  <si>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</si>
  <si>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</si>
  <si>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</si>
  <si>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</si>
  <si>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</si>
  <si>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</si>
  <si>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</si>
  <si>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</si>
  <si>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</si>
  <si>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</si>
  <si>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</si>
  <si>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</si>
  <si>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</si>
  <si>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</si>
  <si>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</si>
  <si>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</si>
  <si>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</si>
  <si>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</si>
  <si>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</si>
  <si>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</si>
  <si>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</si>
  <si>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</si>
  <si>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</si>
  <si>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</si>
  <si>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</si>
  <si>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</si>
  <si>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</si>
  <si>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</si>
  <si>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</si>
  <si>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</si>
  <si>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</si>
  <si>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</si>
  <si>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</si>
  <si>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</si>
  <si>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</si>
  <si>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</si>
  <si>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</si>
  <si>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</si>
  <si>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</si>
  <si>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</si>
  <si>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</si>
  <si>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</si>
  <si>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</si>
  <si>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</si>
  <si>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</si>
  <si>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</si>
  <si>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</si>
  <si>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</si>
  <si>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</si>
  <si>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</si>
  <si>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</si>
  <si>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</si>
  <si>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</si>
  <si>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</si>
  <si>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</si>
  <si>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</si>
  <si>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</si>
  <si>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</si>
  <si>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</si>
  <si>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</si>
  <si>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</si>
  <si>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</si>
  <si>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</si>
  <si>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</si>
  <si>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</si>
  <si>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</si>
  <si>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</si>
  <si>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</si>
  <si>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</si>
  <si>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</si>
  <si>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</si>
  <si>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</si>
  <si>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</si>
  <si>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</si>
  <si>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</si>
  <si>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</si>
  <si>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</si>
  <si>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</si>
  <si>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</si>
  <si>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</si>
  <si>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</si>
  <si>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</si>
  <si>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</si>
  <si>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</si>
  <si>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</si>
  <si>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</si>
  <si>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</si>
  <si>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</si>
  <si>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</si>
  <si>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</si>
  <si>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</si>
  <si>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</si>
  <si>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</si>
  <si>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</si>
  <si>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</si>
  <si>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</si>
  <si>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</si>
  <si>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</si>
  <si>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</si>
  <si>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</si>
  <si>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</si>
  <si>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</si>
  <si>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</si>
  <si>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</si>
  <si>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</si>
  <si>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</si>
  <si>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</si>
  <si>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</si>
  <si>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</si>
  <si>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</si>
  <si>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</si>
  <si>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</si>
  <si>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</si>
  <si>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</si>
  <si>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</si>
  <si>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</si>
  <si>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</si>
  <si>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</si>
  <si>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</si>
  <si>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</si>
  <si>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</si>
  <si>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</si>
  <si>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</si>
  <si>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</si>
  <si>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</si>
  <si>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</si>
  <si>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</si>
  <si>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</si>
  <si>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</si>
  <si>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</si>
  <si>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</si>
  <si>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</si>
  <si>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</si>
  <si>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</si>
  <si>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</si>
  <si>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</si>
  <si>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</si>
  <si>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</si>
  <si>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</si>
  <si>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</si>
  <si>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</si>
  <si>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</si>
  <si>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</si>
  <si>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</si>
  <si>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</si>
  <si>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</si>
  <si>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</si>
  <si>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</si>
  <si>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</si>
  <si>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</si>
  <si>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</si>
  <si>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</si>
  <si>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</si>
  <si>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</si>
  <si>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</si>
  <si>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</si>
  <si>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</si>
  <si>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</si>
  <si>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</si>
  <si>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</si>
  <si>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</si>
  <si>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</si>
  <si>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</si>
  <si>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</si>
  <si>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</si>
  <si>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</si>
  <si>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</si>
  <si>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</si>
  <si>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</si>
  <si>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</si>
  <si>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</si>
  <si>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</si>
  <si>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</si>
  <si>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</si>
  <si>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</si>
  <si>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</si>
  <si>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</si>
  <si>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</si>
  <si>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</si>
  <si>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</si>
  <si>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</si>
  <si>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</si>
  <si>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</si>
  <si>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</si>
  <si>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</si>
  <si>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</si>
  <si>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</si>
  <si>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</si>
  <si>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</si>
  <si>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</si>
  <si>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</si>
  <si>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</si>
  <si>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</si>
  <si>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</si>
  <si>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</si>
  <si>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</si>
  <si>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</si>
  <si>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</si>
  <si>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</si>
  <si>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</si>
  <si>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</si>
  <si>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</si>
  <si>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</si>
  <si>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</si>
  <si>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</si>
  <si>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</si>
  <si>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</si>
  <si>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</si>
  <si>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</si>
  <si>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</si>
  <si>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</si>
  <si>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</si>
  <si>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</si>
  <si>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</si>
  <si>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</si>
  <si>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</si>
  <si>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</si>
  <si>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</si>
  <si>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</si>
  <si>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</si>
  <si>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</si>
  <si>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</si>
  <si>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</si>
  <si>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</si>
  <si>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</si>
  <si>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</si>
  <si>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</si>
  <si>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</si>
  <si>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</si>
  <si>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</si>
  <si>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</si>
  <si>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</si>
  <si>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</si>
  <si>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</si>
  <si>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</si>
  <si>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</si>
  <si>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</si>
  <si>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</si>
  <si>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</si>
  <si>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</si>
  <si>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</si>
  <si>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</si>
  <si>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</si>
  <si>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</si>
  <si>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</si>
  <si>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</si>
  <si>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</si>
  <si>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</si>
  <si>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</si>
  <si>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</si>
  <si>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</si>
  <si>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</si>
  <si>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</si>
  <si>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</si>
  <si>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</si>
  <si>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</si>
  <si>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</si>
  <si>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</si>
  <si>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</si>
  <si>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</si>
  <si>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</si>
  <si>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</si>
  <si>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</si>
  <si>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</si>
  <si>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</si>
  <si>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</si>
  <si>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</si>
  <si>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</si>
  <si>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</si>
  <si>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</si>
  <si>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</si>
  <si>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</si>
  <si>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</si>
  <si>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</si>
  <si>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</si>
  <si>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</si>
  <si>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</si>
  <si>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</si>
  <si>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</si>
  <si>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</si>
  <si>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</si>
  <si>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</si>
  <si>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</si>
  <si>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</si>
  <si>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</si>
  <si>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</si>
  <si>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</si>
  <si>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</si>
  <si>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</si>
  <si>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</si>
  <si>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</si>
  <si>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</si>
  <si>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</si>
  <si>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</si>
  <si>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</si>
  <si>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</si>
  <si>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</si>
  <si>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</si>
  <si>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</si>
  <si>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</si>
  <si>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</si>
  <si>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</si>
  <si>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</si>
  <si>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</si>
  <si>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</si>
  <si>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</si>
  <si>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</si>
  <si>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</si>
  <si>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</si>
  <si>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</si>
  <si>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</si>
  <si>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</si>
  <si>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</si>
  <si>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</si>
  <si>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</si>
  <si>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</si>
  <si>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</si>
  <si>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</si>
  <si>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</si>
  <si>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</si>
  <si>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</si>
  <si>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</si>
  <si>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</si>
  <si>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</si>
  <si>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</si>
  <si>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</si>
  <si>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</si>
  <si>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</si>
  <si>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</si>
  <si>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</si>
  <si>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</si>
  <si>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</si>
  <si>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</si>
  <si>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</si>
  <si>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</si>
  <si>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</si>
  <si>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</si>
  <si>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</si>
  <si>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</si>
  <si>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</si>
  <si>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</si>
  <si>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</si>
  <si>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</si>
  <si>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</si>
  <si>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</si>
  <si>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</si>
  <si>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</si>
  <si>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</si>
  <si>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</si>
  <si>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</si>
  <si>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</si>
  <si>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</si>
  <si>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</si>
  <si>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</si>
  <si>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</si>
  <si>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</si>
  <si>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</si>
  <si>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</si>
  <si>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</si>
  <si>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</si>
  <si>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</si>
  <si>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</si>
  <si>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</si>
  <si>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</si>
  <si>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</si>
  <si>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</si>
  <si>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</si>
  <si>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</si>
  <si>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</si>
  <si>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</si>
  <si>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</si>
  <si>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</si>
  <si>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</si>
  <si>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</si>
  <si>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</si>
  <si>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</si>
  <si>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</si>
  <si>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</si>
  <si>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</si>
  <si>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</si>
  <si>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</si>
  <si>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</si>
  <si>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</si>
  <si>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</si>
  <si>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</si>
  <si>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</si>
  <si>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</si>
  <si>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</si>
  <si>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</si>
  <si>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</si>
  <si>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</si>
  <si>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</si>
  <si>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</si>
  <si>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</si>
  <si>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</si>
  <si>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</si>
  <si>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</si>
  <si>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</si>
  <si>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</si>
  <si>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</si>
  <si>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</si>
  <si>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</si>
  <si>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</si>
  <si>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</si>
  <si>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</si>
  <si>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</si>
  <si>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</si>
  <si>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</si>
  <si>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</si>
  <si>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</si>
  <si>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</si>
  <si>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</si>
  <si>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</si>
  <si>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</si>
  <si>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</si>
  <si>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</si>
  <si>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</si>
  <si>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</si>
  <si>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</si>
  <si>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</si>
  <si>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</si>
  <si>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</si>
  <si>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</si>
  <si>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</si>
  <si>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</si>
  <si>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</si>
  <si>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</si>
  <si>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</si>
  <si>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</si>
  <si>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</si>
  <si>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</si>
  <si>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</si>
  <si>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</si>
  <si>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</si>
  <si>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</si>
  <si>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</si>
  <si>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</si>
  <si>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</si>
  <si>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</si>
  <si>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</si>
  <si>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</si>
  <si>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</si>
  <si>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</si>
  <si>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</si>
  <si>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</si>
  <si>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</si>
  <si>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</si>
  <si>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</si>
  <si>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</si>
  <si>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</si>
  <si>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</si>
  <si>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</si>
  <si>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</si>
  <si>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</si>
  <si>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</si>
  <si>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</si>
  <si>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</si>
  <si>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</si>
  <si>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</si>
  <si>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</si>
  <si>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</si>
  <si>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</si>
  <si>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</si>
  <si>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</si>
  <si>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</si>
  <si>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</si>
  <si>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</si>
  <si>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</si>
  <si>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</si>
  <si>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</si>
  <si>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</si>
  <si>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</si>
  <si>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</si>
  <si>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</si>
  <si>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</si>
  <si>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</si>
  <si>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</si>
  <si>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</si>
  <si>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</si>
  <si>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</si>
  <si>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</si>
  <si>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</si>
  <si>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</si>
  <si>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</si>
  <si>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</si>
  <si>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</si>
  <si>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</si>
  <si>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</si>
  <si>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</si>
  <si>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</si>
  <si>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</si>
  <si>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</si>
  <si>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</si>
  <si>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</si>
  <si>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</si>
  <si>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</si>
  <si>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</si>
  <si>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</si>
  <si>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</si>
  <si>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</si>
  <si>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</si>
  <si>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</si>
  <si>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</si>
  <si>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</si>
  <si>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</si>
  <si>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</si>
  <si>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</si>
  <si>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</si>
  <si>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</si>
  <si>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</si>
  <si>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</si>
  <si>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</si>
  <si>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</si>
  <si>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</si>
  <si>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</si>
  <si>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</si>
  <si>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</si>
  <si>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</si>
  <si>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</si>
  <si>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</si>
  <si>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</si>
  <si>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</si>
  <si>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</si>
  <si>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</si>
  <si>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</si>
  <si>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</si>
  <si>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</si>
  <si>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</si>
  <si>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</si>
  <si>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</si>
  <si>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</si>
  <si>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</si>
  <si>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</si>
  <si>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</si>
  <si>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</si>
  <si>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</si>
  <si>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</si>
  <si>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</si>
  <si>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</si>
  <si>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</si>
  <si>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</si>
  <si>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</si>
  <si>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</si>
  <si>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</si>
  <si>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</si>
  <si>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</si>
  <si>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</si>
  <si>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</si>
  <si>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</si>
  <si>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</si>
  <si>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</si>
  <si>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</si>
  <si>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</si>
  <si>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</si>
  <si>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</si>
  <si>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</si>
  <si>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</si>
  <si>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</si>
  <si>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</si>
  <si>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</si>
  <si>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</si>
  <si>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</si>
  <si>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</si>
  <si>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</si>
  <si>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</si>
  <si>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</si>
  <si>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</si>
  <si>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</si>
  <si>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</si>
  <si>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</si>
  <si>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</si>
  <si>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</si>
  <si>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</si>
  <si>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</si>
  <si>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</si>
  <si>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</si>
  <si>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</si>
  <si>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</si>
  <si>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</si>
  <si>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</si>
  <si>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</si>
  <si>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</si>
  <si>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</si>
  <si>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</si>
  <si>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</si>
  <si>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</si>
  <si>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</si>
  <si>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</si>
  <si>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</si>
  <si>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</si>
  <si>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</si>
  <si>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</si>
  <si>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</si>
  <si>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</si>
  <si>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</si>
  <si>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</si>
  <si>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</si>
  <si>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</si>
  <si>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</si>
  <si>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</si>
  <si>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</si>
  <si>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</si>
  <si>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</si>
  <si>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</si>
  <si>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</si>
  <si>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</si>
  <si>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</si>
  <si>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</si>
  <si>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</si>
  <si>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</si>
  <si>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</si>
  <si>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</si>
  <si>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</si>
  <si>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</si>
  <si>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</si>
  <si>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</si>
  <si>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</si>
  <si>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</si>
  <si>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</si>
  <si>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</si>
  <si>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</si>
  <si>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</si>
  <si>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</si>
  <si>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</si>
  <si>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</si>
  <si>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</si>
  <si>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</si>
  <si>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</si>
  <si>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</si>
  <si>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</si>
  <si>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</si>
  <si>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</si>
  <si>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</si>
  <si>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</si>
  <si>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</si>
  <si>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</si>
  <si>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</si>
  <si>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</si>
  <si>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</si>
  <si>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</si>
  <si>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</si>
  <si>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</si>
  <si>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</si>
  <si>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</si>
  <si>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</si>
  <si>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</si>
  <si>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</si>
  <si>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</si>
  <si>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</si>
  <si>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</si>
  <si>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</si>
  <si>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</si>
  <si>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</si>
  <si>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</si>
  <si>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</si>
  <si>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</si>
  <si>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</si>
  <si>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</si>
  <si>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</si>
  <si>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</si>
  <si>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</si>
  <si>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</si>
  <si>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</si>
  <si>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</si>
  <si>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</si>
  <si>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</si>
  <si>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</si>
  <si>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</si>
  <si>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</si>
  <si>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</si>
  <si>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</si>
  <si>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</si>
  <si>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</si>
  <si>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</si>
  <si>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</si>
  <si>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</si>
  <si>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</si>
  <si>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</si>
  <si>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</si>
  <si>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</si>
  <si>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</si>
  <si>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</si>
  <si>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</si>
  <si>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</si>
  <si>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</si>
  <si>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</si>
  <si>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</si>
  <si>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</si>
  <si>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</si>
  <si>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</si>
  <si>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</si>
  <si>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</si>
  <si>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</si>
  <si>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</si>
  <si>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</si>
  <si>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</si>
  <si>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</si>
  <si>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</si>
  <si>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</si>
  <si>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</si>
  <si>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</si>
  <si>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</si>
  <si>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</si>
  <si>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</si>
  <si>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</si>
  <si>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</si>
  <si>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</si>
  <si>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</si>
  <si>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</si>
  <si>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</si>
  <si>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</si>
  <si>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</si>
  <si>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</si>
  <si>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</si>
  <si>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</si>
  <si>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</si>
  <si>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</si>
  <si>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</si>
  <si>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</si>
  <si>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</si>
  <si>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</si>
  <si>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</si>
  <si>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</si>
  <si>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</si>
  <si>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</si>
  <si>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</si>
  <si>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</si>
  <si>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</si>
  <si>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</si>
  <si>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</si>
  <si>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</si>
  <si>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</si>
  <si>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</si>
  <si>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</si>
  <si>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</si>
  <si>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</si>
  <si>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</si>
  <si>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</si>
  <si>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</si>
  <si>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</si>
  <si>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</si>
  <si>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</si>
  <si>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</si>
  <si>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</si>
  <si>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</si>
  <si>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</si>
  <si>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</si>
  <si>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</si>
  <si>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</si>
  <si>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</si>
  <si>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</si>
  <si>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</si>
  <si>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</si>
  <si>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</si>
  <si>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</si>
  <si>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</si>
  <si>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</si>
  <si>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</si>
  <si>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</si>
  <si>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</si>
  <si>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</si>
  <si>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</si>
  <si>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</si>
  <si>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</si>
  <si>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</si>
  <si>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</si>
  <si>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</si>
  <si>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</si>
  <si>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</si>
  <si>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</si>
  <si>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</si>
  <si>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</si>
  <si>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</si>
  <si>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</si>
  <si>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</si>
  <si>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</si>
  <si>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</si>
  <si>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</si>
  <si>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</si>
  <si>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</si>
  <si>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</si>
  <si>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</si>
  <si>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</si>
  <si>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</si>
  <si>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</si>
  <si>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</si>
  <si>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</si>
  <si>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</si>
  <si>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</si>
  <si>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</si>
  <si>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</si>
  <si>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</si>
  <si>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</si>
  <si>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</si>
  <si>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</si>
  <si>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</si>
  <si>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</si>
  <si>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</si>
  <si>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</si>
  <si>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</si>
  <si>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</si>
  <si>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</si>
  <si>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</si>
  <si>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</si>
  <si>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</si>
  <si>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</si>
  <si>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</si>
  <si>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</si>
  <si>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</si>
  <si>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</si>
  <si>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</si>
  <si>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</si>
  <si>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</si>
  <si>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</si>
  <si>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</si>
  <si>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</si>
  <si>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</si>
  <si>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</si>
  <si>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</si>
  <si>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</si>
  <si>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</si>
  <si>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</si>
  <si>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</si>
  <si>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</si>
  <si>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</si>
  <si>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</si>
  <si>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</si>
  <si>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</si>
  <si>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</si>
  <si>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</si>
  <si>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</si>
  <si>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</si>
  <si>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</si>
  <si>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</si>
  <si>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</si>
  <si>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</si>
  <si>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</si>
  <si>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</si>
  <si>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</si>
  <si>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</si>
  <si>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</si>
  <si>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</si>
  <si>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</si>
  <si>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</si>
  <si>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</si>
  <si>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</si>
  <si>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</si>
  <si>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</si>
  <si>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</si>
  <si>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</si>
  <si>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</si>
  <si>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</si>
  <si>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</si>
  <si>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</si>
  <si>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</si>
  <si>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</si>
  <si>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</si>
  <si>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</si>
  <si>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</si>
  <si>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</si>
  <si>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</si>
  <si>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</si>
  <si>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</si>
  <si>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</si>
  <si>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</si>
  <si>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</si>
  <si>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</si>
  <si>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</si>
  <si>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</si>
  <si>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</si>
  <si>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</si>
  <si>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</si>
  <si>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</si>
  <si>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</si>
  <si>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</si>
  <si>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</si>
  <si>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</si>
  <si>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</si>
  <si>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</si>
  <si>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</si>
  <si>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</si>
  <si>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</si>
  <si>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</si>
  <si>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</si>
  <si>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</si>
  <si>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</si>
  <si>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</si>
  <si>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</si>
  <si>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</si>
  <si>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</si>
  <si>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</si>
  <si>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</si>
  <si>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</si>
  <si>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</si>
  <si>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</si>
  <si>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</si>
  <si>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</si>
  <si>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</si>
  <si>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</si>
  <si>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</si>
  <si>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</si>
  <si>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</si>
  <si>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</si>
  <si>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</si>
  <si>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</si>
  <si>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</si>
  <si>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</si>
  <si>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</si>
  <si>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</si>
  <si>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</si>
  <si>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</si>
  <si>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</si>
  <si>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</si>
  <si>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</si>
  <si>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</si>
  <si>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</si>
  <si>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</si>
  <si>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</si>
  <si>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</si>
  <si>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</si>
  <si>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</si>
  <si>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</si>
  <si>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</si>
  <si>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</si>
  <si>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</si>
  <si>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</si>
  <si>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</si>
  <si>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</si>
  <si>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</si>
  <si>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</si>
  <si>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</si>
  <si>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</si>
  <si>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</si>
  <si>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</si>
  <si>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</si>
  <si>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</si>
  <si>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</si>
  <si>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</si>
  <si>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</si>
  <si>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</si>
  <si>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</si>
  <si>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</si>
  <si>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</si>
  <si>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</si>
  <si>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</si>
  <si>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</si>
  <si>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</si>
  <si>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</si>
  <si>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</si>
  <si>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</si>
  <si>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</si>
  <si>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</si>
  <si>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</si>
  <si>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</si>
  <si>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</si>
  <si>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</si>
  <si>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</si>
  <si>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</si>
  <si>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</si>
  <si>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</si>
  <si>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</si>
  <si>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</si>
  <si>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</si>
  <si>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</si>
  <si>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</si>
  <si>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</si>
  <si>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</si>
  <si>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</si>
  <si>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</si>
  <si>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</si>
  <si>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</si>
  <si>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</si>
  <si>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</si>
  <si>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</si>
  <si>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</si>
  <si>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</si>
  <si>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</si>
  <si>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</si>
  <si>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</si>
  <si>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</si>
  <si>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</si>
  <si>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</si>
  <si>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</si>
  <si>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</si>
  <si>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</si>
  <si>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</si>
  <si>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</si>
  <si>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</si>
  <si>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</si>
  <si>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</si>
  <si>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</si>
  <si>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</si>
  <si>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</si>
  <si>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</si>
  <si>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</si>
  <si>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</si>
  <si>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</si>
  <si>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</si>
  <si>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</si>
  <si>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</si>
  <si>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</si>
  <si>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</si>
  <si>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</si>
  <si>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</si>
  <si>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</si>
  <si>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</si>
  <si>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</si>
  <si>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</si>
  <si>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</si>
  <si>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</si>
  <si>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</si>
  <si>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</si>
  <si>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</si>
  <si>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</si>
  <si>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</si>
  <si>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</si>
  <si>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</si>
  <si>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</si>
  <si>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</si>
  <si>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</si>
  <si>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</si>
  <si>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</si>
  <si>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</si>
  <si>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</si>
  <si>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</si>
  <si>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</si>
  <si>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</si>
  <si>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</si>
  <si>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</si>
  <si>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</si>
  <si>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</si>
  <si>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</si>
  <si>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</si>
  <si>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</si>
  <si>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</si>
  <si>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</si>
  <si>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</si>
  <si>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</si>
  <si>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</si>
  <si>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</si>
  <si>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</si>
  <si>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</si>
  <si>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</si>
  <si>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</si>
  <si>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</si>
  <si>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</si>
  <si>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</si>
  <si>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</si>
  <si>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</si>
  <si>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</si>
  <si>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</si>
  <si>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</si>
  <si>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</si>
  <si>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</si>
  <si>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</si>
  <si>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</si>
  <si>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</si>
  <si>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</si>
  <si>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</si>
  <si>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</si>
  <si>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</si>
  <si>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</si>
  <si>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</si>
  <si>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</si>
  <si>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</si>
  <si>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</si>
  <si>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</si>
  <si>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</si>
  <si>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</si>
  <si>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</si>
  <si>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</si>
  <si>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</si>
  <si>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</si>
  <si>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</si>
  <si>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</si>
  <si>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</si>
  <si>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</si>
  <si>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</si>
  <si>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</si>
  <si>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</si>
  <si>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</si>
  <si>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</si>
  <si>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</si>
  <si>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</si>
  <si>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</si>
  <si>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</si>
  <si>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</si>
  <si>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</si>
  <si>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</si>
  <si>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</si>
  <si>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</si>
  <si>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</si>
  <si>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</si>
  <si>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</si>
  <si>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</si>
  <si>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</si>
  <si>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</si>
  <si>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</si>
  <si>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</si>
  <si>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楼号或幢号</t>
    <phoneticPr fontId="134" type="noConversion"/>
  </si>
  <si>
    <t>房屋总层数</t>
    <phoneticPr fontId="134" type="noConversion"/>
  </si>
  <si>
    <t>所在层次</t>
    <phoneticPr fontId="134" type="noConversion"/>
  </si>
  <si>
    <t>部位及房号</t>
    <phoneticPr fontId="134" type="noConversion"/>
  </si>
  <si>
    <t>结构</t>
    <phoneticPr fontId="134" type="noConversion"/>
  </si>
  <si>
    <t>建筑面积</t>
    <phoneticPr fontId="134" type="noConversion"/>
  </si>
  <si>
    <t>混合</t>
    <phoneticPr fontId="134" type="noConversion"/>
  </si>
  <si>
    <r>
      <t>5</t>
    </r>
    <r>
      <rPr>
        <sz val="11"/>
        <color theme="1"/>
        <rFont val="宋体"/>
        <family val="3"/>
        <charset val="134"/>
        <scheme val="minor"/>
      </rPr>
      <t>-3</t>
    </r>
    <phoneticPr fontId="134" type="noConversion"/>
  </si>
  <si>
    <r>
      <t>5</t>
    </r>
    <r>
      <rPr>
        <sz val="11"/>
        <color theme="1"/>
        <rFont val="宋体"/>
        <family val="3"/>
        <charset val="134"/>
        <scheme val="minor"/>
      </rPr>
      <t>-5</t>
    </r>
    <phoneticPr fontId="134" type="noConversion"/>
  </si>
  <si>
    <r>
      <t>5</t>
    </r>
    <r>
      <rPr>
        <sz val="11"/>
        <color theme="1"/>
        <rFont val="宋体"/>
        <family val="3"/>
        <charset val="134"/>
        <scheme val="minor"/>
      </rPr>
      <t>-7</t>
    </r>
    <phoneticPr fontId="134" type="noConversion"/>
  </si>
  <si>
    <t>产别</t>
    <phoneticPr fontId="134" type="noConversion"/>
  </si>
  <si>
    <t>股份制产</t>
    <phoneticPr fontId="134" type="noConversion"/>
  </si>
  <si>
    <t>房屋用途</t>
    <phoneticPr fontId="134" type="noConversion"/>
  </si>
  <si>
    <t>分摊土地面积</t>
    <phoneticPr fontId="134" type="noConversion"/>
  </si>
  <si>
    <t>抵押</t>
  </si>
  <si>
    <t>房地产抵押价值</t>
  </si>
  <si>
    <t>北京市</t>
  </si>
  <si>
    <t>企业</t>
  </si>
  <si>
    <r>
      <rPr>
        <sz val="10"/>
        <color theme="9" tint="-0.249977111117893"/>
        <rFont val="宋体"/>
        <family val="3"/>
        <charset val="134"/>
      </rPr>
      <t>丰台区方庄路</t>
    </r>
    <r>
      <rPr>
        <sz val="10"/>
        <color theme="9" tint="-0.249977111117893"/>
        <rFont val="Arial"/>
        <family val="2"/>
      </rPr>
      <t>5</t>
    </r>
    <r>
      <rPr>
        <sz val="10"/>
        <color theme="9" tint="-0.249977111117893"/>
        <rFont val="宋体"/>
        <family val="3"/>
        <charset val="134"/>
      </rPr>
      <t>号</t>
    </r>
    <phoneticPr fontId="6" type="noConversion"/>
  </si>
  <si>
    <t>北京五矿财富投资有限公司</t>
    <phoneticPr fontId="6" type="noConversion"/>
  </si>
  <si>
    <t>现房</t>
  </si>
  <si>
    <t>办公项目</t>
  </si>
  <si>
    <t>是</t>
  </si>
  <si>
    <t>否</t>
  </si>
  <si>
    <t>地上</t>
  </si>
  <si>
    <t>办公</t>
    <phoneticPr fontId="7" type="noConversion"/>
  </si>
  <si>
    <t>成新度</t>
  </si>
  <si>
    <t>建成年代</t>
    <phoneticPr fontId="3" type="noConversion"/>
  </si>
  <si>
    <t>根据土地年限推断</t>
    <phoneticPr fontId="3" type="noConversion"/>
  </si>
  <si>
    <t>直线</t>
    <phoneticPr fontId="3" type="noConversion"/>
  </si>
  <si>
    <t>收益法 (元)</t>
  </si>
  <si>
    <t>押一</t>
  </si>
  <si>
    <t>非生产用房</t>
  </si>
  <si>
    <t>砖混</t>
  </si>
  <si>
    <t>商务金融用地</t>
  </si>
  <si>
    <t>与级别开发程度一致</t>
  </si>
  <si>
    <t>一般</t>
  </si>
  <si>
    <t>较好</t>
  </si>
  <si>
    <t>较差</t>
  </si>
  <si>
    <t>好</t>
  </si>
  <si>
    <t>未包含在土地购买价格中</t>
  </si>
  <si>
    <t>已包含在土地取得成本中</t>
  </si>
  <si>
    <t>3套80万</t>
    <phoneticPr fontId="3" type="noConversion"/>
  </si>
  <si>
    <t>每天每平租金</t>
    <phoneticPr fontId="3" type="noConversion"/>
  </si>
  <si>
    <t>委托人介绍</t>
    <phoneticPr fontId="3" type="noConversion"/>
  </si>
  <si>
    <t>楼面单价</t>
  </si>
  <si>
    <t>自定义</t>
  </si>
  <si>
    <t>成本法 (元)</t>
  </si>
  <si>
    <t>单套模式</t>
  </si>
  <si>
    <t>售价</t>
  </si>
  <si>
    <t>方庄路5号</t>
    <phoneticPr fontId="3" type="noConversion"/>
  </si>
  <si>
    <t>正常</t>
  </si>
  <si>
    <t>办公</t>
    <phoneticPr fontId="31" type="noConversion"/>
  </si>
  <si>
    <r>
      <t>10-20</t>
    </r>
    <r>
      <rPr>
        <sz val="11"/>
        <color indexed="8"/>
        <rFont val="宋体"/>
        <family val="3"/>
        <charset val="134"/>
      </rPr>
      <t>（含）</t>
    </r>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</si>
  <si>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</si>
  <si>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</si>
  <si>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</si>
  <si>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</si>
  <si>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</si>
  <si>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</si>
  <si>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</si>
  <si>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</si>
  <si>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</si>
  <si>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</si>
  <si>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</si>
  <si>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</si>
  <si>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</si>
  <si>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</si>
  <si>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</si>
  <si>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</si>
  <si>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</si>
  <si>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低层建筑</t>
  </si>
  <si>
    <t>低层建筑</t>
    <phoneticPr fontId="31" type="noConversion"/>
  </si>
  <si>
    <t>钢混</t>
  </si>
  <si>
    <t>钢混</t>
    <phoneticPr fontId="31" type="noConversion"/>
  </si>
  <si>
    <t>混合</t>
  </si>
  <si>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</si>
  <si>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</si>
  <si>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</si>
  <si>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</si>
  <si>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</si>
  <si>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</si>
  <si>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</si>
  <si>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七通</t>
  </si>
  <si>
    <t>天创公馆</t>
    <phoneticPr fontId="3"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</si>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</sst>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95" fillId="0" borderId="0" xfId="0" applyNumberFormat="1" applyFont="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5"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3" fillId="22" borderId="34" xfId="0" applyFont="1" applyFill="1" applyBorder="1" applyAlignment="1" applyProtection="1">
      <alignment horizontal="left" vertical="center" wrapText="1"/>
      <protection locked="0"/>
    </xf>
    <xf numFmtId="179" fontId="51" fillId="22"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13</xdr:col>
      <xdr:colOff>732538</xdr:colOff>
      <xdr:row>46</xdr:row>
      <xdr:rowOff>125623</xdr:rowOff>
    </xdr:to>
    <xdr:pic>
      <xdr:nvPicPr>
        <xdr:cNvPr id="2" name="图片 1">
          <a:extLst>
            <a:ext uri="{FF2B5EF4-FFF2-40B4-BE49-F238E27FC236}">
              <a16:creationId xmlns:a16="http://schemas.microsoft.com/office/drawing/2014/main" xmlns="" id="{310496A3-D32C-F766-60BF-E19F041953C4}"/>
            </a:ext>
          </a:extLst>
        </xdr:cNvPr>
        <xdr:cNvPicPr>
          <a:picLocks noChangeAspect="1"/>
        </xdr:cNvPicPr>
      </xdr:nvPicPr>
      <xdr:blipFill>
        <a:blip xmlns:r="http://schemas.openxmlformats.org/officeDocument/2006/relationships" r:embed="rId1"/>
        <a:stretch>
          <a:fillRect/>
        </a:stretch>
      </xdr:blipFill>
      <xdr:spPr>
        <a:xfrm>
          <a:off x="3756660" y="9555480"/>
          <a:ext cx="7095238" cy="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25</xdr:col>
      <xdr:colOff>360838</xdr:colOff>
      <xdr:row>40</xdr:row>
      <xdr:rowOff>44891</xdr:rowOff>
    </xdr:to>
    <xdr:pic>
      <xdr:nvPicPr>
        <xdr:cNvPr id="2" name="图片 1">
          <a:extLst>
            <a:ext uri="{FF2B5EF4-FFF2-40B4-BE49-F238E27FC236}">
              <a16:creationId xmlns:a16="http://schemas.microsoft.com/office/drawing/2014/main" xmlns="" id="{BD34E6CB-C954-6546-ED84-3E2878B09793}"/>
            </a:ext>
          </a:extLst>
        </xdr:cNvPr>
        <xdr:cNvPicPr>
          <a:picLocks noChangeAspect="1"/>
        </xdr:cNvPicPr>
      </xdr:nvPicPr>
      <xdr:blipFill>
        <a:blip xmlns:r="http://schemas.openxmlformats.org/officeDocument/2006/relationships" r:embed="rId1"/>
        <a:stretch>
          <a:fillRect/>
        </a:stretch>
      </xdr:blipFill>
      <xdr:spPr>
        <a:xfrm>
          <a:off x="6705600" y="731520"/>
          <a:ext cx="8895238" cy="6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3886</xdr:rowOff>
    </xdr:from>
    <xdr:to>
      <xdr:col>17</xdr:col>
      <xdr:colOff>49493</xdr:colOff>
      <xdr:row>23</xdr:row>
      <xdr:rowOff>75389</xdr:rowOff>
    </xdr:to>
    <xdr:pic>
      <xdr:nvPicPr>
        <xdr:cNvPr id="2" name="图片 1">
          <a:extLst>
            <a:ext uri="{FF2B5EF4-FFF2-40B4-BE49-F238E27FC236}">
              <a16:creationId xmlns:a16="http://schemas.microsoft.com/office/drawing/2014/main" xmlns="" id="{054BC036-A312-94BF-004B-F3FD7DF9B373}"/>
            </a:ext>
          </a:extLst>
        </xdr:cNvPr>
        <xdr:cNvPicPr>
          <a:picLocks noChangeAspect="1"/>
        </xdr:cNvPicPr>
      </xdr:nvPicPr>
      <xdr:blipFill>
        <a:blip xmlns:r="http://schemas.openxmlformats.org/officeDocument/2006/relationships" r:embed="rId1"/>
        <a:stretch>
          <a:fillRect/>
        </a:stretch>
      </xdr:blipFill>
      <xdr:spPr>
        <a:xfrm>
          <a:off x="152400" y="3886"/>
          <a:ext cx="10260293" cy="4277743"/>
        </a:xfrm>
        <a:prstGeom prst="rect">
          <a:avLst/>
        </a:prstGeom>
      </xdr:spPr>
    </xdr:pic>
    <xdr:clientData/>
  </xdr:twoCellAnchor>
  <xdr:twoCellAnchor editAs="oneCell">
    <xdr:from>
      <xdr:col>0</xdr:col>
      <xdr:colOff>0</xdr:colOff>
      <xdr:row>25</xdr:row>
      <xdr:rowOff>0</xdr:rowOff>
    </xdr:from>
    <xdr:to>
      <xdr:col>24</xdr:col>
      <xdr:colOff>417219</xdr:colOff>
      <xdr:row>62</xdr:row>
      <xdr:rowOff>14392</xdr:rowOff>
    </xdr:to>
    <xdr:pic>
      <xdr:nvPicPr>
        <xdr:cNvPr id="3" name="图片 2">
          <a:extLst>
            <a:ext uri="{FF2B5EF4-FFF2-40B4-BE49-F238E27FC236}">
              <a16:creationId xmlns:a16="http://schemas.microsoft.com/office/drawing/2014/main" xmlns="" id="{7C4919EB-5EA9-20A9-4873-2CCDDD922B9F}"/>
            </a:ext>
          </a:extLst>
        </xdr:cNvPr>
        <xdr:cNvPicPr>
          <a:picLocks noChangeAspect="1"/>
        </xdr:cNvPicPr>
      </xdr:nvPicPr>
      <xdr:blipFill>
        <a:blip xmlns:r="http://schemas.openxmlformats.org/officeDocument/2006/relationships" r:embed="rId2"/>
        <a:stretch>
          <a:fillRect/>
        </a:stretch>
      </xdr:blipFill>
      <xdr:spPr>
        <a:xfrm>
          <a:off x="0" y="4572000"/>
          <a:ext cx="15047619" cy="6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182880</xdr:colOff>
      <xdr:row>0</xdr:row>
      <xdr:rowOff>0</xdr:rowOff>
    </xdr:from>
    <xdr:to>
      <xdr:col>16</xdr:col>
      <xdr:colOff>148828</xdr:colOff>
      <xdr:row>35</xdr:row>
      <xdr:rowOff>149501</xdr:rowOff>
    </xdr:to>
    <xdr:pic>
      <xdr:nvPicPr>
        <xdr:cNvPr id="2" name="图片 1">
          <a:extLst>
            <a:ext uri="{FF2B5EF4-FFF2-40B4-BE49-F238E27FC236}">
              <a16:creationId xmlns:a16="http://schemas.microsoft.com/office/drawing/2014/main" xmlns="" id="{7AEB2877-B351-646B-BCF9-C6693D7272AD}"/>
            </a:ext>
          </a:extLst>
        </xdr:cNvPr>
        <xdr:cNvPicPr>
          <a:picLocks noChangeAspect="1"/>
        </xdr:cNvPicPr>
      </xdr:nvPicPr>
      <xdr:blipFill>
        <a:blip xmlns:r="http://schemas.openxmlformats.org/officeDocument/2006/relationships" r:embed="rId1"/>
        <a:stretch>
          <a:fillRect/>
        </a:stretch>
      </xdr:blipFill>
      <xdr:spPr>
        <a:xfrm>
          <a:off x="182880" y="0"/>
          <a:ext cx="9719548" cy="6550301"/>
        </a:xfrm>
        <a:prstGeom prst="rect">
          <a:avLst/>
        </a:prstGeom>
      </xdr:spPr>
    </xdr:pic>
    <xdr:clientData/>
  </xdr:twoCellAnchor>
  <xdr:twoCellAnchor editAs="oneCell">
    <xdr:from>
      <xdr:col>0</xdr:col>
      <xdr:colOff>60960</xdr:colOff>
      <xdr:row>36</xdr:row>
      <xdr:rowOff>17406</xdr:rowOff>
    </xdr:from>
    <xdr:to>
      <xdr:col>16</xdr:col>
      <xdr:colOff>114300</xdr:colOff>
      <xdr:row>66</xdr:row>
      <xdr:rowOff>79098</xdr:rowOff>
    </xdr:to>
    <xdr:pic>
      <xdr:nvPicPr>
        <xdr:cNvPr id="3" name="图片 2">
          <a:extLst>
            <a:ext uri="{FF2B5EF4-FFF2-40B4-BE49-F238E27FC236}">
              <a16:creationId xmlns:a16="http://schemas.microsoft.com/office/drawing/2014/main" xmlns="" id="{492E85FA-7CF0-E18C-F1A9-1BFEC9B7199A}"/>
            </a:ext>
          </a:extLst>
        </xdr:cNvPr>
        <xdr:cNvPicPr>
          <a:picLocks noChangeAspect="1"/>
        </xdr:cNvPicPr>
      </xdr:nvPicPr>
      <xdr:blipFill>
        <a:blip xmlns:r="http://schemas.openxmlformats.org/officeDocument/2006/relationships" r:embed="rId2"/>
        <a:stretch>
          <a:fillRect/>
        </a:stretch>
      </xdr:blipFill>
      <xdr:spPr>
        <a:xfrm>
          <a:off x="60960" y="6601086"/>
          <a:ext cx="9806940" cy="55480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北京市丰台区方庄路5号房地产抵押价值预评估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受贵公司委托，我公司对北京市丰台区方庄路5号房地产抵押价值进行了预评估。</v>
      </c>
    </row>
    <row r="7" spans="1:2">
      <c r="A7" s="1119" t="s">
        <v>566</v>
      </c>
      <c r="B7" s="1120" t="str">
        <f>'预评函-1'!A7</f>
        <v>估价对象为北京市丰台区方庄路5号房地产，为北京五矿财富投资有限公司所有。根据《国有土地使用证》[]，估价对象（分摊）出让国有建设用地使用权面积为2322平方米，建筑面积为2324.56平方米。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方庄路5号房地产,属北京五矿财富投资有限公司开发建设的办公项目，该项目尚在开发建设中。根据《国有土地使用证》[]，估价对象（分摊）出让国有建设用地使用权面积为2322平方米，规划建筑面积为2324.56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方庄路5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4579</v>
      </c>
    </row>
    <row r="21" spans="1:2">
      <c r="A21" s="1119" t="s">
        <v>537</v>
      </c>
      <c r="B21" s="1120">
        <f ca="1">'预评函-2'!D7</f>
        <v>19697</v>
      </c>
    </row>
    <row r="22" spans="1:2">
      <c r="A22" s="1119" t="s">
        <v>538</v>
      </c>
      <c r="B22" s="1120" t="str">
        <f ca="1">'预评函-2'!D6</f>
        <v>肆仟伍佰柒拾玖万元整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4579</v>
      </c>
    </row>
    <row r="31" spans="1:2">
      <c r="A31" s="1119" t="s">
        <v>576</v>
      </c>
      <c r="B31" s="1120">
        <f ca="1">'预评函-2'!D15</f>
        <v>19697</v>
      </c>
    </row>
    <row r="32" spans="1:2">
      <c r="A32" s="1119" t="s">
        <v>543</v>
      </c>
      <c r="B32" s="1120" t="str">
        <f ca="1">'预评函-2'!D14</f>
        <v>肆仟伍佰柒拾玖万元整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北京市丰台区方庄路5号房地产</v>
      </c>
    </row>
    <row r="42" spans="1:2">
      <c r="A42" s="1119" t="s">
        <v>590</v>
      </c>
      <c r="B42" s="1120" t="str">
        <f>'预评函-3'!B2</f>
        <v>建筑面积</v>
      </c>
    </row>
    <row r="43" spans="1:2">
      <c r="A43" s="1119" t="s">
        <v>591</v>
      </c>
      <c r="B43" s="1120">
        <f>'预评函-3'!B4</f>
        <v>2324.56</v>
      </c>
    </row>
    <row r="44" spans="1:2">
      <c r="A44" s="1119" t="s">
        <v>575</v>
      </c>
      <c r="B44" s="1120" t="str">
        <f>'预评函-3'!C2</f>
        <v>(分摊)土地面积</v>
      </c>
    </row>
    <row r="45" spans="1:2">
      <c r="A45" s="1119" t="s">
        <v>547</v>
      </c>
      <c r="B45" s="1120">
        <f>'预评函-3'!C4</f>
        <v>2322</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方庄路5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2" t="s">
        <v>2593</v>
      </c>
      <c r="J1" s="2781"/>
      <c r="K1" s="2781"/>
      <c r="L1" s="2781"/>
      <c r="M1" s="2781"/>
      <c r="N1" s="2966"/>
      <c r="O1" s="2966"/>
      <c r="P1" s="2966"/>
      <c r="Q1" s="2966"/>
      <c r="R1" s="2966"/>
    </row>
    <row r="2" spans="1:18">
      <c r="A2" s="2758"/>
      <c r="B2" s="2759"/>
      <c r="C2" s="2759"/>
      <c r="D2" s="2759"/>
      <c r="E2" s="2759"/>
      <c r="F2" s="2760"/>
      <c r="I2" s="3213" t="s">
        <v>2580</v>
      </c>
      <c r="J2" s="3213"/>
      <c r="K2" s="3213"/>
      <c r="L2" s="3213"/>
      <c r="M2" s="3213"/>
      <c r="N2" s="3213"/>
      <c r="O2" s="3213"/>
      <c r="P2" s="3213"/>
      <c r="Q2" s="3213"/>
      <c r="R2" s="3213"/>
    </row>
    <row r="3" spans="1:18">
      <c r="A3" s="2761" t="s">
        <v>2501</v>
      </c>
      <c r="B3" s="2762">
        <f>项目基本情况!D3</f>
        <v>45790</v>
      </c>
      <c r="C3" s="2764"/>
      <c r="D3" s="2764"/>
      <c r="E3" s="2764"/>
      <c r="F3" s="2760"/>
      <c r="I3" s="2776"/>
      <c r="J3" s="2776" t="s">
        <v>2584</v>
      </c>
      <c r="K3" s="2776" t="s">
        <v>2585</v>
      </c>
      <c r="L3" s="2776" t="s">
        <v>2586</v>
      </c>
      <c r="M3" s="2776" t="s">
        <v>2587</v>
      </c>
      <c r="N3" s="3133" t="s">
        <v>2588</v>
      </c>
      <c r="O3" s="3133" t="s">
        <v>2589</v>
      </c>
      <c r="P3" s="3133" t="s">
        <v>2590</v>
      </c>
      <c r="Q3" s="3133" t="s">
        <v>2591</v>
      </c>
      <c r="R3" s="3133"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v>
      </c>
      <c r="D5" s="2766">
        <f>IF(ISERROR(ROUND(POWER(1+E5,A5-C5)*(POWER(1+E5,C5)-1)/(POWER(1+E5,A5)-1),3)),0,ROUND(POWER(1+E5,A5-C5)*(POWER(1+E5,C5)-1)/(POWER(1+E5,A5)-1),4))</f>
        <v>7.6799999999999993E-2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11.61</v>
      </c>
      <c r="D6" s="2766">
        <f>IF(ISERROR(ROUND(POWER(1+E6,A6-C6)*(POWER(1+E6,C6)-1)/(POWER(1+E6,A6)-1),3)),0,ROUND(POWER(1+E6,A6-C6)*(POWER(1+E6,C6)-1)/(POWER(1+E6,A6)-1),4))</f>
        <v>0.42570000000000002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31.62</v>
      </c>
      <c r="D7" s="2766">
        <f>IF(ISERROR(ROUND(POWER(1+E7,A7-C7)*(POWER(1+E7,C7)-1)/(POWER(1+E7,A7)-1),3)),0,ROUND(POWER(1+E7,A7-C7)*(POWER(1+E7,C7)-1)/(POWER(1+E7,A7)-1),4))</f>
        <v>0.75939999999999996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0"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0">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0">
        <v>8</v>
      </c>
    </row>
    <row r="26" spans="1:14">
      <c r="A26" s="2780"/>
      <c r="B26" s="2781"/>
      <c r="C26" s="2781"/>
      <c r="D26" s="2781"/>
      <c r="E26" s="2781"/>
      <c r="F26" s="2781"/>
      <c r="G26" s="2782"/>
      <c r="I26" s="2798">
        <v>30</v>
      </c>
      <c r="J26" s="2798">
        <v>90.5</v>
      </c>
      <c r="K26" s="2798">
        <f t="shared" si="2"/>
        <v>4.2000000000000028</v>
      </c>
      <c r="L26" s="2798" t="s">
        <v>2571</v>
      </c>
      <c r="N26" s="3150">
        <v>5</v>
      </c>
    </row>
    <row r="27" spans="1:14">
      <c r="A27" s="2780" t="s">
        <v>2530</v>
      </c>
      <c r="B27" s="2781"/>
      <c r="C27" s="2781"/>
      <c r="D27" s="2781"/>
      <c r="E27" s="2781"/>
      <c r="F27" s="2781"/>
      <c r="G27" s="2782"/>
      <c r="I27" s="2798">
        <v>35</v>
      </c>
      <c r="J27" s="2798">
        <v>93.8</v>
      </c>
      <c r="K27" s="2798">
        <f t="shared" si="2"/>
        <v>3.2999999999999972</v>
      </c>
      <c r="L27" s="2798" t="s">
        <v>2572</v>
      </c>
      <c r="N27" s="3150">
        <v>3</v>
      </c>
    </row>
    <row r="28" spans="1:14">
      <c r="A28" s="2780" t="s">
        <v>2531</v>
      </c>
      <c r="B28" s="2781"/>
      <c r="C28" s="2781"/>
      <c r="D28" s="2781"/>
      <c r="E28" s="2781"/>
      <c r="F28" s="2781"/>
      <c r="G28" s="2782"/>
      <c r="I28" s="2798">
        <v>40</v>
      </c>
      <c r="J28" s="2798">
        <v>96.4</v>
      </c>
      <c r="K28" s="2798">
        <f t="shared" si="2"/>
        <v>2.6000000000000085</v>
      </c>
      <c r="L28" s="2798" t="s">
        <v>2573</v>
      </c>
      <c r="N28" s="3150">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0" t="s">
        <v>2568</v>
      </c>
    </row>
    <row r="37" spans="1:14">
      <c r="A37" s="2780" t="s">
        <v>2540</v>
      </c>
      <c r="B37" s="2781"/>
      <c r="C37" s="2781"/>
      <c r="D37" s="2781"/>
      <c r="E37" s="2781"/>
      <c r="F37" s="2781"/>
      <c r="G37" s="2782"/>
      <c r="I37" s="2798">
        <v>20</v>
      </c>
      <c r="J37" s="2798">
        <v>83.6</v>
      </c>
      <c r="K37" s="2798">
        <f t="shared" si="3"/>
        <v>7.2999999999999972</v>
      </c>
      <c r="L37" s="2798" t="s">
        <v>2566</v>
      </c>
      <c r="N37" s="3150">
        <v>10</v>
      </c>
    </row>
    <row r="38" spans="1:14">
      <c r="A38" s="2780" t="s">
        <v>2541</v>
      </c>
      <c r="B38" s="2781"/>
      <c r="C38" s="2781"/>
      <c r="D38" s="2781"/>
      <c r="E38" s="2781"/>
      <c r="F38" s="2781"/>
      <c r="G38" s="2782"/>
      <c r="I38" s="2798">
        <v>25</v>
      </c>
      <c r="J38" s="2798">
        <v>89.3</v>
      </c>
      <c r="K38" s="2798">
        <f t="shared" si="3"/>
        <v>5.7000000000000028</v>
      </c>
      <c r="L38" s="2798" t="s">
        <v>2570</v>
      </c>
      <c r="N38" s="3150">
        <v>8</v>
      </c>
    </row>
    <row r="39" spans="1:14">
      <c r="A39" s="2780"/>
      <c r="B39" s="2781"/>
      <c r="C39" s="2781"/>
      <c r="D39" s="2781"/>
      <c r="E39" s="2781"/>
      <c r="F39" s="2781"/>
      <c r="G39" s="2782"/>
      <c r="I39" s="2798">
        <v>30</v>
      </c>
      <c r="J39" s="2798">
        <v>93.8</v>
      </c>
      <c r="K39" s="2798">
        <f t="shared" si="3"/>
        <v>4.5</v>
      </c>
      <c r="L39" s="2798" t="s">
        <v>2571</v>
      </c>
      <c r="N39" s="3150">
        <v>6</v>
      </c>
    </row>
    <row r="40" spans="1:14">
      <c r="A40" s="2783" t="s">
        <v>2542</v>
      </c>
      <c r="B40" s="2784"/>
      <c r="C40" s="2784"/>
      <c r="D40" s="2784"/>
      <c r="E40" s="2784"/>
      <c r="F40" s="2784"/>
      <c r="G40" s="2785"/>
      <c r="I40" s="2798">
        <v>35</v>
      </c>
      <c r="J40" s="2798">
        <v>97.2</v>
      </c>
      <c r="K40" s="2798">
        <f t="shared" si="3"/>
        <v>3.4000000000000057</v>
      </c>
      <c r="L40" s="2798" t="s">
        <v>2572</v>
      </c>
      <c r="N40" s="3150">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2" t="s">
        <v>3388</v>
      </c>
      <c r="B50" s="3142" t="s">
        <v>3389</v>
      </c>
      <c r="C50" s="3142" t="s">
        <v>3390</v>
      </c>
      <c r="D50" s="3142" t="s">
        <v>3391</v>
      </c>
    </row>
    <row r="51" spans="1:4">
      <c r="A51" s="3142" t="s">
        <v>3392</v>
      </c>
      <c r="B51" s="2763">
        <f>B52+B53</f>
        <v>15000</v>
      </c>
      <c r="C51" s="3143">
        <f>D51/B51</f>
        <v>2666.6666666666665</v>
      </c>
      <c r="D51" s="2763">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3">
        <f>B51</f>
        <v>15000</v>
      </c>
      <c r="C54" s="2769">
        <v>700</v>
      </c>
      <c r="D54" s="2763">
        <f t="shared" ref="D54:D55" si="5">C54*B54</f>
        <v>10500000</v>
      </c>
    </row>
    <row r="55" spans="1:4">
      <c r="A55" s="3142" t="s">
        <v>3396</v>
      </c>
      <c r="B55" s="2763">
        <f>B51</f>
        <v>15000</v>
      </c>
      <c r="C55" s="2769">
        <v>1500</v>
      </c>
      <c r="D55" s="2763">
        <f t="shared" si="5"/>
        <v>22500000</v>
      </c>
    </row>
    <row r="56" spans="1:4">
      <c r="A56" s="3142" t="s">
        <v>3397</v>
      </c>
      <c r="B56" s="2763">
        <f>B51</f>
        <v>15000</v>
      </c>
      <c r="C56" s="3147">
        <f>C51+C54+C55</f>
        <v>4866.6666666666661</v>
      </c>
      <c r="D56" s="2763">
        <f>D51+D54+D55</f>
        <v>73000000</v>
      </c>
    </row>
    <row r="58" spans="1:4">
      <c r="A58" s="3142" t="s">
        <v>3398</v>
      </c>
      <c r="B58" s="3148">
        <v>0.05</v>
      </c>
      <c r="C58" s="2763">
        <f>C56*(1+B58)</f>
        <v>5110</v>
      </c>
      <c r="D58" s="2763">
        <f>D56*B58</f>
        <v>3650000</v>
      </c>
    </row>
    <row r="60" spans="1:4">
      <c r="A60" s="3142" t="s">
        <v>3399</v>
      </c>
      <c r="B60" s="2769">
        <v>3500</v>
      </c>
      <c r="C60" s="2769">
        <f>C53</f>
        <v>5000</v>
      </c>
      <c r="D60" s="2763">
        <f>C60*B60</f>
        <v>17500000</v>
      </c>
    </row>
    <row r="62" spans="1:4">
      <c r="A62" s="3142" t="s">
        <v>3400</v>
      </c>
      <c r="B62" s="2769">
        <f>B51</f>
        <v>15000</v>
      </c>
      <c r="C62" s="3149">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北京市丰台区方庄路5号房地产抵押价值预评估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北京市丰台区方庄路5号房地产抵押价值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北京市丰台区方庄路5号房地产</v>
      </c>
      <c r="T2" s="1618"/>
      <c r="U2" s="1618"/>
      <c r="V2" s="1618"/>
      <c r="W2" s="1618"/>
      <c r="X2" s="1618"/>
      <c r="Y2" s="1618"/>
      <c r="Z2" s="1618"/>
      <c r="AA2" s="1618"/>
      <c r="AB2" s="1618"/>
    </row>
    <row r="3" spans="1:30">
      <c r="A3" s="294" t="s">
        <v>2170</v>
      </c>
      <c r="B3" s="2185"/>
      <c r="C3" s="2186" t="s">
        <v>2171</v>
      </c>
      <c r="D3" s="2185">
        <v>45790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3426</v>
      </c>
      <c r="C8" s="2201"/>
      <c r="D8" s="3224" t="s">
        <v>2177</v>
      </c>
      <c r="E8" s="2202" t="s">
        <v>3427</v>
      </c>
      <c r="F8" s="2203"/>
      <c r="G8" s="2441"/>
      <c r="H8" s="2441"/>
      <c r="I8" s="2441"/>
      <c r="J8" s="2244"/>
      <c r="K8" s="2399"/>
      <c r="L8" s="2398"/>
      <c r="M8" s="2398"/>
      <c r="N8" s="2244"/>
      <c r="O8" s="1670"/>
      <c r="P8" s="2244"/>
      <c r="Q8" s="2244"/>
      <c r="R8" s="2244"/>
    </row>
    <row r="9" spans="1:30" ht="13.5" thickBot="1">
      <c r="A9" s="2204" t="s">
        <v>2178</v>
      </c>
      <c r="B9" s="2205" t="s">
        <v>3427</v>
      </c>
      <c r="C9" s="2206"/>
      <c r="D9" s="3225"/>
      <c r="E9" s="2205" t="s">
        <v>43</v>
      </c>
      <c r="F9" s="2207"/>
      <c r="G9" s="2442"/>
      <c r="H9" s="2442"/>
      <c r="I9" s="2442"/>
      <c r="J9" s="2244"/>
      <c r="K9" s="2401"/>
      <c r="L9" s="2398"/>
      <c r="M9" s="2398"/>
      <c r="N9" s="2244"/>
      <c r="O9" s="1670"/>
      <c r="P9" s="2244"/>
      <c r="Q9" s="2244"/>
      <c r="R9" s="2244"/>
    </row>
    <row r="10" spans="1:30" ht="13.5" thickTop="1">
      <c r="A10" s="2208" t="s">
        <v>2179</v>
      </c>
      <c r="B10" s="2209" t="s">
        <v>3428</v>
      </c>
      <c r="C10" s="2210"/>
      <c r="D10" s="2193"/>
      <c r="E10" s="2211" t="s">
        <v>2180</v>
      </c>
      <c r="F10" s="3161" t="s">
        <v>3430</v>
      </c>
      <c r="G10" s="2443"/>
      <c r="H10" s="2444"/>
      <c r="I10" s="2445"/>
      <c r="J10" s="2244"/>
      <c r="K10" s="2401"/>
      <c r="L10" s="2398"/>
      <c r="M10" s="2398"/>
      <c r="N10" s="2244"/>
      <c r="O10" s="1670"/>
      <c r="P10" s="2244"/>
      <c r="Q10" s="2244"/>
      <c r="R10" s="2244"/>
    </row>
    <row r="11" spans="1:30" ht="24">
      <c r="A11" s="2212" t="s">
        <v>2181</v>
      </c>
      <c r="B11" s="2213" t="s">
        <v>3429</v>
      </c>
      <c r="C11" s="3162" t="s">
        <v>3431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19" t="s">
        <v>3332</v>
      </c>
      <c r="B13" s="2217" t="s">
        <v>2190</v>
      </c>
      <c r="C13" s="803"/>
      <c r="D13" s="803">
        <v>38222</v>
      </c>
      <c r="E13" s="803">
        <v>52831</v>
      </c>
      <c r="F13" s="803"/>
      <c r="G13" s="803"/>
      <c r="H13" s="803"/>
      <c r="I13" s="803"/>
      <c r="J13" s="2801"/>
      <c r="K13" s="2398"/>
      <c r="L13" s="2398"/>
      <c r="M13" s="2244"/>
      <c r="N13" s="1670"/>
      <c r="O13" s="2244"/>
      <c r="P13" s="2244"/>
      <c r="Q13" s="2244"/>
      <c r="AD13" s="1618"/>
    </row>
    <row r="14" spans="1:30">
      <c r="A14" s="1018"/>
      <c r="B14" s="2217" t="s">
        <v>2191</v>
      </c>
      <c r="C14" s="2218"/>
      <c r="D14" s="2218"/>
      <c r="E14" s="2218">
        <v>40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-20.73</v>
      </c>
      <c r="E15" s="2220">
        <f>IF(A13="出让",IF(E13="","",ROUNDDOWN(MIN((E13-$D$3)/365,E14),2)),E14)</f>
        <v>19.29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1"/>
      <c r="C16" s="3232"/>
      <c r="D16" s="3233"/>
      <c r="E16" s="2221" t="s">
        <v>2194</v>
      </c>
      <c r="F16" s="3234"/>
      <c r="G16" s="3235"/>
      <c r="H16" s="3235"/>
      <c r="I16" s="3236"/>
      <c r="J16" s="2244"/>
      <c r="K16" s="2402"/>
      <c r="L16" s="1670"/>
      <c r="M16" s="1670"/>
      <c r="N16" s="2244"/>
      <c r="O16" s="1670"/>
      <c r="P16" s="2244"/>
      <c r="Q16" s="2244"/>
      <c r="R16" s="2244"/>
    </row>
    <row r="17" spans="1:28">
      <c r="A17" s="305" t="s">
        <v>2195</v>
      </c>
      <c r="B17" s="294" t="s">
        <v>2196</v>
      </c>
      <c r="C17" s="8">
        <f>'数据-汇总表'!E3</f>
        <v>2324.56</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2322</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39.75" thickTop="1" thickBot="1">
      <c r="A19" s="319" t="s">
        <v>1055</v>
      </c>
      <c r="B19" s="299" t="s">
        <v>2203</v>
      </c>
      <c r="C19" s="1455" t="s">
        <v>3434</v>
      </c>
      <c r="D19" s="1456" t="s">
        <v>2204</v>
      </c>
      <c r="E19" s="1457" t="s">
        <v>3435</v>
      </c>
      <c r="F19" s="1458" t="str">
        <f>IF(AND(C19="是",E19="否"),"是否提供他项权证或相关说明","")</f>
        <v>是否提供他项权证或相关说明</v>
      </c>
      <c r="G19" s="1459" t="s">
        <v>3435</v>
      </c>
      <c r="H19" s="2441"/>
      <c r="I19" s="2441"/>
      <c r="J19" s="2244"/>
      <c r="K19" s="2401"/>
      <c r="L19" s="2398"/>
      <c r="M19" s="2398"/>
      <c r="N19" s="2244"/>
      <c r="O19" s="1670"/>
      <c r="P19" s="2244"/>
      <c r="Q19" s="2244"/>
      <c r="R19" s="2244"/>
      <c r="S19" s="2244"/>
      <c r="T19" s="2244"/>
      <c r="U19" s="2244"/>
      <c r="V19" s="2244"/>
    </row>
    <row r="20" spans="1:28">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5" t="s">
        <v>2214</v>
      </c>
      <c r="B27" s="312" t="s">
        <v>2215</v>
      </c>
      <c r="C27" s="2224" t="s">
        <v>3433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6"/>
      <c r="B30" s="294" t="s">
        <v>2218</v>
      </c>
      <c r="C30" s="3217"/>
      <c r="D30" s="3218"/>
      <c r="E30" s="2441"/>
      <c r="F30" s="2441"/>
      <c r="G30" s="2441"/>
      <c r="H30" s="2441"/>
      <c r="I30" s="2441"/>
      <c r="J30" s="2244"/>
      <c r="K30" s="2401"/>
      <c r="L30" s="2398"/>
      <c r="M30" s="2398"/>
      <c r="N30" s="2244"/>
      <c r="O30" s="1670"/>
      <c r="P30" s="2244"/>
      <c r="Q30" s="2244"/>
      <c r="R30" s="2244"/>
      <c r="S30" s="2244"/>
      <c r="T30" s="2244"/>
      <c r="U30" s="2244"/>
      <c r="V30" s="2244"/>
    </row>
    <row r="31" spans="1:28">
      <c r="A31" s="3219" t="s">
        <v>2219</v>
      </c>
      <c r="B31" s="2230" t="s">
        <v>3432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4"/>
      <c r="V34" s="2244"/>
    </row>
    <row r="35" spans="1:30">
      <c r="A35" s="2235"/>
      <c r="B35" s="3214" t="s">
        <v>2229</v>
      </c>
      <c r="C35" s="3214"/>
      <c r="D35" s="3214"/>
      <c r="E35" s="321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209</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4" sqref="L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信息!$H$4</f>
        <v>2322</v>
      </c>
      <c r="B3" s="11">
        <f>IF(C3="否",G5-AT5,G5)</f>
        <v>2324.56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2324.56</v>
      </c>
      <c r="H5" s="13">
        <f t="shared" ref="H5:AT5" si="0">SUM(H13:H656)</f>
        <v>2324.56</v>
      </c>
      <c r="I5" s="13">
        <f t="shared" si="0"/>
        <v>2324.56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2324.56</v>
      </c>
      <c r="BA5" s="15">
        <f t="shared" si="1"/>
        <v>2324.56</v>
      </c>
      <c r="BB5" s="15">
        <f t="shared" si="1"/>
        <v>2324.56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2322</v>
      </c>
      <c r="F6" s="13" t="s">
        <v>0</v>
      </c>
      <c r="G6" s="13" t="s">
        <v>1</v>
      </c>
      <c r="H6" s="17">
        <f>SUMIF(I$12:AB$12,"总值",I6:AB6)</f>
        <v>2322</v>
      </c>
      <c r="I6" s="13">
        <f t="shared" ref="I6:AB6" si="2">ROUND($A$3*I5/$B$3,2)</f>
        <v>2322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2322</v>
      </c>
      <c r="AZ6" s="13" t="s">
        <v>2</v>
      </c>
      <c r="BA6" s="13">
        <f>ROUND($AY$6*BA5/$AZ$5,2)</f>
        <v>2322</v>
      </c>
      <c r="BB6" s="13">
        <f>ROUND($AY$6*BB5/$AZ$5,2)</f>
        <v>2322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2243" t="str">
        <f>信息!$D$4</f>
        <v>5-3</v>
      </c>
      <c r="D13" s="1513" t="s">
        <v>3434</v>
      </c>
      <c r="E13" s="13">
        <f>IF($C$3="是",ROUND($A$3*G13/$B$3,2),ROUND($A$3*(G13-AT13)/$B$3,2))</f>
        <v>420.26</v>
      </c>
      <c r="F13" s="29"/>
      <c r="G13" s="30">
        <f>H13+AC13+AT13</f>
        <v>420.72</v>
      </c>
      <c r="H13" s="17">
        <f>SUMIF(I$12:AB$12,"总值",I13:AB13)</f>
        <v>420.72</v>
      </c>
      <c r="I13" s="1514">
        <f>信息!$F$4</f>
        <v>420.72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5-3</v>
      </c>
      <c r="AY13" s="1260">
        <f>ROUND($AY$6*AZ13/$AZ$5,2)</f>
        <v>420.26</v>
      </c>
      <c r="AZ13" s="13">
        <f>BA13+BL13</f>
        <v>420.72</v>
      </c>
      <c r="BA13" s="13">
        <f>SUM(BB13:BK13)</f>
        <v>420.72</v>
      </c>
      <c r="BB13" s="13">
        <f>IF($D13="是",I13-J13,0)</f>
        <v>420.72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2243" t="str">
        <f>信息!$D$4</f>
        <v>5-3</v>
      </c>
      <c r="D14" s="1513" t="s">
        <v>3434</v>
      </c>
      <c r="E14" s="13">
        <f>IF($C$3="是",ROUND($A$3*G14/$B$3,2),ROUND($A$3*(G14-AT14)/$B$3,2))</f>
        <v>1348.55</v>
      </c>
      <c r="F14" s="29"/>
      <c r="G14" s="30">
        <f>H14+AC14+AT14</f>
        <v>1350.04</v>
      </c>
      <c r="H14" s="17">
        <f>SUMIF(I$12:AB$12,"总值",I14:AB14)</f>
        <v>1350.04</v>
      </c>
      <c r="I14" s="1514">
        <f>信息!$F$5</f>
        <v>1350.04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5-3</v>
      </c>
      <c r="AY14" s="1260">
        <f>ROUND($AY$6*AZ14/$AZ$5,2)</f>
        <v>1348.55</v>
      </c>
      <c r="AZ14" s="13">
        <f>BA14+BL14</f>
        <v>1350.04</v>
      </c>
      <c r="BA14" s="13">
        <f>SUM(BB14:BK14)</f>
        <v>1350.04</v>
      </c>
      <c r="BB14" s="13">
        <f>IF($D14="是",I14-J14,0)</f>
        <v>1350.04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2243" t="str">
        <f>信息!$D$4</f>
        <v>5-3</v>
      </c>
      <c r="D15" s="1513" t="s">
        <v>3434</v>
      </c>
      <c r="E15" s="13">
        <f>IF($C$3="是",ROUND($A$3*G15/$B$3,2),ROUND($A$3*(G15-AT15)/$B$3,2))</f>
        <v>553.19000000000005</v>
      </c>
      <c r="F15" s="29"/>
      <c r="G15" s="30">
        <f>H15+AC15+AT15</f>
        <v>553.79999999999995</v>
      </c>
      <c r="H15" s="17">
        <f>SUMIF(I$12:AB$12,"总值",I15:AB15)</f>
        <v>553.79999999999995</v>
      </c>
      <c r="I15" s="1514">
        <f>信息!$F$6</f>
        <v>553.79999999999995</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5-3</v>
      </c>
      <c r="AY15" s="1260">
        <f>ROUND($AY$6*AZ15/$AZ$5,2)</f>
        <v>553.19000000000005</v>
      </c>
      <c r="AZ15" s="13">
        <f>BA15+BL15</f>
        <v>553.79999999999995</v>
      </c>
      <c r="BA15" s="13">
        <f>SUM(BB15:BK15)</f>
        <v>553.79999999999995</v>
      </c>
      <c r="BB15" s="13">
        <f>IF($D15="是",I15-J15,0)</f>
        <v>553.79999999999995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8"/>
      <c r="G2" s="2431"/>
      <c r="H2" s="2432"/>
      <c r="I2" s="2146" t="s">
        <v>1132</v>
      </c>
      <c r="J2" s="2438"/>
      <c r="K2" s="2438"/>
      <c r="L2" s="2438"/>
      <c r="M2" s="2438"/>
      <c r="N2" s="2439"/>
      <c r="O2" s="2438"/>
      <c r="P2" s="2438"/>
    </row>
    <row r="3" spans="1:16" ht="15.75" thickBot="1">
      <c r="A3" s="3253" t="s">
        <v>1105</v>
      </c>
      <c r="B3" s="3253"/>
      <c r="C3" s="3253"/>
      <c r="D3" s="41">
        <f>'数据-基础表'!AY6</f>
        <v>2322</v>
      </c>
      <c r="E3" s="41">
        <f>'数据-基础表'!AZ5</f>
        <v>2324.56</v>
      </c>
      <c r="F3" s="2438"/>
      <c r="G3" s="42"/>
      <c r="H3" s="43" t="s">
        <v>1106</v>
      </c>
      <c r="I3" s="802">
        <f>ROUND('数据-基础表'!B3/'数据-基础表'!A3,2)</f>
        <v>1</v>
      </c>
      <c r="J3" s="2438"/>
      <c r="K3" s="2438"/>
      <c r="L3" s="2438"/>
      <c r="M3" s="2438"/>
      <c r="N3" s="2439"/>
      <c r="O3" s="2438"/>
      <c r="P3" s="2438"/>
    </row>
    <row r="4" spans="1:16" ht="15">
      <c r="A4" s="3254"/>
      <c r="B4" s="3255"/>
      <c r="C4" s="3256"/>
      <c r="D4" s="1524" t="s">
        <v>1107</v>
      </c>
      <c r="E4" s="1525" t="s">
        <v>1108</v>
      </c>
      <c r="F4" s="2438"/>
      <c r="G4" s="2433" t="s">
        <v>1133</v>
      </c>
      <c r="H4" s="43" t="s">
        <v>1113</v>
      </c>
      <c r="I4" s="802">
        <f>ROUND(SUMIF('数据-基础表'!I9:AS9,"地上",'数据-基础表'!I5:AS5)/'数据-基础表'!A3,2)</f>
        <v>1</v>
      </c>
      <c r="J4" s="2438"/>
      <c r="K4" s="2438"/>
      <c r="L4" s="2438"/>
      <c r="M4" s="2438"/>
      <c r="N4" s="2439"/>
      <c r="O4" s="2438"/>
      <c r="P4" s="2438"/>
    </row>
    <row r="5" spans="1:16">
      <c r="A5" s="42" t="s">
        <v>1109</v>
      </c>
      <c r="B5" s="3257" t="s">
        <v>1110</v>
      </c>
      <c r="C5" s="3257"/>
      <c r="D5" s="43">
        <f>ROUND($D$3*E5/$E$3,2)</f>
        <v>0</v>
      </c>
      <c r="E5" s="44">
        <f>SUMIF('数据-基础表'!$11:$11,"住宅",'数据-基础表'!$5:$5)</f>
        <v>0</v>
      </c>
      <c r="F5" s="2438"/>
      <c r="G5" s="42"/>
      <c r="H5" s="43" t="s">
        <v>1106</v>
      </c>
      <c r="I5" s="802">
        <f>ROUND(E31/D31,2)</f>
        <v>1</v>
      </c>
      <c r="J5" s="2438"/>
      <c r="K5" s="2438"/>
      <c r="L5" s="2438"/>
      <c r="M5" s="2438"/>
      <c r="N5" s="2438"/>
      <c r="O5" s="2438"/>
      <c r="P5" s="2438"/>
    </row>
    <row r="6" spans="1:16" ht="15" thickBot="1">
      <c r="A6" s="1527"/>
      <c r="B6" s="3257" t="s">
        <v>1111</v>
      </c>
      <c r="C6" s="3257"/>
      <c r="D6" s="43">
        <f>ROUND($D$3*E6/$E$3,2)</f>
        <v>2322</v>
      </c>
      <c r="E6" s="44">
        <f>E3-E5</f>
        <v>2324.56</v>
      </c>
      <c r="F6" s="2438"/>
      <c r="G6" s="1529" t="s">
        <v>1112</v>
      </c>
      <c r="H6" s="45" t="s">
        <v>1113</v>
      </c>
      <c r="I6" s="2434">
        <f>ROUND(F31/D31,2)</f>
        <v>1</v>
      </c>
      <c r="J6" s="2438"/>
      <c r="K6" s="2438"/>
      <c r="L6" s="2438"/>
      <c r="M6" s="2438"/>
      <c r="N6" s="2438"/>
      <c r="O6" s="2438"/>
      <c r="P6" s="2438"/>
    </row>
    <row r="7" spans="1:16" ht="15.75" thickBot="1">
      <c r="A7" s="3249"/>
      <c r="B7" s="3250"/>
      <c r="C7" s="3251"/>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2322</v>
      </c>
      <c r="E8" s="46">
        <f>SUMIF('数据-基础表'!BB10:BK10,"地上",'数据-基础表'!BB5:BK5)</f>
        <v>2324.56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2322</v>
      </c>
      <c r="E16" s="48">
        <f>SUM(E8:E15)</f>
        <v>2324.56</v>
      </c>
      <c r="F16" s="2438"/>
      <c r="G16" s="2438"/>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3437</v>
      </c>
      <c r="D19" s="43">
        <f>ROUND($D$3*E19/$E$3,2)</f>
        <v>2322</v>
      </c>
      <c r="E19" s="51">
        <f t="shared" ref="E19:E26" si="1">SUM(F19:G19)</f>
        <v>2324.56</v>
      </c>
      <c r="F19" s="2556">
        <f>'数据-基础表'!B3</f>
        <v>2324.56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2322</v>
      </c>
      <c r="S19" s="51">
        <f t="shared" si="5"/>
        <v>2324.56</v>
      </c>
    </row>
    <row r="20" spans="1:19">
      <c r="A20" s="1549"/>
      <c r="B20" s="45" t="s">
        <v>1153</v>
      </c>
      <c r="C20" s="3113"/>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2322</v>
      </c>
      <c r="E27" s="1073">
        <f>IF(SUM(E19:E26)='数据-基础表'!BA5,SUM(E19:E26),IF(F27="地上面积有误","面积有误","地下面积有误"))</f>
        <v>2324.56</v>
      </c>
      <c r="F27" s="1072">
        <f>IF(SUM(F19:F26)=E8,SUM(F19:F26),"地上面积有误")</f>
        <v>2324.56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2322</v>
      </c>
      <c r="S27" s="43">
        <f>IF(SUM(S19:S26)=$E$3,SUM(S19:S26),SUM(S19:S26)&amp;"误差"&amp;ROUND(SUM(S19:S26)-E3,2))</f>
        <v>2324.56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2322</v>
      </c>
      <c r="E31" s="643">
        <f>E27+E30</f>
        <v>2324.56</v>
      </c>
      <c r="F31" s="644">
        <f>F27+F30</f>
        <v>2324.56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40</v>
      </c>
      <c r="E6" s="804">
        <f>IF(B6="","",SUMIF(项目基本情况!C$12:I$12,C6,项目基本情况!C$13:I$13))</f>
        <v>52831</v>
      </c>
      <c r="F6" s="61">
        <f>SUMIF(项目基本情况!C$12:I$12,C6,项目基本情况!C$15:I$15)</f>
        <v>19.29</v>
      </c>
      <c r="G6" s="62">
        <f>IF(ISERROR(ROUND(POWER(1+H6,D6-F6)*(POWER(1+H6,F6)-1)/(POWER(1+H6,D6)-1),3)),0,ROUND(POWER(1+H6,D6-F6)*(POWER(1+H6,F6)-1)/(POWER(1+H6,D6)-1),3))</f>
        <v>0.71099999999999997</v>
      </c>
      <c r="H6" s="691">
        <v>0.05</v>
      </c>
      <c r="I6" s="691">
        <v>5.5E-2</v>
      </c>
      <c r="J6" s="63">
        <v>7.0000000000000007E-2</v>
      </c>
      <c r="K6" s="970">
        <f>SUMIF('数据-汇总表'!C$19:C$33,A6,'数据-汇总表'!E$19:E$33)</f>
        <v>2324.56</v>
      </c>
      <c r="L6" s="692">
        <v>3000</v>
      </c>
      <c r="M6" s="64">
        <f t="shared" ref="M6:M14" si="0">ROUND(K6*L6/10000,0)</f>
        <v>697</v>
      </c>
      <c r="N6" s="3509">
        <v>0.7</v>
      </c>
      <c r="O6" s="64" t="str">
        <f>IF($N$5="成新度","——",ROUND(M6*N6,0))</f>
        <v>——</v>
      </c>
      <c r="P6" s="65" t="str">
        <f>IF($N$5="成新度","——",M6-O6)</f>
        <v>——</v>
      </c>
      <c r="Q6" s="3510">
        <v>0.15</v>
      </c>
      <c r="R6" s="66">
        <f ca="1">SUMIF('数据-汇总表'!C$19:C$33,A6,'数据-汇总表'!R$19:R$27)</f>
        <v>2322</v>
      </c>
      <c r="S6" s="49">
        <f>IF('数据-汇总表'!$I$17="按面积比例",SUMIF('数据-汇总表'!C$19:C$33,A6,'数据-汇总表'!K$19:K$33),SUMIF('数据-汇总表'!C$19:C$33,A6,'数据-汇总表'!N$19:N$33))</f>
        <v>0</v>
      </c>
      <c r="T6" s="1092">
        <f>ROUND($L$14*S6/10000,0)</f>
        <v>0</v>
      </c>
      <c r="U6" s="3513">
        <v>3.5</v>
      </c>
      <c r="V6" s="67">
        <v>0.02</v>
      </c>
      <c r="W6" s="67">
        <v>0.1</v>
      </c>
      <c r="X6" s="979"/>
      <c r="Y6" s="68">
        <f>N6</f>
        <v>0.7</v>
      </c>
      <c r="Z6" s="69"/>
      <c r="AA6" s="63"/>
      <c r="AB6" s="63"/>
      <c r="AC6" s="979"/>
      <c r="AD6" s="70"/>
      <c r="AE6" s="980">
        <f ca="1">IF(AN6="",0,SUMIF(INDIRECT("'"&amp;AN6&amp;"'"&amp;"!E:E"),$AE$5,INDIRECT("'"&amp;AN6&amp;"'"&amp;"!F:F")))</f>
        <v>19.29</v>
      </c>
      <c r="AF6" s="74"/>
      <c r="AG6" s="130">
        <f>IF(AF6="",0,AE6-AF6)</f>
        <v>0</v>
      </c>
      <c r="AH6" s="71"/>
      <c r="AI6" s="73">
        <v>365</v>
      </c>
      <c r="AJ6" s="74"/>
      <c r="AK6" s="3511">
        <v>5.0000000000000001E-3</v>
      </c>
      <c r="AL6" s="76">
        <v>1E-3</v>
      </c>
      <c r="AM6" s="77">
        <v>0.01</v>
      </c>
      <c r="AN6" s="1589" t="s">
        <v>3442</v>
      </c>
      <c r="AO6" s="50">
        <f ca="1">SUMIF(INDIRECT("'"&amp;AN6&amp;"'"&amp;"!A:A"),"总价",INDIRECT("'"&amp;AN6&amp;"'"&amp;"!B:B"))</f>
        <v>2973.1790999999998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0.71099999999999997</v>
      </c>
      <c r="H16" s="84">
        <f>ROUND(SUMPRODUCT(H6:H13,K6:K13)/SUMPRODUCT((H6:H13&gt;0)*(K6:K13)),3)</f>
        <v>0.05</v>
      </c>
      <c r="I16" s="85"/>
      <c r="J16" s="85"/>
      <c r="K16" s="86">
        <f>SUM(K6:K15)</f>
        <v>2324.56</v>
      </c>
      <c r="L16" s="87">
        <f>ROUND(M16*10000/SUM(K6:K14),0)</f>
        <v>2998</v>
      </c>
      <c r="M16" s="87">
        <f>SUM(M6:M14)</f>
        <v>697</v>
      </c>
      <c r="N16" s="88">
        <f>ROUND(SUMPRODUCT(M6:M14,N6:N14)/M16,3)</f>
        <v>0.7</v>
      </c>
      <c r="O16" s="87">
        <f>SUM(O6:O14)</f>
        <v>0</v>
      </c>
      <c r="P16" s="87">
        <f>SUM(P6:P14)</f>
        <v>0</v>
      </c>
      <c r="Q16" s="89">
        <f>ROUND(SUMPRODUCT(Q6:Q13,K6:K13)/SUMPRODUCT((Q6:Q13&gt;0)*(K6:K13)),2)</f>
        <v>0.15</v>
      </c>
      <c r="R16" s="974">
        <f ca="1">SUM(R6:R13)</f>
        <v>2322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3439</v>
      </c>
      <c r="N18" s="3164">
        <f>2004+'数据-取费表'!B20</f>
        <v>2005</v>
      </c>
      <c r="O18" s="3163" t="s">
        <v>3440</v>
      </c>
      <c r="P18" s="2447"/>
      <c r="Q18" s="2447"/>
      <c r="R18" s="2447"/>
      <c r="S18" s="3171" t="s">
        <v>3456</v>
      </c>
      <c r="T18" s="3171" t="s">
        <v>3454</v>
      </c>
      <c r="U18" s="1620">
        <v>800000</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3163" t="s">
        <v>3441</v>
      </c>
      <c r="N19" s="2447">
        <f>ROUND(1-(1-2%)*(2025-N18)/50,2)</f>
        <v>0.61</v>
      </c>
      <c r="O19" s="2447"/>
      <c r="P19" s="2447"/>
      <c r="Q19" s="2447"/>
      <c r="R19" s="2447"/>
      <c r="S19" s="2447"/>
      <c r="T19" s="2447"/>
      <c r="U19" s="2447">
        <f>U18/'数据-汇总表'!E3/365</f>
        <v>0.94287986626191977</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60" t="s">
        <v>2300</v>
      </c>
      <c r="D20" s="2450"/>
      <c r="E20" s="2438"/>
      <c r="F20" s="2438"/>
      <c r="G20" s="2438"/>
      <c r="H20" s="2438"/>
      <c r="I20" s="2438"/>
      <c r="J20" s="2438"/>
      <c r="K20" s="2448"/>
      <c r="L20" s="2448"/>
      <c r="M20" s="2447"/>
      <c r="N20" s="2447">
        <v>0.8</v>
      </c>
      <c r="O20" s="2447"/>
      <c r="P20" s="2447"/>
      <c r="Q20" s="2447"/>
      <c r="R20" s="2447"/>
      <c r="S20" s="2447"/>
      <c r="T20" s="3171" t="s">
        <v>3455</v>
      </c>
      <c r="U20" s="1620">
        <v>3.5</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8" t="s">
        <v>2286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2324.56</v>
      </c>
      <c r="C1" s="2460"/>
      <c r="D1" s="2460"/>
      <c r="E1" s="2460"/>
      <c r="F1" s="2460"/>
      <c r="G1" s="2461"/>
      <c r="H1" s="2461"/>
      <c r="I1" s="2461"/>
      <c r="J1" s="2461"/>
      <c r="K1" s="2461"/>
    </row>
    <row r="2" spans="1:11" ht="16.5">
      <c r="A2" s="2299" t="s">
        <v>653</v>
      </c>
      <c r="B2" s="2299">
        <f>SUM(C14:C23)</f>
        <v>2322</v>
      </c>
      <c r="C2" s="2460"/>
      <c r="D2" s="2460"/>
      <c r="E2" s="2460"/>
      <c r="F2" s="2460"/>
      <c r="G2" s="2461"/>
      <c r="H2" s="2461"/>
      <c r="I2" s="2461"/>
      <c r="J2" s="2461"/>
      <c r="K2" s="2461"/>
    </row>
    <row r="3" spans="1:11" ht="16.5">
      <c r="A3" s="2299" t="s">
        <v>662</v>
      </c>
      <c r="B3" s="2301">
        <f>项目基本情况!D3</f>
        <v>45790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4579</v>
      </c>
      <c r="C5" s="2299">
        <f ca="1">IF(B5=D14,结果表!H102,ROUND(B5*10000/$B$1,0))</f>
        <v>19697</v>
      </c>
      <c r="D5" s="2299">
        <f ca="1">ROUND(B5*10000/$B$2,0)</f>
        <v>19720</v>
      </c>
      <c r="E5" s="2460"/>
      <c r="F5" s="2461"/>
      <c r="G5" s="2461"/>
      <c r="H5" s="2461"/>
      <c r="I5" s="2461"/>
      <c r="J5" s="2461"/>
      <c r="K5" s="2461"/>
    </row>
    <row r="6" spans="1:11" ht="16.5">
      <c r="A6" s="2299" t="s">
        <v>656</v>
      </c>
      <c r="B6" s="2299">
        <f ca="1">SUM(G14:G23)</f>
        <v>4579</v>
      </c>
      <c r="C6" s="2299">
        <f ca="1">IF(B6=G14,结果表!H108,ROUND(B6*10000/$B$1,0))</f>
        <v>19697</v>
      </c>
      <c r="D6" s="2299">
        <f ca="1">ROUND(B6*10000/$B$2,0)</f>
        <v>19720</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4"/>
      <c r="F10" s="3138" t="s">
        <v>3358</v>
      </c>
      <c r="G10" s="3135"/>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2324.56</v>
      </c>
      <c r="C14" s="2305">
        <f>'数据-汇总表'!D19</f>
        <v>2322</v>
      </c>
      <c r="D14" s="2305">
        <f ca="1">结果表!H101</f>
        <v>4579</v>
      </c>
      <c r="E14" s="2305">
        <f ca="1">ROUND(D14*10000/B14,0)</f>
        <v>19698</v>
      </c>
      <c r="F14" s="2305">
        <f ca="1">ROUND(D14*10000/C14,0)</f>
        <v>19720</v>
      </c>
      <c r="G14" s="2305">
        <f ca="1">结果表!H107</f>
        <v>4579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O26" sqref="O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3432</v>
      </c>
      <c r="H1" s="1621" t="str">
        <f>IF(G1="现房","——","估价对象范围")</f>
        <v>——</v>
      </c>
      <c r="I1" s="1622"/>
    </row>
    <row r="2" spans="1:12" ht="21.75" customHeight="1" thickBot="1">
      <c r="A2" s="3294" t="str">
        <f>项目基本情况!S2</f>
        <v>北京市丰台区方庄路5号房地产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24" t="s">
        <v>1265</v>
      </c>
      <c r="B4" s="1625" t="s">
        <v>1266</v>
      </c>
      <c r="C4" s="1626" t="s">
        <v>3459</v>
      </c>
      <c r="D4" s="1626" t="s">
        <v>3442</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261">
        <v>25</v>
      </c>
      <c r="C5" s="3277"/>
      <c r="D5" s="3297"/>
      <c r="E5" s="123" t="s">
        <v>1269</v>
      </c>
      <c r="F5" s="1627"/>
      <c r="G5" s="1627"/>
      <c r="H5" s="1627"/>
      <c r="I5" s="1281"/>
    </row>
    <row r="6" spans="1:12" ht="12.75">
      <c r="A6" s="3274"/>
      <c r="B6" s="3261"/>
      <c r="C6" s="3278"/>
      <c r="D6" s="3297"/>
      <c r="E6" s="123" t="s">
        <v>1270</v>
      </c>
      <c r="F6" s="1627"/>
      <c r="G6" s="1627"/>
      <c r="H6" s="1627"/>
      <c r="I6" s="1281"/>
    </row>
    <row r="7" spans="1:12" ht="12.75">
      <c r="A7" s="3274"/>
      <c r="B7" s="3261"/>
      <c r="C7" s="3279"/>
      <c r="D7" s="3297"/>
      <c r="E7" s="123" t="s">
        <v>1271</v>
      </c>
      <c r="F7" s="1627"/>
      <c r="G7" s="1627"/>
      <c r="H7" s="1627"/>
      <c r="I7" s="1281"/>
    </row>
    <row r="8" spans="1:12" ht="12.75">
      <c r="A8" s="3274" t="s">
        <v>1272</v>
      </c>
      <c r="B8" s="3261">
        <v>15</v>
      </c>
      <c r="C8" s="3277"/>
      <c r="D8" s="3297"/>
      <c r="E8" s="123" t="s">
        <v>1273</v>
      </c>
      <c r="F8" s="1627"/>
      <c r="G8" s="1627"/>
      <c r="H8" s="1627"/>
      <c r="I8" s="1281"/>
    </row>
    <row r="9" spans="1:12" ht="12.75">
      <c r="A9" s="3274"/>
      <c r="B9" s="3261"/>
      <c r="C9" s="3279"/>
      <c r="D9" s="3297"/>
      <c r="E9" s="123" t="s">
        <v>1274</v>
      </c>
      <c r="F9" s="1627"/>
      <c r="G9" s="1627"/>
      <c r="H9" s="1627"/>
      <c r="I9" s="1281"/>
    </row>
    <row r="10" spans="1:12" ht="12.75">
      <c r="A10" s="3274" t="s">
        <v>1275</v>
      </c>
      <c r="B10" s="3261">
        <v>15</v>
      </c>
      <c r="C10" s="3277"/>
      <c r="D10" s="3297"/>
      <c r="E10" s="123" t="s">
        <v>1276</v>
      </c>
      <c r="F10" s="1627"/>
      <c r="G10" s="1627"/>
      <c r="H10" s="1627"/>
      <c r="I10" s="1281"/>
    </row>
    <row r="11" spans="1:12" ht="12.75">
      <c r="A11" s="3274"/>
      <c r="B11" s="3261"/>
      <c r="C11" s="3279"/>
      <c r="D11" s="3297"/>
      <c r="E11" s="123" t="s">
        <v>1277</v>
      </c>
      <c r="F11" s="1627"/>
      <c r="G11" s="1627"/>
      <c r="H11" s="1627"/>
      <c r="I11" s="1281"/>
    </row>
    <row r="12" spans="1:12" ht="12.75">
      <c r="A12" s="3274" t="s">
        <v>1278</v>
      </c>
      <c r="B12" s="3261">
        <v>15</v>
      </c>
      <c r="C12" s="3277"/>
      <c r="D12" s="3297"/>
      <c r="E12" s="123" t="s">
        <v>1279</v>
      </c>
      <c r="F12" s="1627"/>
      <c r="G12" s="1627"/>
      <c r="H12" s="1627"/>
      <c r="I12" s="1281"/>
    </row>
    <row r="13" spans="1:12" ht="12.75">
      <c r="A13" s="3274"/>
      <c r="B13" s="3261"/>
      <c r="C13" s="3279"/>
      <c r="D13" s="3297"/>
      <c r="E13" s="123" t="s">
        <v>1280</v>
      </c>
      <c r="F13" s="1627"/>
      <c r="G13" s="1627"/>
      <c r="H13" s="1627"/>
      <c r="I13" s="1281"/>
    </row>
    <row r="14" spans="1:12" ht="12.75">
      <c r="A14" s="3274" t="s">
        <v>1281</v>
      </c>
      <c r="B14" s="3261">
        <v>30</v>
      </c>
      <c r="C14" s="3277">
        <v>6</v>
      </c>
      <c r="D14" s="3297">
        <v>4</v>
      </c>
      <c r="E14" s="123" t="s">
        <v>1282</v>
      </c>
      <c r="F14" s="1627"/>
      <c r="G14" s="1627"/>
      <c r="H14" s="1627"/>
      <c r="I14" s="1281"/>
    </row>
    <row r="15" spans="1:12" ht="12.75">
      <c r="A15" s="3274"/>
      <c r="B15" s="3261"/>
      <c r="C15" s="3278"/>
      <c r="D15" s="3297"/>
      <c r="E15" s="123" t="s">
        <v>1283</v>
      </c>
      <c r="F15" s="1627"/>
      <c r="G15" s="1627"/>
      <c r="H15" s="1627"/>
      <c r="I15" s="1281"/>
    </row>
    <row r="16" spans="1:12" ht="12.75">
      <c r="A16" s="3274"/>
      <c r="B16" s="3261"/>
      <c r="C16" s="3279"/>
      <c r="D16" s="3297"/>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4" t="s">
        <v>2131</v>
      </c>
      <c r="F18" s="3285"/>
      <c r="G18" s="3285"/>
      <c r="H18" s="3285"/>
      <c r="I18" s="3285"/>
      <c r="K18" s="294" t="s">
        <v>1289</v>
      </c>
      <c r="L18" s="294">
        <f>IF(C1="",'数据-汇总表'!E3,SUMIF(项目类型,C1,'数据-汇总表'!E17:E26)+SUMIF(项目类型,C1,'数据-汇总表'!I17:I26))</f>
        <v>2324.56</v>
      </c>
      <c r="M18" s="294">
        <f>IF(C1="",'数据-汇总表'!E3,SUMIF(项目类型,C1,'数据-汇总表'!E17:E26))</f>
        <v>2324.56</v>
      </c>
    </row>
    <row r="19" spans="1:36" ht="15">
      <c r="A19" s="1630" t="s">
        <v>1290</v>
      </c>
      <c r="B19" s="1631" t="s">
        <v>1291</v>
      </c>
      <c r="C19" s="126">
        <f ca="1">SUMIF(INDIRECT("'"&amp;C4&amp;"'"&amp;"!A:A"),结果表!B19,INDIRECT("'"&amp;C4&amp;"'"&amp;"!B:B"))</f>
        <v>5649.0382</v>
      </c>
      <c r="D19" s="127">
        <f ca="1">SUMIF(INDIRECT("'"&amp;D4&amp;"'"&amp;"!A:A"),结果表!B19,INDIRECT("'"&amp;D4&amp;"'"&amp;"!B:B"))</f>
        <v>2973.1790999999998</v>
      </c>
      <c r="E19" s="1630" t="s">
        <v>1292</v>
      </c>
      <c r="F19" s="1631" t="s">
        <v>1291</v>
      </c>
      <c r="G19" s="128">
        <f ca="1">ROUND(C19*$C$18+D19*$D$18,0)</f>
        <v>4579</v>
      </c>
      <c r="H19" s="1632" t="s">
        <v>1293</v>
      </c>
      <c r="I19" s="121"/>
      <c r="K19" s="294" t="s">
        <v>1294</v>
      </c>
      <c r="L19" s="294">
        <f>IF(C1="",'数据-汇总表'!D3,SUMIF(项目类型,C1,'数据-汇总表'!D17:D26)+SUMIF(项目类型,C1,'数据-汇总表'!H17:H27))</f>
        <v>2322</v>
      </c>
      <c r="M19" s="294">
        <f>IF(C1="",'数据-汇总表'!D3,SUMIF(项目类型,C1,'数据-汇总表'!D17:D26))</f>
        <v>2322</v>
      </c>
    </row>
    <row r="20" spans="1:36" ht="15">
      <c r="A20" s="1633"/>
      <c r="B20" s="43" t="s">
        <v>1295</v>
      </c>
      <c r="C20" s="129">
        <f ca="1">SUMIF(INDIRECT("'"&amp;C4&amp;"'"&amp;"!A:A"),结果表!B20,INDIRECT("'"&amp;C4&amp;"'"&amp;"!B:B"))</f>
        <v>24302</v>
      </c>
      <c r="D20" s="130">
        <f ca="1">SUMIF(INDIRECT("'"&amp;D4&amp;"'"&amp;"!A:A"),结果表!B20,INDIRECT("'"&amp;D4&amp;"'"&amp;"!B:B"))</f>
        <v>12790</v>
      </c>
      <c r="E20" s="1633"/>
      <c r="F20" s="43" t="s">
        <v>1295</v>
      </c>
      <c r="G20" s="131">
        <f ca="1">ROUND(C20*$C$18+D20*$D$18,0)</f>
        <v>19697</v>
      </c>
      <c r="H20" s="760" t="s">
        <v>1296</v>
      </c>
      <c r="I20" s="121"/>
    </row>
    <row r="21" spans="1:36" ht="15" customHeight="1" thickBot="1">
      <c r="A21" s="449"/>
      <c r="B21" s="93" t="s">
        <v>1297</v>
      </c>
      <c r="C21" s="678">
        <f ca="1">ROUND(C19*10000/L19,0)</f>
        <v>24328</v>
      </c>
      <c r="D21" s="679">
        <f ca="1">ROUND(D19*10000/L19,0)</f>
        <v>12804</v>
      </c>
      <c r="E21" s="449"/>
      <c r="F21" s="93" t="s">
        <v>1297</v>
      </c>
      <c r="G21" s="132">
        <f ca="1">ROUND(G19*10000/L19,0)</f>
        <v>19720</v>
      </c>
      <c r="H21" s="1634" t="s">
        <v>1296</v>
      </c>
      <c r="I21" s="121"/>
    </row>
    <row r="22" spans="1:36" ht="15" thickBot="1">
      <c r="A22" s="1564" t="s">
        <v>1298</v>
      </c>
      <c r="B22" s="1635"/>
      <c r="C22" s="1636"/>
      <c r="D22" s="680">
        <f ca="1">IF(C19&lt;D19,D19/C19-1,C19/D19-1)</f>
        <v>0.89999929704873827</v>
      </c>
      <c r="E22" s="121"/>
      <c r="F22" s="121"/>
      <c r="G22" s="121"/>
      <c r="H22" s="121"/>
      <c r="I22" s="121"/>
    </row>
    <row r="23" spans="1:36" ht="13.5" thickBot="1">
      <c r="A23" s="646"/>
      <c r="B23" s="646"/>
      <c r="C23" s="646"/>
      <c r="D23" s="646"/>
      <c r="E23" s="121"/>
      <c r="F23" s="121"/>
      <c r="G23" s="121"/>
      <c r="H23" s="121"/>
      <c r="I23" s="121"/>
    </row>
    <row r="24" spans="1:36" ht="14.25">
      <c r="A24" s="3268" t="s">
        <v>1299</v>
      </c>
      <c r="B24" s="1631" t="s">
        <v>1291</v>
      </c>
      <c r="C24" s="128">
        <f>IF(B30=0,0,D30)</f>
        <v>0</v>
      </c>
      <c r="D24" s="1637"/>
      <c r="E24" s="121"/>
      <c r="F24" s="121"/>
      <c r="G24" s="121"/>
      <c r="H24" s="121"/>
      <c r="I24" s="121"/>
    </row>
    <row r="25" spans="1:36" ht="14.25">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19697</v>
      </c>
      <c r="D32" s="1641" t="s">
        <v>3457</v>
      </c>
      <c r="E32" s="121"/>
      <c r="F32" s="121"/>
      <c r="G32" s="121"/>
      <c r="H32" s="121"/>
      <c r="I32" s="121"/>
    </row>
    <row r="33" spans="1:15" ht="15">
      <c r="A33" s="740" t="s">
        <v>1306</v>
      </c>
      <c r="B33" s="123"/>
      <c r="C33" s="1642" t="s">
        <v>3458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88" t="s">
        <v>1312</v>
      </c>
      <c r="B36" s="1652" t="s">
        <v>1313</v>
      </c>
      <c r="C36" s="137"/>
      <c r="D36" s="1653"/>
      <c r="E36" s="1567"/>
      <c r="F36" s="1654"/>
      <c r="G36" s="121"/>
      <c r="H36" s="121"/>
      <c r="I36" s="121"/>
    </row>
    <row r="37" spans="1:15" ht="15.75" thickBot="1">
      <c r="A37" s="3289"/>
      <c r="B37" s="1555" t="s">
        <v>1314</v>
      </c>
      <c r="C37" s="139"/>
      <c r="D37" s="1071"/>
      <c r="E37" s="1071"/>
      <c r="F37" s="1654"/>
      <c r="G37" s="121"/>
      <c r="H37" s="121"/>
      <c r="I37" s="121"/>
    </row>
    <row r="38" spans="1:15" ht="15.75" thickBot="1">
      <c r="A38" s="329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4579</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09">
        <v>1</v>
      </c>
      <c r="K46" s="3324" t="s">
        <v>1331</v>
      </c>
      <c r="L46" s="3324"/>
      <c r="M46" s="3344"/>
      <c r="N46" s="3344"/>
      <c r="O46" s="3344"/>
    </row>
    <row r="47" spans="1:15" ht="12" customHeight="1">
      <c r="A47" s="152" t="s">
        <v>1332</v>
      </c>
      <c r="B47" s="153"/>
      <c r="C47" s="154"/>
      <c r="D47" s="1024" t="s">
        <v>1333</v>
      </c>
      <c r="E47" s="294" t="s">
        <v>1334</v>
      </c>
      <c r="F47" s="155" t="s">
        <v>1335</v>
      </c>
      <c r="G47" s="2332" t="s">
        <v>1336</v>
      </c>
      <c r="H47" s="2333"/>
      <c r="I47" s="151"/>
      <c r="J47" s="2309">
        <v>2</v>
      </c>
      <c r="K47" s="3324" t="s">
        <v>1337</v>
      </c>
      <c r="L47" s="3324"/>
      <c r="M47" s="3345">
        <f>'数据-取费表'!B2</f>
        <v>45790</v>
      </c>
      <c r="N47" s="3345"/>
      <c r="O47" s="3345"/>
    </row>
    <row r="48" spans="1:15" ht="25.5">
      <c r="A48" s="3293" t="s">
        <v>1338</v>
      </c>
      <c r="B48" s="3276"/>
      <c r="C48" s="327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4" t="s">
        <v>1340</v>
      </c>
      <c r="L48" s="3324"/>
      <c r="M48" s="3346">
        <f ca="1">H101</f>
        <v>4579</v>
      </c>
      <c r="N48" s="3346"/>
      <c r="O48" s="3346"/>
    </row>
    <row r="49" spans="1:35" ht="25.5" customHeight="1">
      <c r="A49" s="2152" t="s">
        <v>1341</v>
      </c>
      <c r="B49" s="3260" t="s">
        <v>1342</v>
      </c>
      <c r="C49" s="3260"/>
      <c r="D49" s="1478">
        <v>0</v>
      </c>
      <c r="E49" s="316" t="s">
        <v>1343</v>
      </c>
      <c r="F49" s="2232" t="s">
        <v>28</v>
      </c>
      <c r="G49" s="3330"/>
      <c r="H49" s="2134" t="s">
        <v>2134</v>
      </c>
      <c r="I49" s="2135"/>
      <c r="J49" s="2309">
        <v>4</v>
      </c>
      <c r="K49" s="3324" t="str">
        <f>IF(项目基本情况!E8="房地产抵押价值","房地产抵押价值","抵押担保权已注销时的房地产抵押价值")</f>
        <v>房地产抵押价值</v>
      </c>
      <c r="L49" s="3324"/>
      <c r="M49" s="3346">
        <f ca="1">IF(项目基本情况!E8="房地产抵押价值",H107,H109)</f>
        <v>4579</v>
      </c>
      <c r="N49" s="3346"/>
      <c r="O49" s="3346"/>
    </row>
    <row r="50" spans="1:35" ht="25.5" customHeight="1">
      <c r="A50" s="2337"/>
      <c r="B50" s="3260" t="s">
        <v>1344</v>
      </c>
      <c r="C50" s="3260"/>
      <c r="D50" s="2189"/>
      <c r="E50" s="323"/>
      <c r="F50" s="2232"/>
      <c r="G50" s="3331"/>
      <c r="H50" s="2136" t="s">
        <v>2135</v>
      </c>
      <c r="I50" s="2135"/>
      <c r="J50" s="3343" t="s">
        <v>1345</v>
      </c>
      <c r="K50" s="3343"/>
      <c r="L50" s="3343"/>
      <c r="M50" s="3343"/>
      <c r="N50" s="3343"/>
      <c r="O50" s="3343"/>
    </row>
    <row r="51" spans="1:35" ht="20.45" customHeight="1">
      <c r="A51" s="2338"/>
      <c r="B51" s="3260" t="s">
        <v>1346</v>
      </c>
      <c r="C51" s="3260"/>
      <c r="D51" s="1024"/>
      <c r="E51" s="319"/>
      <c r="F51" s="2232"/>
      <c r="G51" s="3332"/>
      <c r="H51" s="2136" t="s">
        <v>2136</v>
      </c>
      <c r="I51" s="2135"/>
      <c r="J51" s="2310" t="s">
        <v>1347</v>
      </c>
      <c r="K51" s="3324" t="s">
        <v>1348</v>
      </c>
      <c r="L51" s="3324"/>
      <c r="M51" s="2310" t="s">
        <v>1349</v>
      </c>
      <c r="N51" s="2310" t="s">
        <v>1350</v>
      </c>
      <c r="O51" s="2310" t="s">
        <v>1351</v>
      </c>
    </row>
    <row r="52" spans="1:35" ht="24" customHeight="1">
      <c r="A52" s="2153" t="s">
        <v>1352</v>
      </c>
      <c r="B52" s="3260" t="s">
        <v>1353</v>
      </c>
      <c r="C52" s="3260"/>
      <c r="D52" s="1024">
        <f ca="1">ROUND(D45*'数据-取费表'!B41/(1+'数据-取费表'!C42),0)</f>
        <v>244</v>
      </c>
      <c r="E52" s="1256" t="s">
        <v>1354</v>
      </c>
      <c r="F52" s="2339">
        <f>'数据-取费表'!B41</f>
        <v>5.6000000000000001E-2</v>
      </c>
      <c r="G52" s="2340"/>
      <c r="H52" s="2330"/>
      <c r="I52" s="1669"/>
      <c r="J52" s="2309">
        <v>1</v>
      </c>
      <c r="K52" s="3325" t="s">
        <v>1355</v>
      </c>
      <c r="L52" s="3325"/>
      <c r="M52" s="2311" t="b">
        <f>D48</f>
        <v>0</v>
      </c>
      <c r="N52" s="2309" t="str">
        <f>E48</f>
        <v>销售额×税（费）率</v>
      </c>
      <c r="O52" s="2312">
        <f>F48</f>
        <v>5.6000000000000001E-2</v>
      </c>
    </row>
    <row r="53" spans="1:35" ht="12" customHeight="1">
      <c r="A53" s="2153" t="s">
        <v>1356</v>
      </c>
      <c r="B53" s="3286" t="s">
        <v>2291</v>
      </c>
      <c r="C53" s="3287"/>
      <c r="D53" s="1024">
        <f ca="1">ROUND(D45*'数据-取费表'!B41/(1+'数据-取费表'!C42),0)</f>
        <v>244</v>
      </c>
      <c r="E53" s="1256" t="s">
        <v>1354</v>
      </c>
      <c r="F53" s="2339">
        <f>'数据-取费表'!B41</f>
        <v>5.6000000000000001E-2</v>
      </c>
      <c r="G53" s="2340"/>
      <c r="H53" s="2330"/>
      <c r="I53" s="1669"/>
      <c r="J53" s="2309">
        <v>2</v>
      </c>
      <c r="K53" s="3325" t="s">
        <v>1357</v>
      </c>
      <c r="L53" s="3325"/>
      <c r="M53" s="2311">
        <f t="shared" ref="M53:O54" ca="1" si="0">D55</f>
        <v>2</v>
      </c>
      <c r="N53" s="2309" t="str">
        <f t="shared" si="0"/>
        <v>销售额×税（费）率</v>
      </c>
      <c r="O53" s="2312" t="str">
        <f t="shared" si="0"/>
        <v>免征</v>
      </c>
    </row>
    <row r="54" spans="1:35" ht="12" customHeight="1">
      <c r="A54" s="2153" t="s">
        <v>1358</v>
      </c>
      <c r="B54" s="3286" t="s">
        <v>2292</v>
      </c>
      <c r="C54" s="3287"/>
      <c r="D54" s="1024">
        <f ca="1">C68</f>
        <v>244</v>
      </c>
      <c r="E54" s="319" t="s">
        <v>1359</v>
      </c>
      <c r="F54" s="2339">
        <f>'数据-取费表'!B41</f>
        <v>5.6000000000000001E-2</v>
      </c>
      <c r="G54" s="2340"/>
      <c r="H54" s="2341"/>
      <c r="I54" s="1669"/>
      <c r="J54" s="2309">
        <v>3</v>
      </c>
      <c r="K54" s="3325" t="s">
        <v>1360</v>
      </c>
      <c r="L54" s="3325"/>
      <c r="M54" s="2311">
        <f t="shared" ca="1" si="0"/>
        <v>2592</v>
      </c>
      <c r="N54" s="2309" t="str">
        <f t="shared" si="0"/>
        <v>增值额×税（费）率</v>
      </c>
      <c r="O54" s="2313" t="str">
        <f t="shared" si="0"/>
        <v>免征</v>
      </c>
    </row>
    <row r="55" spans="1:35" ht="24" customHeight="1">
      <c r="A55" s="3275" t="s">
        <v>1361</v>
      </c>
      <c r="B55" s="3276"/>
      <c r="C55" s="3276"/>
      <c r="D55" s="12">
        <f ca="1">IF(H55="个人住宅",0,ROUND(D45*I55,0))</f>
        <v>2</v>
      </c>
      <c r="E55" s="1256" t="s">
        <v>1362</v>
      </c>
      <c r="F55" s="2339" t="str">
        <f>IF(H55="正常",I55,"免征")</f>
        <v>免征</v>
      </c>
      <c r="G55" s="2340"/>
      <c r="H55" s="2336"/>
      <c r="I55" s="157">
        <f>'数据-取费表'!B49</f>
        <v>5.0000000000000001E-4</v>
      </c>
      <c r="J55" s="2309">
        <f>IF(H59="非个人房产","",4)</f>
        <v>4</v>
      </c>
      <c r="K55" s="3325" t="str">
        <f>IF(H59="非个人房产","——","个人所得税")</f>
        <v>个人所得税</v>
      </c>
      <c r="L55" s="3325"/>
      <c r="M55" s="2314">
        <f ca="1">D59</f>
        <v>44</v>
      </c>
      <c r="N55" s="1883" t="str">
        <f>E59</f>
        <v>差额计税</v>
      </c>
      <c r="O55" s="2315">
        <f>F59</f>
        <v>0.01</v>
      </c>
    </row>
    <row r="56" spans="1:35" ht="24.75">
      <c r="A56" s="3275" t="s">
        <v>1363</v>
      </c>
      <c r="B56" s="3276"/>
      <c r="C56" s="3276"/>
      <c r="D56" s="12">
        <f ca="1">IF(H56="个人住宅",D57,D58)</f>
        <v>2592</v>
      </c>
      <c r="E56" s="1256" t="s">
        <v>1364</v>
      </c>
      <c r="F56" s="2339" t="str">
        <f>IF(H56="正常",F58,"免征")</f>
        <v>免征</v>
      </c>
      <c r="G56" s="2342" t="s">
        <v>1365</v>
      </c>
      <c r="H56" s="2343"/>
      <c r="I56" s="1670"/>
      <c r="J56" s="2309" t="str">
        <f>IF(项目基本情况!K6="上海银行",IF(J55="",4,J55+1),"")</f>
        <v/>
      </c>
      <c r="K56" s="3348" t="str">
        <f>IF(项目基本情况!K6="上海银行","其他处置费用","")</f>
        <v/>
      </c>
      <c r="L56" s="3349"/>
      <c r="M56" s="2311" t="str">
        <f>IF(项目基本情况!K6="上海银行",M69,"")</f>
        <v/>
      </c>
      <c r="N56" s="3348" t="str">
        <f>IF(项目基本情况!K6="上海银行","包含处置中涉及的律师、诉讼、拍卖、评估等费用","")</f>
        <v/>
      </c>
      <c r="O56" s="3351"/>
    </row>
    <row r="57" spans="1:35" ht="12.75">
      <c r="A57" s="2153" t="s">
        <v>1341</v>
      </c>
      <c r="B57" s="3286" t="s">
        <v>1366</v>
      </c>
      <c r="C57" s="3287"/>
      <c r="D57" s="1478">
        <v>0</v>
      </c>
      <c r="E57" s="316" t="s">
        <v>1343</v>
      </c>
      <c r="F57" s="294"/>
      <c r="G57" s="2340"/>
      <c r="H57" s="2344"/>
      <c r="I57" s="1670"/>
      <c r="J57" s="3325">
        <f>IF(AND(J55="",J56=""),4,IF(项目基本情况!K6="上海银行",结果表!J56+1,结果表!J55+1))</f>
        <v>5</v>
      </c>
      <c r="K57" s="3325" t="s">
        <v>1367</v>
      </c>
      <c r="L57" s="2316" t="s">
        <v>1368</v>
      </c>
      <c r="M57" s="2317"/>
      <c r="N57" s="2318">
        <f ca="1">SUMIF(M52:M56,"&lt;9e307")</f>
        <v>2638</v>
      </c>
      <c r="O57" s="2319"/>
      <c r="P57" s="2463">
        <f ca="1">N57/M49</f>
        <v>0.57610832059401618</v>
      </c>
    </row>
    <row r="58" spans="1:35" ht="24.75">
      <c r="A58" s="2153" t="s">
        <v>1352</v>
      </c>
      <c r="B58" s="3286" t="s">
        <v>1369</v>
      </c>
      <c r="C58" s="3260"/>
      <c r="D58" s="12">
        <f ca="1">IF(H58="转让取得",C81,C97)</f>
        <v>2592</v>
      </c>
      <c r="E58" s="1256" t="s">
        <v>1364</v>
      </c>
      <c r="F58" s="294" t="s">
        <v>28</v>
      </c>
      <c r="G58" s="2340"/>
      <c r="H58" s="2343"/>
      <c r="I58" s="1670"/>
      <c r="J58" s="3325"/>
      <c r="K58" s="3325"/>
      <c r="L58" s="2316" t="s">
        <v>1370</v>
      </c>
      <c r="M58" s="2320"/>
      <c r="N58" s="2321" t="str">
        <f ca="1">NUMBERSTRING(INT(N57*10000),2)&amp;"元整"</f>
        <v>贰仟陆佰叁拾捌万元整</v>
      </c>
      <c r="O58" s="2322"/>
    </row>
    <row r="59" spans="1:35" ht="24.75" thickBot="1">
      <c r="A59" s="3328" t="s">
        <v>1371</v>
      </c>
      <c r="B59" s="3329"/>
      <c r="C59" s="3329"/>
      <c r="D59" s="2345">
        <f ca="1">IF(H59="非个人房产","——",IF(H59="个人住宅（满五唯一有凭证）",0,IF(H59="个人其他（无凭证）",ROUND(D45*F59,0),ROUND(C67*F59,0))))</f>
        <v>44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6">
        <f>J57+1</f>
        <v>6</v>
      </c>
      <c r="K59" s="3325" t="s">
        <v>1372</v>
      </c>
      <c r="L59" s="2309" t="s">
        <v>1368</v>
      </c>
      <c r="M59" s="2323"/>
      <c r="N59" s="2324">
        <f ca="1">M49-N57</f>
        <v>1941</v>
      </c>
      <c r="O59" s="2325"/>
    </row>
    <row r="60" spans="1:35" ht="12" customHeight="1">
      <c r="A60" s="1671"/>
      <c r="B60" s="646"/>
      <c r="C60" s="646"/>
      <c r="D60" s="646"/>
      <c r="E60" s="1466"/>
      <c r="F60" s="1670"/>
      <c r="G60" s="1670"/>
      <c r="H60" s="151"/>
      <c r="I60" s="121"/>
      <c r="J60" s="3327"/>
      <c r="K60" s="3325"/>
      <c r="L60" s="2316" t="s">
        <v>1370</v>
      </c>
      <c r="M60" s="2320"/>
      <c r="N60" s="2321" t="str">
        <f ca="1">NUMBERSTRING(INT(N59*10000),2)&amp;"元整"</f>
        <v>壹仟玖佰肆拾壹万元整</v>
      </c>
      <c r="O60" s="2322"/>
    </row>
    <row r="61" spans="1:35" ht="13.5" thickBot="1">
      <c r="A61" s="3273" t="s">
        <v>1373</v>
      </c>
      <c r="B61" s="3273"/>
      <c r="C61" s="3273"/>
      <c r="D61" s="3273"/>
      <c r="E61" s="3273"/>
      <c r="F61" s="1670"/>
      <c r="G61" s="1670"/>
      <c r="H61" s="151"/>
      <c r="I61" s="121"/>
      <c r="J61" s="2309">
        <f>J59+1</f>
        <v>7</v>
      </c>
      <c r="K61" s="3325" t="s">
        <v>1374</v>
      </c>
      <c r="L61" s="3325"/>
      <c r="M61" s="2326"/>
      <c r="N61" s="2327">
        <f ca="1">ROUND(N59*10000/'数据-汇总表'!E3,0)</f>
        <v>8350</v>
      </c>
      <c r="O61" s="2328"/>
    </row>
    <row r="62" spans="1:35" ht="12.75">
      <c r="A62" s="3291" t="s">
        <v>1375</v>
      </c>
      <c r="B62" s="3292"/>
      <c r="C62" s="1865"/>
      <c r="D62" s="1865" t="s">
        <v>1376</v>
      </c>
      <c r="E62" s="158" t="s">
        <v>1377</v>
      </c>
      <c r="F62" s="1670"/>
      <c r="G62" s="1670"/>
      <c r="H62" s="151"/>
      <c r="I62" s="121"/>
    </row>
    <row r="63" spans="1:35" ht="12.75">
      <c r="A63" s="165" t="s">
        <v>330</v>
      </c>
      <c r="B63" s="159" t="s">
        <v>1378</v>
      </c>
      <c r="C63" s="2349">
        <f ca="1">ROUND((C64+C65)/(1+'数据-取费表'!C42),0)</f>
        <v>4361</v>
      </c>
      <c r="D63" s="159"/>
      <c r="E63" s="160"/>
      <c r="F63" s="1670"/>
      <c r="G63" s="1670"/>
      <c r="H63" s="151"/>
      <c r="I63" s="121"/>
      <c r="J63" s="3350" t="s">
        <v>1379</v>
      </c>
      <c r="K63" s="1245" t="s">
        <v>1380</v>
      </c>
      <c r="L63" s="1245">
        <f ca="1">IF(M49&gt;10000,M49*0.5%,IF(AND(M49&gt;1000,M49&lt;=10000),M49*1%,IF(AND(M49&gt;100,M49&lt;=1000),M49*3%,IF(AND(M49&gt;10,M49&lt;=100),M49*5%,M49*8%))))</f>
        <v>45.79</v>
      </c>
      <c r="M63" s="294">
        <f ca="1">ROUND(L63,1)</f>
        <v>45.8</v>
      </c>
      <c r="N63" s="2329"/>
      <c r="Z63" s="1623"/>
      <c r="AI63" s="1561"/>
    </row>
    <row r="64" spans="1:35" ht="14.25" customHeight="1">
      <c r="A64" s="161" t="s">
        <v>325</v>
      </c>
      <c r="B64" s="162" t="s">
        <v>1381</v>
      </c>
      <c r="C64" s="2350">
        <f ca="1">D45</f>
        <v>4579</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22.895</v>
      </c>
      <c r="M64" s="294">
        <f t="shared" ref="M64:M65" ca="1" si="1">ROUND(L64,1)</f>
        <v>22.9</v>
      </c>
      <c r="N64" s="2330" t="s">
        <v>1383</v>
      </c>
      <c r="Z64" s="1623"/>
      <c r="AI64" s="1561"/>
    </row>
    <row r="65" spans="1:35" ht="14.25" customHeight="1">
      <c r="A65" s="161" t="s">
        <v>326</v>
      </c>
      <c r="B65" s="162" t="s">
        <v>1384</v>
      </c>
      <c r="C65" s="2351"/>
      <c r="D65" s="162"/>
      <c r="E65" s="164"/>
      <c r="F65" s="1670"/>
      <c r="G65" s="1670"/>
      <c r="H65" s="151"/>
      <c r="I65" s="121"/>
      <c r="J65" s="3350"/>
      <c r="K65" s="1245" t="s">
        <v>1385</v>
      </c>
      <c r="L65" s="1245">
        <f ca="1">IF(M49&gt;1000,M49*0.1%,IF(AND(M49&gt;500,M49&lt;=1000),M49*0.5%,IF(AND(M49&gt;50,M49&lt;=500),M49*1%,IF(AND(M49&gt;1,M49&lt;=50),M49*1.5%))))</f>
        <v>4.5789999999999997</v>
      </c>
      <c r="M65" s="294">
        <f t="shared" ca="1" si="1"/>
        <v>4.5999999999999996</v>
      </c>
      <c r="N65" s="2330" t="s">
        <v>1383</v>
      </c>
      <c r="Z65" s="1623"/>
      <c r="AI65" s="1561"/>
    </row>
    <row r="66" spans="1:35" ht="14.25" customHeight="1">
      <c r="A66" s="165" t="s">
        <v>327</v>
      </c>
      <c r="B66" s="166" t="s">
        <v>1386</v>
      </c>
      <c r="C66" s="2352"/>
      <c r="D66" s="166" t="s">
        <v>26</v>
      </c>
      <c r="E66" s="1251" t="s">
        <v>671</v>
      </c>
      <c r="F66" s="1670"/>
      <c r="G66" s="1670"/>
      <c r="H66" s="151"/>
      <c r="I66" s="121"/>
      <c r="J66" s="3350"/>
      <c r="K66" s="1245" t="s">
        <v>1387</v>
      </c>
      <c r="L66" s="1245">
        <f ca="1">M49*0.5%</f>
        <v>22.895</v>
      </c>
      <c r="M66" s="294">
        <f ca="1">IF(L66&gt;0.5,0.5,ROUND(L66,0))</f>
        <v>0.5</v>
      </c>
      <c r="N66" s="2330" t="s">
        <v>1388</v>
      </c>
      <c r="Z66" s="1623"/>
      <c r="AI66" s="1561"/>
    </row>
    <row r="67" spans="1:35" ht="14.25" customHeight="1">
      <c r="A67" s="165" t="s">
        <v>328</v>
      </c>
      <c r="B67" s="166" t="s">
        <v>1389</v>
      </c>
      <c r="C67" s="2353">
        <f ca="1">C63-C66</f>
        <v>4361</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244</v>
      </c>
      <c r="D68" s="2355">
        <f>'数据-取费表'!B41</f>
        <v>5.6000000000000001E-2</v>
      </c>
      <c r="E68" s="170"/>
      <c r="F68" s="1670"/>
      <c r="G68" s="1670"/>
      <c r="H68" s="151"/>
      <c r="I68" s="121"/>
      <c r="J68" s="3350"/>
      <c r="K68" s="1245" t="s">
        <v>1392</v>
      </c>
      <c r="L68" s="1245">
        <f ca="1">IF(M49&gt;10000,M49*0.5%,IF(AND(M49&gt;5000,M49&lt;=10000),M49*1%,IF(AND(M49&gt;1000,M49&lt;=5000),M49*2%,IF(AND(M49&gt;200,M49&lt;=1000),M49*3%,M49*5%))))</f>
        <v>91.58</v>
      </c>
      <c r="M68" s="294">
        <f ca="1">ROUND(L68,1)</f>
        <v>91.6</v>
      </c>
      <c r="N68" s="2329"/>
      <c r="Z68" s="1623"/>
      <c r="AI68" s="1561"/>
    </row>
    <row r="69" spans="1:35" ht="16.5" customHeight="1">
      <c r="A69" s="1672"/>
      <c r="B69" s="1673"/>
      <c r="C69" s="1674"/>
      <c r="D69" s="1675"/>
      <c r="E69" s="1676"/>
      <c r="F69" s="1466"/>
      <c r="G69" s="1466"/>
      <c r="H69" s="1467"/>
      <c r="I69" s="646"/>
      <c r="J69" s="3350"/>
      <c r="K69" s="1245" t="s">
        <v>1393</v>
      </c>
      <c r="L69" s="1245"/>
      <c r="M69" s="294">
        <f ca="1">ROUND(SUM(M63:M68),0)</f>
        <v>168</v>
      </c>
      <c r="N69" s="2331">
        <f ca="1">M69/M49</f>
        <v>3.6689233457086703E-2</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4361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26</v>
      </c>
      <c r="D78" s="2362">
        <f>'数据-取费表'!B43</f>
        <v>6.000000000000001E-3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4335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166.73076923076923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2592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4361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26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2" t="s">
        <v>2129</v>
      </c>
      <c r="H90" s="335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0" t="s">
        <v>1422</v>
      </c>
      <c r="F92" s="3271"/>
      <c r="G92" s="3271"/>
      <c r="H92" s="328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26</v>
      </c>
      <c r="D93" s="2362">
        <f>'数据-取费表'!B43</f>
        <v>6.000000000000001E-3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4335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166.73076923076923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2592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0" t="str">
        <f>C4</f>
        <v>成本法 (元)</v>
      </c>
      <c r="D101" s="2371" t="str">
        <f>D4</f>
        <v>收益法 (元)</v>
      </c>
      <c r="E101" s="3347" t="s">
        <v>1431</v>
      </c>
      <c r="F101" s="3304"/>
      <c r="G101" s="1687" t="s">
        <v>1432</v>
      </c>
      <c r="H101" s="2380">
        <f ca="1">H118</f>
        <v>4579</v>
      </c>
      <c r="I101" s="121"/>
    </row>
    <row r="102" spans="1:35" ht="18.75" customHeight="1">
      <c r="A102" s="3306" t="s">
        <v>1433</v>
      </c>
      <c r="B102" s="2369" t="s">
        <v>1432</v>
      </c>
      <c r="C102" s="2370">
        <f ca="1">IF(D32="楼面单价",ROUND(C19,0),C19)</f>
        <v>5649</v>
      </c>
      <c r="D102" s="2371">
        <f ca="1">IF(D32="楼面单价",ROUND(D19,0),D19)</f>
        <v>2973</v>
      </c>
      <c r="E102" s="3347"/>
      <c r="F102" s="3304"/>
      <c r="G102" s="1687" t="s">
        <v>1434</v>
      </c>
      <c r="H102" s="2340">
        <f ca="1">I118</f>
        <v>19697</v>
      </c>
      <c r="I102" s="121"/>
    </row>
    <row r="103" spans="1:35" ht="42.75" customHeight="1">
      <c r="A103" s="3306"/>
      <c r="B103" s="2369" t="s">
        <v>1434</v>
      </c>
      <c r="C103" s="2372">
        <f ca="1">C20</f>
        <v>24302</v>
      </c>
      <c r="D103" s="2373">
        <f ca="1">D20</f>
        <v>12790</v>
      </c>
      <c r="E103" s="3341" t="s">
        <v>1435</v>
      </c>
      <c r="F103" s="3342"/>
      <c r="G103" s="1688" t="s">
        <v>1436</v>
      </c>
      <c r="H103" s="2380">
        <f>IF(D36="正常操作",H104+H105+H106,H105+H106)</f>
        <v>0</v>
      </c>
      <c r="I103" s="121"/>
    </row>
    <row r="104" spans="1:35" ht="18.75" customHeight="1">
      <c r="A104" s="3306" t="s">
        <v>1437</v>
      </c>
      <c r="B104" s="2374" t="s">
        <v>1432</v>
      </c>
      <c r="C104" s="2375">
        <f ca="1">H118</f>
        <v>4579</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f ca="1">I118</f>
        <v>19697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3" t="str">
        <f>IF(项目基本情况!E8="已注销","——","3.房地产抵押价值")</f>
        <v>3.房地产抵押价值</v>
      </c>
      <c r="F107" s="3304"/>
      <c r="G107" s="1687" t="s">
        <v>1432</v>
      </c>
      <c r="H107" s="2380">
        <f ca="1">IF(E107="——","——",H101-H103)</f>
        <v>4579</v>
      </c>
      <c r="I107" s="121"/>
    </row>
    <row r="108" spans="1:35" ht="18.75" customHeight="1">
      <c r="A108" s="121"/>
      <c r="B108" s="121"/>
      <c r="C108" s="121"/>
      <c r="D108" s="121"/>
      <c r="E108" s="3303"/>
      <c r="F108" s="3304"/>
      <c r="G108" s="1687" t="s">
        <v>1434</v>
      </c>
      <c r="H108" s="2340">
        <f ca="1">IF(H107=H101,H102,ROUND(H107*10000/'数据-汇总表'!E3,0))</f>
        <v>19697</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3" t="str">
        <f>IF(E109="——","——",H101-H105-H106)</f>
        <v>——</v>
      </c>
      <c r="I109" s="121"/>
    </row>
    <row r="110" spans="1:35" ht="18.75" customHeight="1">
      <c r="A110" s="121"/>
      <c r="B110" s="121"/>
      <c r="C110" s="121"/>
      <c r="D110" s="121"/>
      <c r="E110" s="3303"/>
      <c r="F110" s="3304"/>
      <c r="G110" s="1687" t="s">
        <v>1434</v>
      </c>
      <c r="H110" s="2340"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0" t="str">
        <f>IF(E111="——","——",N59)</f>
        <v>——</v>
      </c>
      <c r="I111" s="121"/>
    </row>
    <row r="112" spans="1:35" ht="18.75" customHeight="1" thickBot="1">
      <c r="A112" s="121"/>
      <c r="B112" s="121"/>
      <c r="C112" s="121"/>
      <c r="D112" s="121"/>
      <c r="E112" s="3336"/>
      <c r="F112" s="3337"/>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5" t="str">
        <f>项目基本情况!S2</f>
        <v>北京市丰台区方庄路5号房地产</v>
      </c>
      <c r="B118" s="2150">
        <f>M18</f>
        <v>2324.56</v>
      </c>
      <c r="C118" s="2150">
        <f>M19</f>
        <v>2322</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4579</v>
      </c>
      <c r="I118" s="2150">
        <f ca="1">ROUND(IF(D32="楼面单价",C32,H118*10000/B118),0)</f>
        <v>19697</v>
      </c>
    </row>
    <row r="119" spans="1:27" ht="18.75" customHeight="1">
      <c r="A119" s="3274" t="s">
        <v>1452</v>
      </c>
      <c r="B119" s="3274"/>
      <c r="C119" s="3274"/>
      <c r="D119" s="3314" t="str">
        <f>NUMBERSTRING(INT(D118*10000),2)&amp;"元整"</f>
        <v>零元整</v>
      </c>
      <c r="E119" s="3316"/>
      <c r="F119" s="3314" t="str">
        <f>NUMBERSTRING(INT(F118*10000),2)&amp;"元整"</f>
        <v>零元整</v>
      </c>
      <c r="G119" s="3316"/>
      <c r="H119" s="3314" t="str">
        <f ca="1">NUMBERSTRING(INT(H118*10000),2)&amp;"元整"</f>
        <v>肆仟伍佰柒拾玖万元整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4579</v>
      </c>
      <c r="E122" s="3339"/>
      <c r="F122" s="3339"/>
      <c r="G122" s="3339"/>
      <c r="H122" s="3339"/>
      <c r="I122" s="3340"/>
      <c r="AA122" s="684"/>
    </row>
    <row r="123" spans="1:27" ht="18.75" customHeight="1">
      <c r="A123" s="3274" t="s">
        <v>1452</v>
      </c>
      <c r="B123" s="3274"/>
      <c r="C123" s="3274"/>
      <c r="D123" s="3314" t="str">
        <f ca="1">NUMBERSTRING(INT(D122*10000),2)&amp;"元整"</f>
        <v>肆仟伍佰柒拾玖万元整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773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46</v>
      </c>
      <c r="D10" s="795">
        <f ca="1">IF(B1="",'数据-汇总表'!E6,IF(INDIRECT("'数据-取费表'!c"&amp;$G$1)="住宅",INDIRECT("'数据-取费表'!s"&amp;$G$1),INDIRECT("'数据-取费表'!k"&amp;$G$1)+INDIRECT("'数据-取费表'!s"&amp;$G$1)))</f>
        <v>2324.56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46</v>
      </c>
      <c r="D19" s="204">
        <f ca="1">D9+D10</f>
        <v>2324.56</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697</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46</v>
      </c>
      <c r="D37" s="209">
        <f ca="1">D19</f>
        <v>2324.56</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2.9999999999999997E-4</v>
      </c>
      <c r="D44" s="230"/>
      <c r="E44" s="230"/>
      <c r="F44" s="231"/>
      <c r="G44" s="3356"/>
    </row>
    <row r="45" spans="1:7" s="206" customFormat="1" ht="13.5" customHeight="1">
      <c r="A45" s="247" t="s">
        <v>1547</v>
      </c>
      <c r="B45" s="236" t="s">
        <v>1513</v>
      </c>
      <c r="C45" s="237">
        <f ca="1">C46</f>
        <v>121</v>
      </c>
      <c r="D45" s="227">
        <f ca="1">C47</f>
        <v>3.0000000000000001E-3</v>
      </c>
      <c r="E45" s="228" t="s">
        <v>1539</v>
      </c>
      <c r="F45" s="238">
        <f ca="1">F27</f>
        <v>0.15</v>
      </c>
      <c r="G45" s="239" t="s">
        <v>1548</v>
      </c>
    </row>
    <row r="46" spans="1:7" s="206" customFormat="1" ht="13.5" customHeight="1">
      <c r="A46" s="734" t="s">
        <v>346</v>
      </c>
      <c r="B46" s="240" t="s">
        <v>1549</v>
      </c>
      <c r="C46" s="241">
        <f ca="1">ROUND((C33+C39)*F27,0)</f>
        <v>121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1019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713</v>
      </c>
      <c r="D51" s="224"/>
      <c r="E51" s="224"/>
      <c r="F51" s="256"/>
      <c r="G51" s="226" t="s">
        <v>1560</v>
      </c>
    </row>
    <row r="52" spans="1:7" s="200" customFormat="1" ht="16.5" thickBot="1">
      <c r="A52" s="257" t="s">
        <v>1561</v>
      </c>
      <c r="B52" s="258"/>
      <c r="C52" s="259">
        <f ca="1">C31+C51</f>
        <v>773</v>
      </c>
      <c r="D52" s="258"/>
      <c r="E52" s="258"/>
      <c r="F52" s="258"/>
      <c r="G52" s="260"/>
    </row>
    <row r="55" spans="1:7" ht="15">
      <c r="B55" s="262" t="s">
        <v>1562</v>
      </c>
      <c r="C55" s="263"/>
    </row>
    <row r="56" spans="1:7">
      <c r="B56" s="265" t="s">
        <v>802</v>
      </c>
      <c r="C56" s="267">
        <f ca="1">1-C57</f>
        <v>7.7999999999999958E-2</v>
      </c>
    </row>
    <row r="57" spans="1:7">
      <c r="B57" s="265" t="s">
        <v>803</v>
      </c>
      <c r="C57" s="266">
        <f ca="1">ROUND(C51/C52,3)</f>
        <v>0.92200000000000004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北京市丰台区方庄路5号房地产抵押价值预评估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5649.0382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24302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37836470</v>
      </c>
      <c r="D5" s="203" t="s">
        <v>1469</v>
      </c>
      <c r="E5" s="204" t="s">
        <v>1470</v>
      </c>
      <c r="F5" s="204" t="s">
        <v>1471</v>
      </c>
      <c r="G5" s="205"/>
    </row>
    <row r="6" spans="1:8" s="206" customFormat="1" ht="13.5" customHeight="1">
      <c r="A6" s="732" t="s">
        <v>1472</v>
      </c>
      <c r="B6" s="207" t="s">
        <v>1473</v>
      </c>
      <c r="C6" s="208">
        <f>ROUND(基准地价修正!C33*基准地价修正!D33,0)</f>
        <v>36265461</v>
      </c>
      <c r="D6" s="209"/>
      <c r="E6" s="210"/>
      <c r="F6" s="210"/>
      <c r="G6" s="211"/>
    </row>
    <row r="7" spans="1:8" s="206" customFormat="1" ht="13.5" customHeight="1">
      <c r="A7" s="732" t="s">
        <v>1474</v>
      </c>
      <c r="B7" s="207" t="s">
        <v>1475</v>
      </c>
      <c r="C7" s="212">
        <f>ROUND(C6*F7,0)</f>
        <v>1106097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464912</v>
      </c>
      <c r="D8" s="214"/>
      <c r="E8" s="212"/>
      <c r="F8" s="213"/>
      <c r="G8" s="1714" t="s">
        <v>3452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464912</v>
      </c>
      <c r="D10" s="795">
        <f ca="1">IF(B1="",'数据-汇总表'!E6,IF(INDIRECT("'数据-取费表'!c"&amp;$G$1)="住宅",INDIRECT("'数据-取费表'!s"&amp;$G$1),INDIRECT("'数据-取费表'!k"&amp;$G$1)+INDIRECT("'数据-取费表'!s"&amp;$G$1)))</f>
        <v>2324.56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2324.56</v>
      </c>
      <c r="E19" s="203">
        <f>'数据-取费表'!B31</f>
        <v>200</v>
      </c>
      <c r="F19" s="223"/>
      <c r="G19" s="1714" t="s">
        <v>3453</v>
      </c>
    </row>
    <row r="20" spans="1:7" s="206" customFormat="1" ht="13.5" customHeight="1">
      <c r="A20" s="247" t="s">
        <v>1574</v>
      </c>
      <c r="B20" s="202" t="s">
        <v>1575</v>
      </c>
      <c r="C20" s="224">
        <f ca="1">ROUND((C5+C19)*F20,0)</f>
        <v>756729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1184660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1172931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11729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5788980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5788980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49346804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7926750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6973680</v>
      </c>
      <c r="D34" s="209"/>
      <c r="E34" s="212"/>
      <c r="F34" s="249"/>
      <c r="G34" s="211"/>
    </row>
    <row r="35" spans="1:7" ht="13.5" customHeight="1">
      <c r="A35" s="734" t="s">
        <v>351</v>
      </c>
      <c r="B35" s="207" t="s">
        <v>1527</v>
      </c>
      <c r="C35" s="212">
        <f ca="1">ROUND(C34*F35,0)</f>
        <v>348684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464912</v>
      </c>
      <c r="D37" s="209">
        <f ca="1">D19</f>
        <v>2324.56</v>
      </c>
      <c r="E37" s="241">
        <f>'数据-取费表'!B35</f>
        <v>200</v>
      </c>
      <c r="F37" s="251"/>
      <c r="G37" s="253"/>
    </row>
    <row r="38" spans="1:7" ht="13.5" customHeight="1">
      <c r="A38" s="734" t="s">
        <v>354</v>
      </c>
      <c r="B38" s="207" t="s">
        <v>1533</v>
      </c>
      <c r="C38" s="212">
        <f ca="1">ROUND(C34*F38,0)</f>
        <v>139474</v>
      </c>
      <c r="D38" s="212"/>
      <c r="E38" s="212"/>
      <c r="F38" s="251">
        <f>'数据-取费表'!B36</f>
        <v>0.02</v>
      </c>
      <c r="G38" s="211" t="s">
        <v>1528</v>
      </c>
    </row>
    <row r="39" spans="1:7" s="206" customFormat="1" ht="13.5" customHeight="1">
      <c r="A39" s="247" t="s">
        <v>1534</v>
      </c>
      <c r="B39" s="202" t="s">
        <v>1535</v>
      </c>
      <c r="C39" s="224">
        <f ca="1">ROUND(C33*F20,0)</f>
        <v>158535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125322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122865</v>
      </c>
      <c r="D42" s="230"/>
      <c r="E42" s="230"/>
      <c r="F42" s="231"/>
      <c r="G42" s="3354" t="s">
        <v>1591</v>
      </c>
    </row>
    <row r="43" spans="1:7" ht="13.5" customHeight="1">
      <c r="A43" s="734" t="s">
        <v>347</v>
      </c>
      <c r="B43" s="207" t="s">
        <v>1545</v>
      </c>
      <c r="C43" s="230">
        <f ca="1">ROUND(IF('数据-取费表'!B22&lt;=1,C39*F22*'数据-取费表'!B20/2,C39*(POWER((1+F22),'数据-取费表'!B20/2)-1)),0)</f>
        <v>2457</v>
      </c>
      <c r="D43" s="230"/>
      <c r="E43" s="230"/>
      <c r="F43" s="231"/>
      <c r="G43" s="3355"/>
    </row>
    <row r="44" spans="1:7" ht="13.5" customHeight="1">
      <c r="A44" s="734" t="s">
        <v>348</v>
      </c>
      <c r="B44" s="207" t="s">
        <v>1546</v>
      </c>
      <c r="C44" s="230">
        <f ca="1">ROUND(IF('数据-取费表'!B22&lt;=1,C40*F22*'数据-取费表'!B20/2,C40*(POWER((1+F22),'数据-取费表'!B20/2)-1)),4)</f>
        <v>2.9999999999999997E-4</v>
      </c>
      <c r="D44" s="230"/>
      <c r="E44" s="230"/>
      <c r="F44" s="231"/>
      <c r="G44" s="3356"/>
    </row>
    <row r="45" spans="1:7" s="206" customFormat="1" ht="13.5" customHeight="1">
      <c r="A45" s="247" t="s">
        <v>1547</v>
      </c>
      <c r="B45" s="236" t="s">
        <v>1513</v>
      </c>
      <c r="C45" s="237">
        <f ca="1">C46</f>
        <v>1212793</v>
      </c>
      <c r="D45" s="227">
        <f ca="1">C47</f>
        <v>3.0000000000000001E-3</v>
      </c>
      <c r="E45" s="228" t="s">
        <v>1539</v>
      </c>
      <c r="F45" s="238">
        <f ca="1">F27</f>
        <v>0.15</v>
      </c>
      <c r="G45" s="239" t="s">
        <v>1548</v>
      </c>
    </row>
    <row r="46" spans="1:7" s="206" customFormat="1" ht="13.5" customHeight="1">
      <c r="A46" s="734" t="s">
        <v>346</v>
      </c>
      <c r="B46" s="240" t="s">
        <v>1549</v>
      </c>
      <c r="C46" s="241">
        <f ca="1">ROUND((C33+C39)*F27,0)</f>
        <v>1212793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10205112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7143578</v>
      </c>
      <c r="D51" s="224"/>
      <c r="E51" s="224"/>
      <c r="F51" s="256"/>
      <c r="G51" s="226" t="s">
        <v>1560</v>
      </c>
    </row>
    <row r="52" spans="1:7" s="200" customFormat="1" ht="16.5" thickBot="1">
      <c r="A52" s="257" t="s">
        <v>1561</v>
      </c>
      <c r="B52" s="258"/>
      <c r="C52" s="259">
        <f ca="1">C31+C51</f>
        <v>56490382</v>
      </c>
      <c r="D52" s="258"/>
      <c r="E52" s="258"/>
      <c r="F52" s="258"/>
      <c r="G52" s="260"/>
    </row>
    <row r="55" spans="1:7" ht="15">
      <c r="B55" s="262" t="s">
        <v>1562</v>
      </c>
      <c r="C55" s="263"/>
    </row>
    <row r="56" spans="1:7">
      <c r="B56" s="265" t="s">
        <v>802</v>
      </c>
      <c r="C56" s="267">
        <f ca="1">1-C57</f>
        <v>0.874</v>
      </c>
    </row>
    <row r="57" spans="1:7">
      <c r="B57" s="265" t="s">
        <v>803</v>
      </c>
      <c r="C57" s="266">
        <f ca="1">ROUND(C51/C52,3)</f>
        <v>0.126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-52</v>
      </c>
      <c r="C2" s="268" t="s">
        <v>1595</v>
      </c>
      <c r="D2" s="268"/>
      <c r="E2" s="2566"/>
      <c r="F2" s="2566"/>
      <c r="G2" s="2566"/>
      <c r="H2" s="2566"/>
      <c r="I2" s="2566"/>
      <c r="J2" s="2566"/>
      <c r="K2" s="2566"/>
    </row>
    <row r="3" spans="1:33" ht="18" customHeight="1" thickBot="1">
      <c r="A3" s="195" t="s">
        <v>1464</v>
      </c>
      <c r="B3" s="196">
        <f ca="1">ROUND(B2*10000/IF(C1="",'数据-汇总表'!E3,INDIRECT("'数据-取费表'!K"&amp;$K$1)),0)</f>
        <v>-224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2324.56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2324.56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46</v>
      </c>
      <c r="D20" s="796">
        <f ca="1">IF(C1="",'数据-汇总表'!E6,IF(INDIRECT("'数据-取费表'!c"&amp;$K$1)="住宅",INDIRECT("'数据-取费表'!s"&amp;$K$1),INDIRECT("'数据-取费表'!k"&amp;$K$1)+INDIRECT("'数据-取费表'!s"&amp;$K$1)))</f>
        <v>2324.56</v>
      </c>
      <c r="E20" s="21">
        <f>'数据-取费表'!B28</f>
        <v>200</v>
      </c>
      <c r="F20" s="756"/>
      <c r="G20" s="12"/>
      <c r="H20" s="761"/>
      <c r="I20" s="761"/>
      <c r="J20" s="761"/>
      <c r="K20" s="762"/>
    </row>
    <row r="21" spans="1:33" s="755" customFormat="1" ht="13.5" customHeight="1">
      <c r="A21" s="744" t="s">
        <v>357</v>
      </c>
      <c r="B21" s="765" t="s">
        <v>1628</v>
      </c>
      <c r="C21" s="766">
        <f ca="1">C16+C17+C18</f>
        <v>46</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2324.56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3627</v>
      </c>
      <c r="C2" s="1846" t="s">
        <v>1935</v>
      </c>
      <c r="D2" s="162" t="s">
        <v>1936</v>
      </c>
      <c r="E2" s="3118"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23431</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15603</v>
      </c>
      <c r="C3" s="1846" t="s">
        <v>1941</v>
      </c>
      <c r="D3" s="162" t="s">
        <v>1942</v>
      </c>
      <c r="E3" s="3116" t="s">
        <v>3446</v>
      </c>
      <c r="F3" s="1848" t="s">
        <v>3497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21120</v>
      </c>
      <c r="N3" s="813">
        <f>SUMPRODUCT((因素修正幅度!B30:B54=I2)*(因素修正幅度!C3:G3=E2)*(因素修正幅度!C30:G54))</f>
        <v>7.8E-2</v>
      </c>
      <c r="O3" s="1056"/>
      <c r="P3" s="1056"/>
      <c r="Q3" s="1056"/>
      <c r="R3" s="1129">
        <v>2</v>
      </c>
      <c r="S3" s="3061">
        <f>ROUND(SUMPRODUCT((B106:B110=R3)*(C105:N105=G2)*(C106:N110)),4)</f>
        <v>1.1838</v>
      </c>
      <c r="T3" s="3061">
        <f t="shared" si="0"/>
        <v>18469</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369"/>
      <c r="B4" s="3370"/>
      <c r="C4" s="3370"/>
      <c r="D4" s="3371"/>
      <c r="E4" s="3371"/>
      <c r="F4" s="3371"/>
      <c r="G4" s="3371"/>
      <c r="H4" s="3371"/>
      <c r="I4" s="3371"/>
      <c r="J4" s="33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15609</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22176</v>
      </c>
      <c r="D5" s="1252">
        <f>ROUND(C6*C17+C20,0)</f>
        <v>21120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13766</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21120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13230</v>
      </c>
      <c r="U6" s="1130"/>
      <c r="V6" s="3061">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三级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68"/>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6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512">
        <v>1.05</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1">
        <f t="shared" si="0"/>
        <v>0</v>
      </c>
      <c r="U13" s="1130"/>
      <c r="V13" s="3061">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2"/>
      <c r="AE15" s="2552"/>
      <c r="AF15" s="2552"/>
      <c r="AG15" s="2552"/>
      <c r="AH15" s="2552"/>
      <c r="AI15" s="2552"/>
      <c r="AJ15" s="2553"/>
    </row>
    <row r="16" spans="1:36" ht="15.75" thickBot="1">
      <c r="A16" s="3007"/>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2"/>
      <c r="AE16" s="2552"/>
      <c r="AF16" s="2552"/>
      <c r="AG16" s="2552"/>
      <c r="AH16" s="2552"/>
      <c r="AI16" s="2552"/>
      <c r="AJ16" s="2553"/>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9"/>
      <c r="C18" s="3032"/>
      <c r="D18" s="3027" t="s">
        <v>3248</v>
      </c>
      <c r="E18" s="2356"/>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373" t="s">
        <v>3254</v>
      </c>
      <c r="B20" s="159" t="s">
        <v>1994</v>
      </c>
      <c r="C20" s="3029">
        <f>ROUND(IF(F21="与级别开发程度一致",0,(G21-E21)/C21),0)</f>
        <v>0</v>
      </c>
      <c r="D20" s="3044" t="s">
        <v>1998</v>
      </c>
      <c r="E20" s="3045"/>
      <c r="F20" s="3379" t="s">
        <v>1995</v>
      </c>
      <c r="G20" s="338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37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45790</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0.6915</v>
      </c>
      <c r="D24" s="1902" t="s">
        <v>2007</v>
      </c>
      <c r="E24" s="1248">
        <f>存贷款利率!E27/100</f>
        <v>4.3499999999999997E-2</v>
      </c>
      <c r="F24" s="1902" t="s">
        <v>1999</v>
      </c>
      <c r="G24" s="724">
        <f>SUMIF(M30:Q30,E2,M33:Q33)</f>
        <v>5.5E-2</v>
      </c>
      <c r="H24" s="1902" t="s">
        <v>2008</v>
      </c>
      <c r="I24" s="725">
        <f>SUMIF('数据-取费表'!C6:C15,E2,'数据-取费表'!F6:F15)/COUNTIF('数据-取费表'!C6:C15,E2)</f>
        <v>19.29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1.0263</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3627</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5">
        <f>ROUND($E$24*(1+M31),3)</f>
        <v>5.3999999999999999E-2</v>
      </c>
      <c r="N32" s="2355">
        <f>ROUND($E$24*(1+N31),3)</f>
        <v>5.1999999999999998E-2</v>
      </c>
      <c r="O32" s="2355">
        <f>ROUND($E$24*(1+O31),3)</f>
        <v>0.05</v>
      </c>
      <c r="P32" s="2355">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15601</v>
      </c>
      <c r="D33" s="1940">
        <f>'数据-汇总表'!E19</f>
        <v>2324.56</v>
      </c>
      <c r="E33" s="727">
        <f>ROUND(C33*D33/10000,0)</f>
        <v>3627</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3900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7"/>
      <c r="B37" s="1955" t="s">
        <v>2036</v>
      </c>
      <c r="C37" s="167">
        <f>ROUND(D5*C22*C23*C24*C28*F37,0)</f>
        <v>8915</v>
      </c>
      <c r="D37" s="1940"/>
      <c r="E37" s="163">
        <f>ROUND(C37*D37/10000,0)</f>
        <v>0</v>
      </c>
      <c r="F37" s="163">
        <f>SUMIF(修正!A57:A68,G2,修正!B57:B68)</f>
        <v>0.6</v>
      </c>
      <c r="G37" s="163">
        <f>ROUND(IF(E2="工业",C37*$M$42,C37*$M$41),0)</f>
        <v>2229</v>
      </c>
      <c r="H37" s="163">
        <f>D37</f>
        <v>0</v>
      </c>
      <c r="I37" s="163">
        <f>ROUND(G37*H37/10000,0)</f>
        <v>0</v>
      </c>
      <c r="J37" s="2753"/>
      <c r="K37" s="3059"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8"/>
      <c r="B38" s="1884" t="s">
        <v>2037</v>
      </c>
      <c r="C38" s="167">
        <f>ROUND(D5*C22*C23*C24*C28*F38,0)</f>
        <v>4457</v>
      </c>
      <c r="D38" s="1940"/>
      <c r="E38" s="163">
        <f t="shared" ref="E38:E42" si="4">ROUND(C38*D38/10000,0)</f>
        <v>0</v>
      </c>
      <c r="F38" s="163">
        <f>SUMIF(修正!A57:A68,G2,修正!C57:C68)</f>
        <v>0.3</v>
      </c>
      <c r="G38" s="163">
        <f>ROUND(IF(E2="工业",C38*$M$42,C38*$M$41),0)</f>
        <v>1114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8"/>
      <c r="B39" s="1884" t="s">
        <v>3259</v>
      </c>
      <c r="C39" s="167">
        <f>ROUND(D5*C22*C23*C24*C28*F39,0)</f>
        <v>3715</v>
      </c>
      <c r="D39" s="1940"/>
      <c r="E39" s="163">
        <f t="shared" si="4"/>
        <v>0</v>
      </c>
      <c r="F39" s="163">
        <f>SUMIF(修正!A57:A68,G2,修正!D57:D68)</f>
        <v>0.25</v>
      </c>
      <c r="G39" s="163">
        <f>ROUND(IF(E2="工业",C39*$M$42,C39*$M$41),0)</f>
        <v>929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3715</v>
      </c>
      <c r="D40" s="1940"/>
      <c r="E40" s="163">
        <f t="shared" si="4"/>
        <v>0</v>
      </c>
      <c r="F40" s="167">
        <f>SUMIF(修正!A57:A68,G2,修正!E57:E68)</f>
        <v>0.25</v>
      </c>
      <c r="G40" s="163">
        <f>ROUND(IF(E2="工业",C40*$M$42,C40*$M$41),0)</f>
        <v>929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1.0263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3448</v>
      </c>
      <c r="D61" s="1002">
        <f t="shared" ref="D61:D69" si="12">SUMIF($J$60:$N$60,C61,J61:N61)</f>
        <v>0</v>
      </c>
      <c r="E61" s="702">
        <f>ROUND(SUM(D61:D69),4)</f>
        <v>2.63E-2</v>
      </c>
      <c r="F61" s="1675">
        <f>IF(E2="办公",SUMIF(L1:L12,G2,N1:N12),"——")</f>
        <v>7.8E-2</v>
      </c>
      <c r="G61" s="1000">
        <v>9.7000000000000003E-3</v>
      </c>
      <c r="H61" s="1003">
        <f t="shared" ref="H61:H69" si="13">IFERROR(ROUNDDOWN($F$61*I61/2,4),"——")</f>
        <v>9.7000000000000003E-3</v>
      </c>
      <c r="I61" s="3066">
        <v>0.25</v>
      </c>
      <c r="J61" s="1001">
        <f t="shared" ref="J61:J69" si="14">K61+$G61</f>
        <v>1.9400000000000001E-2</v>
      </c>
      <c r="K61" s="1001">
        <f t="shared" ref="K61:K69" si="15">$L61+$G61</f>
        <v>9.7000000000000003E-3</v>
      </c>
      <c r="L61" s="1001">
        <v>0</v>
      </c>
      <c r="M61" s="1001">
        <f t="shared" ref="M61:N69" si="16">L61-$G61</f>
        <v>-9.7000000000000003E-3</v>
      </c>
      <c r="N61" s="1001">
        <f t="shared" si="16"/>
        <v>-1.9400000000000001E-2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3449</v>
      </c>
      <c r="D62" s="1002">
        <f t="shared" si="12"/>
        <v>1.01E-2</v>
      </c>
      <c r="E62" s="703"/>
      <c r="F62" s="1675"/>
      <c r="G62" s="1000">
        <v>1.01E-2</v>
      </c>
      <c r="H62" s="1003">
        <f t="shared" si="13"/>
        <v>1.01E-2</v>
      </c>
      <c r="I62" s="3066">
        <v>0.26</v>
      </c>
      <c r="J62" s="1001">
        <f t="shared" si="14"/>
        <v>2.0199999999999999E-2</v>
      </c>
      <c r="K62" s="1001">
        <f t="shared" si="15"/>
        <v>1.01E-2</v>
      </c>
      <c r="L62" s="1001">
        <v>0</v>
      </c>
      <c r="M62" s="1001">
        <f t="shared" si="16"/>
        <v>-1.01E-2</v>
      </c>
      <c r="N62" s="1001">
        <f t="shared" si="16"/>
        <v>-2.0199999999999999E-2</v>
      </c>
      <c r="AA62" s="1057"/>
      <c r="AB62" s="1057"/>
      <c r="AC62" s="1057"/>
      <c r="AD62" s="1057"/>
      <c r="AE62" s="1057"/>
      <c r="AF62" s="1057"/>
      <c r="AG62" s="1057"/>
      <c r="AH62" s="1057"/>
      <c r="AI62" s="1057"/>
      <c r="AJ62" s="1057"/>
      <c r="AK62" s="1057"/>
    </row>
    <row r="63" spans="1:37" s="1056" customFormat="1" ht="36">
      <c r="A63" s="3068" t="s">
        <v>3269</v>
      </c>
      <c r="B63" s="1262">
        <f>估价对象房地状况!C19</f>
        <v>0</v>
      </c>
      <c r="C63" s="1887" t="s">
        <v>3449</v>
      </c>
      <c r="D63" s="1002">
        <f t="shared" si="12"/>
        <v>4.1999999999999997E-3</v>
      </c>
      <c r="E63" s="703"/>
      <c r="F63" s="1675"/>
      <c r="G63" s="1000">
        <v>4.1999999999999997E-3</v>
      </c>
      <c r="H63" s="1003">
        <f t="shared" si="13"/>
        <v>4.1999999999999997E-3</v>
      </c>
      <c r="I63" s="3066">
        <v>0.11</v>
      </c>
      <c r="J63" s="1001">
        <f t="shared" si="14"/>
        <v>8.3999999999999995E-3</v>
      </c>
      <c r="K63" s="1001">
        <f t="shared" si="15"/>
        <v>4.1999999999999997E-3</v>
      </c>
      <c r="L63" s="1001">
        <v>0</v>
      </c>
      <c r="M63" s="1001">
        <f t="shared" si="16"/>
        <v>-4.1999999999999997E-3</v>
      </c>
      <c r="N63" s="1001">
        <f t="shared" si="16"/>
        <v>-8.3999999999999995E-3</v>
      </c>
      <c r="AA63" s="1057"/>
      <c r="AB63" s="1057"/>
      <c r="AC63" s="1057"/>
      <c r="AD63" s="1057"/>
      <c r="AE63" s="1057"/>
      <c r="AF63" s="1057"/>
      <c r="AG63" s="1057"/>
      <c r="AH63" s="1057"/>
      <c r="AI63" s="1057"/>
      <c r="AJ63" s="1057"/>
      <c r="AK63" s="1057"/>
    </row>
    <row r="64" spans="1:37" s="1056" customFormat="1" ht="36.75">
      <c r="A64" s="1970" t="s">
        <v>2054</v>
      </c>
      <c r="B64" s="1974" t="s">
        <v>2055</v>
      </c>
      <c r="C64" s="1887" t="s">
        <v>3449</v>
      </c>
      <c r="D64" s="1002">
        <f t="shared" si="12"/>
        <v>1.9E-3</v>
      </c>
      <c r="E64" s="703"/>
      <c r="F64" s="1675"/>
      <c r="G64" s="1000">
        <v>1.9E-3</v>
      </c>
      <c r="H64" s="1003">
        <f t="shared" si="13"/>
        <v>1.9E-3</v>
      </c>
      <c r="I64" s="3066">
        <v>0.05</v>
      </c>
      <c r="J64" s="1001">
        <f t="shared" si="14"/>
        <v>3.8E-3</v>
      </c>
      <c r="K64" s="1001">
        <f t="shared" si="15"/>
        <v>1.9E-3</v>
      </c>
      <c r="L64" s="1001">
        <v>0</v>
      </c>
      <c r="M64" s="1001">
        <f t="shared" si="16"/>
        <v>-1.9E-3</v>
      </c>
      <c r="N64" s="1001">
        <f t="shared" si="16"/>
        <v>-3.8E-3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3450</v>
      </c>
      <c r="D65" s="1002">
        <f t="shared" si="12"/>
        <v>-1.9E-3</v>
      </c>
      <c r="E65" s="703"/>
      <c r="F65" s="1675"/>
      <c r="G65" s="1000">
        <v>1.9E-3</v>
      </c>
      <c r="H65" s="1003">
        <f t="shared" si="13"/>
        <v>1.9E-3</v>
      </c>
      <c r="I65" s="3066">
        <v>0.05</v>
      </c>
      <c r="J65" s="1001">
        <f t="shared" si="14"/>
        <v>3.8E-3</v>
      </c>
      <c r="K65" s="1001">
        <f t="shared" si="15"/>
        <v>1.9E-3</v>
      </c>
      <c r="L65" s="1001">
        <v>0</v>
      </c>
      <c r="M65" s="1001">
        <f t="shared" si="16"/>
        <v>-1.9E-3</v>
      </c>
      <c r="N65" s="1001">
        <f t="shared" si="16"/>
        <v>-3.8E-3</v>
      </c>
      <c r="AA65" s="1057"/>
      <c r="AB65" s="1057"/>
      <c r="AC65" s="1057"/>
      <c r="AD65" s="1057"/>
      <c r="AE65" s="1057"/>
      <c r="AF65" s="1057"/>
      <c r="AG65" s="1057"/>
      <c r="AH65" s="1057"/>
      <c r="AI65" s="1057"/>
      <c r="AJ65" s="1057"/>
      <c r="AK65" s="1057"/>
    </row>
    <row r="66" spans="1:37" s="1056" customFormat="1" ht="24">
      <c r="A66" s="1970" t="s">
        <v>2057</v>
      </c>
      <c r="B66" s="1975" t="s">
        <v>2058</v>
      </c>
      <c r="C66" s="1887" t="s">
        <v>3448</v>
      </c>
      <c r="D66" s="1002">
        <f t="shared" si="12"/>
        <v>0</v>
      </c>
      <c r="E66" s="703"/>
      <c r="F66" s="1675"/>
      <c r="G66" s="1000">
        <v>2.3E-3</v>
      </c>
      <c r="H66" s="1003">
        <f t="shared" si="13"/>
        <v>2.3E-3</v>
      </c>
      <c r="I66" s="3066">
        <v>0.06</v>
      </c>
      <c r="J66" s="1001">
        <f t="shared" si="14"/>
        <v>4.5999999999999999E-3</v>
      </c>
      <c r="K66" s="1001">
        <f t="shared" si="15"/>
        <v>2.3E-3</v>
      </c>
      <c r="L66" s="1001">
        <v>0</v>
      </c>
      <c r="M66" s="1001">
        <f t="shared" si="16"/>
        <v>-2.3E-3</v>
      </c>
      <c r="N66" s="1001">
        <f t="shared" si="16"/>
        <v>-4.5999999999999999E-3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3449</v>
      </c>
      <c r="D67" s="1002">
        <f t="shared" si="12"/>
        <v>2.3E-3</v>
      </c>
      <c r="E67" s="703"/>
      <c r="F67" s="1675"/>
      <c r="G67" s="1000">
        <v>2.3E-3</v>
      </c>
      <c r="H67" s="1003">
        <f t="shared" si="13"/>
        <v>2.3E-3</v>
      </c>
      <c r="I67" s="3066">
        <v>0.06</v>
      </c>
      <c r="J67" s="1001">
        <f t="shared" si="14"/>
        <v>4.5999999999999999E-3</v>
      </c>
      <c r="K67" s="1001">
        <f t="shared" si="15"/>
        <v>2.3E-3</v>
      </c>
      <c r="L67" s="1001">
        <v>0</v>
      </c>
      <c r="M67" s="1001">
        <f t="shared" si="16"/>
        <v>-2.3E-3</v>
      </c>
      <c r="N67" s="1001">
        <f t="shared" si="16"/>
        <v>-4.5999999999999999E-3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3451</v>
      </c>
      <c r="D68" s="1002">
        <f t="shared" si="12"/>
        <v>7.0000000000000001E-3</v>
      </c>
      <c r="E68" s="703"/>
      <c r="F68" s="1675"/>
      <c r="G68" s="1000">
        <v>3.5000000000000001E-3</v>
      </c>
      <c r="H68" s="1003">
        <f t="shared" si="13"/>
        <v>3.5000000000000001E-3</v>
      </c>
      <c r="I68" s="3066">
        <v>0.09</v>
      </c>
      <c r="J68" s="1001">
        <f t="shared" si="14"/>
        <v>7.0000000000000001E-3</v>
      </c>
      <c r="K68" s="1001">
        <f t="shared" si="15"/>
        <v>3.5000000000000001E-3</v>
      </c>
      <c r="L68" s="1001">
        <v>0</v>
      </c>
      <c r="M68" s="1001">
        <f t="shared" si="16"/>
        <v>-3.5000000000000001E-3</v>
      </c>
      <c r="N68" s="1001">
        <f t="shared" si="16"/>
        <v>-7.0000000000000001E-3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3449</v>
      </c>
      <c r="D69" s="1002">
        <f t="shared" si="12"/>
        <v>2.7000000000000001E-3</v>
      </c>
      <c r="E69" s="704"/>
      <c r="F69" s="1675"/>
      <c r="G69" s="1000">
        <v>2.7000000000000001E-3</v>
      </c>
      <c r="H69" s="1003">
        <f t="shared" si="13"/>
        <v>2.7000000000000001E-3</v>
      </c>
      <c r="I69" s="3067">
        <v>7.0000000000000007E-2</v>
      </c>
      <c r="J69" s="1001">
        <f t="shared" si="14"/>
        <v>5.4000000000000003E-3</v>
      </c>
      <c r="K69" s="1001">
        <f t="shared" si="15"/>
        <v>2.7000000000000001E-3</v>
      </c>
      <c r="L69" s="1001">
        <v>0</v>
      </c>
      <c r="M69" s="1001">
        <f t="shared" si="16"/>
        <v>-2.7000000000000001E-3</v>
      </c>
      <c r="N69" s="1001">
        <f t="shared" si="16"/>
        <v>-5.4000000000000003E-3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3271</v>
      </c>
      <c r="B92" s="2309"/>
      <c r="C92" s="2309" t="s">
        <v>3280</v>
      </c>
      <c r="D92" s="2309" t="s">
        <v>3281</v>
      </c>
      <c r="E92" s="3050" t="s">
        <v>3282</v>
      </c>
      <c r="F92" s="3080" t="s">
        <v>3283</v>
      </c>
      <c r="G92" s="2309" t="s">
        <v>3284</v>
      </c>
      <c r="H92" s="3087" t="s">
        <v>3287</v>
      </c>
      <c r="I92" s="2309" t="s">
        <v>3288</v>
      </c>
      <c r="J92" s="2150" t="s">
        <v>3289</v>
      </c>
      <c r="K92" s="2150" t="s">
        <v>3290</v>
      </c>
      <c r="L92" s="2150" t="s">
        <v>3291</v>
      </c>
      <c r="M92" s="2150" t="s">
        <v>3292</v>
      </c>
      <c r="N92" s="2150" t="s">
        <v>3293</v>
      </c>
    </row>
    <row r="93" spans="1:37" ht="24">
      <c r="A93" s="3068" t="s">
        <v>3272</v>
      </c>
      <c r="B93" s="1221"/>
      <c r="C93" s="1887"/>
      <c r="D93" s="2309">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3273</v>
      </c>
      <c r="B94" s="3069" t="str">
        <f>估价对象房地状况!C18</f>
        <v>估价对象周边道路状况、公共交通通达情况、停车便捷程度，综合评价交通便捷度较好</v>
      </c>
      <c r="C94" s="1887"/>
      <c r="D94" s="2309">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3269</v>
      </c>
      <c r="B95" s="3069">
        <f>估价对象房地状况!C19</f>
        <v>0</v>
      </c>
      <c r="C95" s="1887"/>
      <c r="D95" s="2309">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3274</v>
      </c>
      <c r="B96" s="3084" t="s">
        <v>3285</v>
      </c>
      <c r="C96" s="1887"/>
      <c r="D96" s="2309">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9">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3276</v>
      </c>
      <c r="B98" s="3085" t="s">
        <v>3286</v>
      </c>
      <c r="C98" s="1887"/>
      <c r="D98" s="2309">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3277</v>
      </c>
      <c r="B99" s="3069" t="str">
        <f>估价对象房地状况!C21</f>
        <v>估价对象所在区域公共配套设施齐备情况</v>
      </c>
      <c r="C99" s="1887"/>
      <c r="D99" s="2309">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3278</v>
      </c>
      <c r="B100" s="3069" t="str">
        <f>估价对象房地状况!C22</f>
        <v>估价对象所在区域基础设施水平</v>
      </c>
      <c r="C100" s="1887"/>
      <c r="D100" s="2309">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3279</v>
      </c>
      <c r="B101" s="3086" t="str">
        <f>估价对象房地状况!C20</f>
        <v>区域自然环境：；人文环境；综合评价环境状况一般</v>
      </c>
      <c r="C101" s="1887"/>
      <c r="D101" s="2309">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75" t="s">
        <v>3294</v>
      </c>
      <c r="B103" s="3375"/>
      <c r="C103" s="3375"/>
      <c r="D103" s="3375"/>
      <c r="E103" s="3375"/>
      <c r="F103" s="3375"/>
      <c r="G103" s="3375"/>
      <c r="H103" s="3375"/>
      <c r="I103" s="3375"/>
      <c r="J103" s="3375"/>
      <c r="K103" s="1667"/>
      <c r="L103" s="1667"/>
      <c r="M103" s="1667"/>
      <c r="N103" s="1667"/>
    </row>
    <row r="104" spans="1:14">
      <c r="A104" s="3376" t="s">
        <v>3295</v>
      </c>
      <c r="B104" s="3376" t="s">
        <v>3296</v>
      </c>
      <c r="C104" s="3088" t="s">
        <v>3297</v>
      </c>
      <c r="D104" s="3089"/>
      <c r="E104" s="3089"/>
      <c r="F104" s="3089"/>
      <c r="G104" s="3089"/>
      <c r="H104" s="3089"/>
      <c r="I104" s="3089"/>
      <c r="J104" s="3090"/>
      <c r="K104" s="3091"/>
      <c r="L104" s="3091"/>
      <c r="M104" s="3091"/>
      <c r="N104" s="3091"/>
    </row>
    <row r="105" spans="1:14">
      <c r="A105" s="3376"/>
      <c r="B105" s="3376"/>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362"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3"/>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6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65" t="s">
        <v>3311</v>
      </c>
      <c r="B113" s="3365"/>
      <c r="C113" s="3365"/>
      <c r="D113" s="3365"/>
      <c r="E113" s="3365"/>
      <c r="F113" s="3365"/>
      <c r="G113" s="3365"/>
      <c r="H113" s="3365"/>
      <c r="I113" s="3365"/>
      <c r="J113" s="336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3312</v>
      </c>
      <c r="B116" s="3112">
        <f>G3</f>
        <v>2.5</v>
      </c>
      <c r="C116" s="3097" t="s">
        <v>3313</v>
      </c>
      <c r="D116" s="3098">
        <f>SUMPRODUCT((A118:A122=F116)*(B117:M117=H116)*B118:M122)</f>
        <v>0.90600000000000003</v>
      </c>
      <c r="E116" s="162" t="s">
        <v>3314</v>
      </c>
      <c r="F116" s="3099" t="str">
        <f>E2</f>
        <v>办公</v>
      </c>
      <c r="G116" s="162" t="s">
        <v>3315</v>
      </c>
      <c r="H116" s="3099" t="str">
        <f>G2</f>
        <v>三级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3329</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3330</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3331</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2612</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19.29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2973.1790999999998</v>
      </c>
      <c r="C2" s="1289" t="s">
        <v>879</v>
      </c>
      <c r="D2" s="1375">
        <f ca="1">C40+J29+L46</f>
        <v>29731791</v>
      </c>
      <c r="E2" s="1295" t="s">
        <v>880</v>
      </c>
      <c r="F2" s="1296"/>
      <c r="G2" s="2477"/>
      <c r="H2" s="2467"/>
      <c r="I2" s="2467"/>
      <c r="J2" s="2467"/>
      <c r="K2" s="2468"/>
      <c r="L2" s="2467"/>
      <c r="M2" s="2467"/>
    </row>
    <row r="3" spans="1:37" ht="18" customHeight="1" thickBot="1">
      <c r="A3" s="1297" t="s">
        <v>881</v>
      </c>
      <c r="B3" s="1298">
        <f ca="1">IF(ISERROR(D2/F43),0,ROUND(D2/F43,0))</f>
        <v>12790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2676004</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2672663</v>
      </c>
      <c r="D6" s="147" t="s">
        <v>2106</v>
      </c>
      <c r="E6" s="294" t="s">
        <v>696</v>
      </c>
      <c r="F6" s="295">
        <f ca="1">INDIRECT("'数据-取费表'!u"&amp;$G$1)</f>
        <v>3.5</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2324.56</v>
      </c>
      <c r="G7" s="1292"/>
      <c r="H7" s="296"/>
      <c r="I7" s="3360"/>
      <c r="J7" s="298"/>
      <c r="K7" s="299"/>
      <c r="L7" s="294" t="s">
        <v>697</v>
      </c>
      <c r="M7" s="295">
        <f ca="1">F7</f>
        <v>2324.56</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3341</v>
      </c>
      <c r="D10" s="150" t="s">
        <v>2116</v>
      </c>
      <c r="E10" s="305" t="s">
        <v>701</v>
      </c>
      <c r="F10" s="1053" t="s">
        <v>3443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7143578</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6973680</v>
      </c>
      <c r="D14" s="1257" t="s">
        <v>708</v>
      </c>
      <c r="E14" s="1255"/>
      <c r="F14" s="311"/>
      <c r="G14" s="1292"/>
      <c r="H14" s="928" t="s">
        <v>398</v>
      </c>
      <c r="I14" s="294" t="s">
        <v>709</v>
      </c>
      <c r="J14" s="21">
        <f ca="1">C29</f>
        <v>10205112</v>
      </c>
      <c r="K14" s="12"/>
      <c r="L14" s="759"/>
      <c r="M14" s="760"/>
    </row>
    <row r="15" spans="1:37" s="1304" customFormat="1" ht="18" customHeight="1" thickBot="1">
      <c r="A15" s="928" t="s">
        <v>399</v>
      </c>
      <c r="B15" s="294" t="s">
        <v>710</v>
      </c>
      <c r="C15" s="21">
        <f ca="1">ROUND(C14*F15,0)</f>
        <v>348684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92822</v>
      </c>
      <c r="K16" s="1024" t="s">
        <v>715</v>
      </c>
      <c r="L16" s="1025"/>
      <c r="M16" s="1009"/>
    </row>
    <row r="17" spans="1:37" s="1304" customFormat="1" ht="18" customHeight="1">
      <c r="A17" s="928" t="s">
        <v>681</v>
      </c>
      <c r="B17" s="294" t="s">
        <v>716</v>
      </c>
      <c r="C17" s="21">
        <f ca="1">ROUND(F17*(F43+INDIRECT("'数据-取费表'!S"&amp;$G$1)),0)</f>
        <v>464912</v>
      </c>
      <c r="D17" s="294" t="s">
        <v>717</v>
      </c>
      <c r="E17" s="294" t="s">
        <v>718</v>
      </c>
      <c r="F17" s="23">
        <f>'数据-取费表'!B35</f>
        <v>200</v>
      </c>
      <c r="G17" s="1303"/>
      <c r="H17" s="928" t="s">
        <v>398</v>
      </c>
      <c r="I17" s="294" t="s">
        <v>719</v>
      </c>
      <c r="J17" s="2140">
        <f ca="1">ROUND(IF(AND(项目基本情况!B11="自然人",项目基本情况!B10="北京市"),J6*M17/(1+'数据-取费表'!C42),J18+J19+J20),0)</f>
        <v>41796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139474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7926750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158535</v>
      </c>
      <c r="D20" s="315" t="s">
        <v>729</v>
      </c>
      <c r="E20" s="294" t="s">
        <v>712</v>
      </c>
      <c r="F20" s="314">
        <f>'数据-取费表'!B37</f>
        <v>0.02</v>
      </c>
      <c r="G20" s="1303"/>
      <c r="H20" s="928" t="s">
        <v>680</v>
      </c>
      <c r="I20" s="147" t="s">
        <v>730</v>
      </c>
      <c r="J20" s="22">
        <f ca="1">ROUND(M20*M21,0)</f>
        <v>41796</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2322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51026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125322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-92822</v>
      </c>
      <c r="K25" s="1032" t="s">
        <v>753</v>
      </c>
      <c r="L25" s="1033"/>
      <c r="M25" s="1034"/>
    </row>
    <row r="26" spans="1:37" ht="18" customHeight="1">
      <c r="A26" s="928" t="s">
        <v>397</v>
      </c>
      <c r="B26" s="294" t="s">
        <v>754</v>
      </c>
      <c r="C26" s="21">
        <f ca="1">ROUND((C19+C20)*F26,0)</f>
        <v>1212793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10205112</v>
      </c>
      <c r="D29" s="1029"/>
      <c r="E29" s="1027"/>
      <c r="F29" s="1030"/>
      <c r="G29" s="1303"/>
      <c r="H29" s="325" t="s">
        <v>396</v>
      </c>
      <c r="I29" s="326" t="s">
        <v>768</v>
      </c>
      <c r="J29" s="327">
        <f ca="1">ROUND(J26/(1+F40)^F41,0)</f>
        <v>0</v>
      </c>
      <c r="K29" s="328" t="s">
        <v>769</v>
      </c>
      <c r="L29" s="329"/>
      <c r="M29" s="330">
        <f ca="1">INDIRECT("'数据-取费表'!k"&amp;$G$1)</f>
        <v>2324.56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574715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489785</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142542</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305447</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41796</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2322</v>
      </c>
      <c r="G35" s="1292"/>
      <c r="H35" s="2469"/>
      <c r="I35" s="1305"/>
      <c r="J35" s="1306"/>
      <c r="K35" s="2473"/>
      <c r="L35" s="2472"/>
      <c r="M35" s="2472"/>
    </row>
    <row r="36" spans="1:18" ht="18" customHeight="1">
      <c r="A36" s="1039" t="s">
        <v>402</v>
      </c>
      <c r="B36" s="294" t="s">
        <v>738</v>
      </c>
      <c r="C36" s="21">
        <f ca="1">ROUND(C29*F36,0)</f>
        <v>51026</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7144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26760</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2101289</v>
      </c>
      <c r="D39" s="1032" t="s">
        <v>773</v>
      </c>
      <c r="E39" s="1033"/>
      <c r="F39" s="1034"/>
      <c r="G39" s="1292"/>
      <c r="H39" s="2472"/>
      <c r="I39" s="1305"/>
      <c r="J39" s="1306"/>
      <c r="K39" s="2470"/>
      <c r="L39" s="2472"/>
      <c r="M39" s="2472"/>
    </row>
    <row r="40" spans="1:18" ht="18" customHeight="1">
      <c r="A40" s="291" t="s">
        <v>395</v>
      </c>
      <c r="B40" s="292" t="s">
        <v>774</v>
      </c>
      <c r="C40" s="293">
        <f ca="1">ROUND(C39*(1-((1+F42)/(1+F40))^F41)/(F40-F42),0)</f>
        <v>28720192</v>
      </c>
      <c r="D40" s="316" t="s">
        <v>758</v>
      </c>
      <c r="E40" s="294" t="s">
        <v>759</v>
      </c>
      <c r="F40" s="304">
        <f ca="1">INDIRECT("'数据-取费表'!I"&amp;$G$1)</f>
        <v>5.5E-2</v>
      </c>
      <c r="G40" s="1292"/>
      <c r="H40" s="1366">
        <f ca="1">C39/C5</f>
        <v>0.78523387857417248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12355</v>
      </c>
      <c r="D43" s="328" t="s">
        <v>777</v>
      </c>
      <c r="E43" s="329" t="s">
        <v>778</v>
      </c>
      <c r="F43" s="330">
        <f ca="1">INDIRECT("'数据-取费表'!k"&amp;$G$1)</f>
        <v>2324.56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-2989.0688</v>
      </c>
      <c r="D45" s="3128" t="s">
        <v>3353</v>
      </c>
      <c r="E45" s="1307"/>
      <c r="F45" s="1307"/>
      <c r="O45" s="1310" t="s">
        <v>808</v>
      </c>
      <c r="P45" s="1366"/>
      <c r="Q45" s="1366"/>
      <c r="R45" s="1366"/>
    </row>
    <row r="46" spans="1:18" s="1292" customFormat="1" ht="13.5" thickBot="1">
      <c r="A46" s="1311" t="s">
        <v>809</v>
      </c>
      <c r="C46" s="1312">
        <f ca="1">ROUND(C45,0)</f>
        <v>-2989</v>
      </c>
      <c r="D46" s="1313" t="str">
        <f>C2</f>
        <v>万元</v>
      </c>
      <c r="I46" s="1314" t="s">
        <v>810</v>
      </c>
      <c r="J46" s="1315"/>
      <c r="K46" s="1316"/>
      <c r="L46" s="1317">
        <f ca="1">IF(M47="住宅",0,IF(L48&gt;J51,L60,J60))</f>
        <v>1011599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28720192</v>
      </c>
      <c r="R47" s="1327" t="s">
        <v>818</v>
      </c>
    </row>
    <row r="48" spans="1:18" s="1292" customFormat="1" ht="28.5" thickBot="1">
      <c r="A48" s="1047" t="s">
        <v>438</v>
      </c>
      <c r="B48" s="292" t="s">
        <v>692</v>
      </c>
      <c r="C48" s="1268">
        <f ca="1">C49+C53+C55</f>
        <v>0</v>
      </c>
      <c r="D48" s="1049"/>
      <c r="E48" s="1050"/>
      <c r="F48" s="908"/>
      <c r="G48" s="681"/>
      <c r="H48" s="682"/>
      <c r="I48" s="1328" t="s">
        <v>819</v>
      </c>
      <c r="J48" s="1329" t="s">
        <v>3444</v>
      </c>
      <c r="K48" s="1330" t="s">
        <v>820</v>
      </c>
      <c r="L48" s="1331">
        <f ca="1">INDIRECT("'数据-取费表'!f"&amp;$G$1)</f>
        <v>19.29</v>
      </c>
      <c r="O48" s="1325" t="s">
        <v>404</v>
      </c>
      <c r="P48" s="1326" t="s">
        <v>821</v>
      </c>
      <c r="Q48" s="1327">
        <f ca="1">J60</f>
        <v>1011599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10205112</v>
      </c>
      <c r="R49" s="1327" t="s">
        <v>818</v>
      </c>
    </row>
    <row r="50" spans="1:18" s="1292" customFormat="1" ht="13.5" thickBot="1">
      <c r="A50" s="922"/>
      <c r="B50" s="925"/>
      <c r="C50" s="926"/>
      <c r="D50" s="899"/>
      <c r="E50" s="993" t="s">
        <v>697</v>
      </c>
      <c r="F50" s="994">
        <f ca="1">F7</f>
        <v>2324.56</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30</v>
      </c>
      <c r="K51" s="1339" t="s">
        <v>830</v>
      </c>
      <c r="L51" s="1340">
        <f ca="1">ROUND(-PV(INDIRECT("'数据-取费表'!h"&amp;$G$1),J51,(C39-C13*C76),0),0)</f>
        <v>24614961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19.29</v>
      </c>
      <c r="K53" s="3357" t="s">
        <v>837</v>
      </c>
      <c r="L53" s="3358"/>
      <c r="O53" s="1325" t="s">
        <v>409</v>
      </c>
      <c r="P53" s="1326" t="s">
        <v>838</v>
      </c>
      <c r="Q53" s="1327">
        <f ca="1">Q47+Q48</f>
        <v>29731791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7143578</v>
      </c>
      <c r="D56" s="1352"/>
      <c r="E56" s="1353"/>
      <c r="F56" s="1345"/>
      <c r="I56" s="1354" t="s">
        <v>842</v>
      </c>
      <c r="J56" s="1355" t="s">
        <v>3435</v>
      </c>
      <c r="K56" s="1328" t="s">
        <v>843</v>
      </c>
      <c r="L56" s="1331" t="str">
        <f ca="1">IF(L48&lt;J51,"——",L48-J51)</f>
        <v>——</v>
      </c>
      <c r="O56" s="1325" t="s">
        <v>403</v>
      </c>
      <c r="P56" s="1326" t="s">
        <v>817</v>
      </c>
      <c r="Q56" s="1327">
        <f ca="1">C40+J29</f>
        <v>28720192</v>
      </c>
      <c r="R56" s="1327" t="s">
        <v>818</v>
      </c>
    </row>
    <row r="57" spans="1:18" s="1292" customFormat="1" ht="24.75" thickBot="1">
      <c r="A57" s="1356"/>
      <c r="B57" s="896" t="s">
        <v>767</v>
      </c>
      <c r="C57" s="230">
        <f ca="1">C29</f>
        <v>10205112</v>
      </c>
      <c r="D57" s="1357"/>
      <c r="E57" s="1358"/>
      <c r="F57" s="1359"/>
      <c r="I57" s="1360" t="s">
        <v>844</v>
      </c>
      <c r="J57" s="1361">
        <f ca="1">IF(OR(M47="住宅",J51&lt;L48,J56="是"),"——",J51-L48)</f>
        <v>10.71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99966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41796</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4082045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1011599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41796</v>
      </c>
      <c r="D62" s="911" t="s">
        <v>786</v>
      </c>
      <c r="E62" s="896" t="s">
        <v>787</v>
      </c>
      <c r="F62" s="317">
        <f t="shared" si="0"/>
        <v>18</v>
      </c>
      <c r="I62" s="1367" t="s">
        <v>858</v>
      </c>
      <c r="J62" s="610" t="s">
        <v>859</v>
      </c>
      <c r="K62" s="610" t="s">
        <v>860</v>
      </c>
      <c r="L62" s="610" t="s">
        <v>861</v>
      </c>
      <c r="M62" s="1368" t="s">
        <v>862</v>
      </c>
      <c r="O62" s="1325" t="s">
        <v>409</v>
      </c>
      <c r="P62" s="1326" t="s">
        <v>863</v>
      </c>
      <c r="Q62" s="1327">
        <f ca="1">Q56+Q57</f>
        <v>28720192</v>
      </c>
      <c r="R62" s="1327" t="s">
        <v>410</v>
      </c>
    </row>
    <row r="63" spans="1:18" s="1292" customFormat="1" ht="13.5" thickBot="1">
      <c r="A63" s="318"/>
      <c r="B63" s="902"/>
      <c r="C63" s="26"/>
      <c r="D63" s="912"/>
      <c r="E63" s="896" t="s">
        <v>788</v>
      </c>
      <c r="F63" s="295">
        <f t="shared" ca="1" si="0"/>
        <v>2322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51026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7144</v>
      </c>
      <c r="D65" s="910" t="s">
        <v>743</v>
      </c>
      <c r="E65" s="896" t="s">
        <v>744</v>
      </c>
      <c r="F65" s="321">
        <f t="shared" ca="1" si="0"/>
        <v>1E-3</v>
      </c>
      <c r="I65" s="1367" t="s">
        <v>867</v>
      </c>
      <c r="J65" s="610">
        <v>40</v>
      </c>
      <c r="K65" s="610">
        <v>30</v>
      </c>
      <c r="L65" s="610">
        <v>50</v>
      </c>
      <c r="M65" s="1369">
        <v>0.02</v>
      </c>
      <c r="O65" s="1325" t="s">
        <v>403</v>
      </c>
      <c r="P65" s="1326" t="s">
        <v>868</v>
      </c>
      <c r="Q65" s="1327">
        <f ca="1">C40+J29</f>
        <v>28720192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-99966</v>
      </c>
      <c r="D67" s="909" t="s">
        <v>753</v>
      </c>
      <c r="E67" s="914"/>
      <c r="F67" s="915"/>
      <c r="O67" s="1334" t="s">
        <v>405</v>
      </c>
      <c r="P67" s="1326" t="s">
        <v>850</v>
      </c>
      <c r="Q67" s="1370">
        <f ca="1">L51</f>
        <v>24614961</v>
      </c>
      <c r="R67" s="1327" t="s">
        <v>870</v>
      </c>
    </row>
    <row r="68" spans="1:18" s="1292" customFormat="1" ht="16.5" thickBot="1">
      <c r="A68" s="893" t="s">
        <v>395</v>
      </c>
      <c r="B68" s="894" t="s">
        <v>774</v>
      </c>
      <c r="C68" s="293">
        <f ca="1">ROUND(C67*(1-((1+F70)/(1+F68))^F69)/(F68-F70),0)</f>
        <v>-1170496</v>
      </c>
      <c r="D68" s="911" t="s">
        <v>758</v>
      </c>
      <c r="E68" s="896" t="s">
        <v>759</v>
      </c>
      <c r="F68" s="304">
        <f ca="1">F40</f>
        <v>5.5E-2</v>
      </c>
      <c r="O68" s="1334" t="s">
        <v>406</v>
      </c>
      <c r="P68" s="1371" t="s">
        <v>871</v>
      </c>
      <c r="Q68" s="1327">
        <f ca="1">ROUND(Q69-Q70*Q71,0)</f>
        <v>1601239</v>
      </c>
      <c r="R68" s="1327" t="s">
        <v>414</v>
      </c>
    </row>
    <row r="69" spans="1:18" s="1292" customFormat="1" ht="13.5" thickBot="1">
      <c r="A69" s="897"/>
      <c r="B69" s="898"/>
      <c r="C69" s="298"/>
      <c r="D69" s="916" t="s">
        <v>762</v>
      </c>
      <c r="E69" s="896" t="s">
        <v>763</v>
      </c>
      <c r="F69" s="324">
        <f ca="1">F41</f>
        <v>19.29</v>
      </c>
      <c r="O69" s="1334" t="s">
        <v>411</v>
      </c>
      <c r="P69" s="1371" t="s">
        <v>872</v>
      </c>
      <c r="Q69" s="1327">
        <f ca="1">C39</f>
        <v>2101289</v>
      </c>
      <c r="R69" s="1327" t="s">
        <v>818</v>
      </c>
    </row>
    <row r="70" spans="1:18" s="1292" customFormat="1" ht="13.5" thickBot="1">
      <c r="A70" s="900"/>
      <c r="B70" s="901"/>
      <c r="C70" s="302"/>
      <c r="D70" s="912"/>
      <c r="E70" s="896" t="s">
        <v>766</v>
      </c>
      <c r="F70" s="991"/>
      <c r="O70" s="1334" t="s">
        <v>412</v>
      </c>
      <c r="P70" s="1371" t="s">
        <v>873</v>
      </c>
      <c r="Q70" s="1327">
        <f ca="1">C13</f>
        <v>7143578</v>
      </c>
      <c r="R70" s="1327" t="s">
        <v>818</v>
      </c>
    </row>
    <row r="71" spans="1:18" s="1292" customFormat="1" ht="13.5" thickBot="1">
      <c r="A71" s="917" t="s">
        <v>396</v>
      </c>
      <c r="B71" s="918" t="s">
        <v>776</v>
      </c>
      <c r="C71" s="327">
        <f ca="1">ROUND(C68/F71,0)</f>
        <v>-504</v>
      </c>
      <c r="D71" s="919" t="s">
        <v>777</v>
      </c>
      <c r="E71" s="920" t="s">
        <v>778</v>
      </c>
      <c r="F71" s="330">
        <f ca="1">F43</f>
        <v>2324.56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500050</v>
      </c>
      <c r="D75" s="1292"/>
      <c r="E75" s="1292"/>
      <c r="F75" s="1292"/>
      <c r="K75" s="1309"/>
      <c r="L75" s="1292"/>
      <c r="O75" s="1325" t="s">
        <v>409</v>
      </c>
      <c r="P75" s="1326" t="s">
        <v>838</v>
      </c>
      <c r="Q75" s="1327">
        <f ca="1">Q65+Q66</f>
        <v>28720192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0.76200000000000001</v>
      </c>
    </row>
    <row r="80" spans="1:18">
      <c r="B80" s="331" t="s">
        <v>800</v>
      </c>
      <c r="C80" s="266">
        <f ca="1">ROUND(C75/C39,3)</f>
        <v>0.23799999999999999</v>
      </c>
    </row>
    <row r="81" spans="2:3">
      <c r="B81" s="262" t="s">
        <v>801</v>
      </c>
      <c r="C81" s="230"/>
    </row>
    <row r="82" spans="2:3">
      <c r="B82" s="265" t="s">
        <v>802</v>
      </c>
      <c r="C82" s="267">
        <f ca="1">1-C83</f>
        <v>0.751</v>
      </c>
    </row>
    <row r="83" spans="2:3">
      <c r="B83" s="265" t="s">
        <v>803</v>
      </c>
      <c r="C83" s="266">
        <f ca="1">ROUND(C13/C40,3)</f>
        <v>0.249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6" t="s">
        <v>3359</v>
      </c>
      <c r="E2" s="3137"/>
      <c r="F2" s="2596"/>
      <c r="G2" s="2597"/>
      <c r="H2" s="2598"/>
      <c r="I2" s="2599"/>
      <c r="J2" s="3387" t="s">
        <v>2317</v>
      </c>
      <c r="K2" s="338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89" t="s">
        <v>2327</v>
      </c>
      <c r="K3" s="339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89" t="s">
        <v>2329</v>
      </c>
      <c r="K4" s="339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95" t="s">
        <v>2333</v>
      </c>
      <c r="B6" s="3396"/>
      <c r="C6" s="3397"/>
      <c r="D6" s="2620"/>
      <c r="E6" s="2621"/>
      <c r="F6" s="2622"/>
      <c r="G6" s="2623"/>
      <c r="H6" s="2598"/>
      <c r="I6" s="2599"/>
      <c r="J6" s="3381">
        <v>1</v>
      </c>
      <c r="K6" s="338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81"/>
      <c r="K7" s="338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98" t="s">
        <v>2347</v>
      </c>
      <c r="C8" s="3399"/>
      <c r="D8" s="2639" t="s">
        <v>2348</v>
      </c>
      <c r="E8" s="2640" t="s">
        <v>2349</v>
      </c>
      <c r="F8" s="2641" t="s">
        <v>2350</v>
      </c>
      <c r="G8" s="2642"/>
      <c r="H8" s="2598"/>
      <c r="I8" s="2599"/>
      <c r="J8" s="3381"/>
      <c r="K8" s="338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98" t="s">
        <v>2353</v>
      </c>
      <c r="C9" s="3399"/>
      <c r="D9" s="2639">
        <f>ROUND(D6*E9,0)</f>
        <v>0</v>
      </c>
      <c r="E9" s="2643"/>
      <c r="F9" s="2644" t="s">
        <v>2354</v>
      </c>
      <c r="G9" s="2623"/>
      <c r="H9" s="2598"/>
      <c r="I9" s="2599"/>
      <c r="J9" s="3381"/>
      <c r="K9" s="3383"/>
      <c r="L9" s="2633" t="s">
        <v>2355</v>
      </c>
      <c r="M9" s="2634"/>
      <c r="N9" s="2610"/>
      <c r="O9" s="2635"/>
      <c r="P9" s="2635"/>
      <c r="Q9" s="2636">
        <v>365</v>
      </c>
      <c r="R9" s="2637">
        <f t="shared" si="0"/>
        <v>0</v>
      </c>
      <c r="S9" s="2591"/>
      <c r="T9" s="2591"/>
      <c r="U9" s="2591"/>
      <c r="V9" s="2599"/>
    </row>
    <row r="10" spans="1:22" s="2603" customFormat="1" ht="13.15" customHeight="1">
      <c r="A10" s="2638">
        <v>2</v>
      </c>
      <c r="B10" s="3398" t="s">
        <v>2356</v>
      </c>
      <c r="C10" s="3399"/>
      <c r="D10" s="2639">
        <f>ROUND(D6*E10,0)</f>
        <v>0</v>
      </c>
      <c r="E10" s="2643"/>
      <c r="F10" s="2644" t="s">
        <v>2357</v>
      </c>
      <c r="G10" s="2623"/>
      <c r="H10" s="2598"/>
      <c r="I10" s="2599"/>
      <c r="J10" s="3381"/>
      <c r="K10" s="3383"/>
      <c r="L10" s="2633" t="s">
        <v>2358</v>
      </c>
      <c r="M10" s="2634"/>
      <c r="N10" s="2610"/>
      <c r="O10" s="2635"/>
      <c r="P10" s="2635"/>
      <c r="Q10" s="2636">
        <v>365</v>
      </c>
      <c r="R10" s="2637">
        <f t="shared" si="0"/>
        <v>0</v>
      </c>
      <c r="S10" s="2591"/>
      <c r="T10" s="2591"/>
      <c r="U10" s="2591"/>
      <c r="V10" s="2599"/>
    </row>
    <row r="11" spans="1:22" s="2603" customFormat="1" ht="13.15" customHeight="1">
      <c r="A11" s="2638">
        <v>3</v>
      </c>
      <c r="B11" s="3398" t="s">
        <v>2359</v>
      </c>
      <c r="C11" s="3399"/>
      <c r="D11" s="2639">
        <f>D12+D14+D15+D16</f>
        <v>0</v>
      </c>
      <c r="E11" s="2645" t="e">
        <f>D11/D6</f>
        <v>#DIV/0!</v>
      </c>
      <c r="F11" s="2641"/>
      <c r="G11" s="2642"/>
      <c r="H11" s="2598"/>
      <c r="I11" s="2599"/>
      <c r="J11" s="3381"/>
      <c r="K11" s="338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91" t="s">
        <v>2362</v>
      </c>
      <c r="C12" s="3392"/>
      <c r="D12" s="2647">
        <f>ROUND(D13*1.2%*(1-30%),0)</f>
        <v>0</v>
      </c>
      <c r="E12" s="2648">
        <v>1.2E-2</v>
      </c>
      <c r="F12" s="2641" t="s">
        <v>2363</v>
      </c>
      <c r="G12" s="2642"/>
      <c r="H12" s="2598"/>
      <c r="I12" s="2599"/>
      <c r="J12" s="3381"/>
      <c r="K12" s="338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81"/>
      <c r="K13" s="338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91" t="s">
        <v>2368</v>
      </c>
      <c r="C14" s="3392"/>
      <c r="D14" s="2647">
        <f>ROUND(E14*B5/10000,0)</f>
        <v>0</v>
      </c>
      <c r="E14" s="2636"/>
      <c r="F14" s="2641" t="s">
        <v>2369</v>
      </c>
      <c r="G14" s="2642"/>
      <c r="H14" s="2598"/>
      <c r="I14" s="2599"/>
      <c r="J14" s="3381"/>
      <c r="K14" s="338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91" t="s">
        <v>2372</v>
      </c>
      <c r="C15" s="3392"/>
      <c r="D15" s="2647">
        <f>ROUND(D6*E15,0)</f>
        <v>0</v>
      </c>
      <c r="E15" s="2648">
        <v>5.5E-2</v>
      </c>
      <c r="F15" s="2641" t="s">
        <v>2373</v>
      </c>
      <c r="G15" s="2623"/>
      <c r="H15" s="2598"/>
      <c r="I15" s="2599"/>
      <c r="J15" s="3381">
        <v>2</v>
      </c>
      <c r="K15" s="338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91" t="s">
        <v>2381</v>
      </c>
      <c r="C16" s="3392"/>
      <c r="D16" s="2658">
        <f>D6*E16</f>
        <v>0</v>
      </c>
      <c r="E16" s="2659"/>
      <c r="F16" s="2644" t="s">
        <v>2382</v>
      </c>
      <c r="G16" s="2623"/>
      <c r="H16" s="2598"/>
      <c r="I16" s="2599"/>
      <c r="J16" s="3381"/>
      <c r="K16" s="338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93" t="s">
        <v>2384</v>
      </c>
      <c r="C17" s="3394"/>
      <c r="D17" s="2661">
        <f>ROUND(D6*E17,0)</f>
        <v>0</v>
      </c>
      <c r="E17" s="2662"/>
      <c r="F17" s="2663" t="s">
        <v>2385</v>
      </c>
      <c r="G17" s="2623"/>
      <c r="H17" s="2598"/>
      <c r="I17" s="2599"/>
      <c r="J17" s="3381"/>
      <c r="K17" s="338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81"/>
      <c r="K18" s="338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81"/>
      <c r="K19" s="338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1">
        <v>3</v>
      </c>
      <c r="K20" s="338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81"/>
      <c r="K21" s="338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81"/>
      <c r="K22" s="338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81"/>
      <c r="K23" s="338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81"/>
      <c r="K24" s="338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8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8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87" t="s">
        <v>2317</v>
      </c>
      <c r="K32" s="338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89" t="s">
        <v>2327</v>
      </c>
      <c r="K33" s="339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89" t="s">
        <v>2329</v>
      </c>
      <c r="K34" s="339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81">
        <v>1</v>
      </c>
      <c r="K36" s="338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81"/>
      <c r="K37" s="338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1"/>
      <c r="K38" s="338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81"/>
      <c r="K39" s="338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81"/>
      <c r="K40" s="338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8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2973.1790999999998</v>
      </c>
      <c r="C2" s="1729" t="s">
        <v>1651</v>
      </c>
      <c r="D2" s="1730" t="s">
        <v>1652</v>
      </c>
      <c r="E2" s="2392">
        <f>SUM(E6:E13)</f>
        <v>2324.56</v>
      </c>
      <c r="F2" s="2478"/>
      <c r="G2" s="459"/>
      <c r="H2" s="459"/>
      <c r="I2" s="459"/>
      <c r="J2" s="459"/>
      <c r="K2" s="459"/>
      <c r="L2" s="459"/>
      <c r="M2" s="459"/>
      <c r="N2" s="459"/>
      <c r="O2" s="459"/>
      <c r="P2" s="459"/>
      <c r="Q2" s="459"/>
      <c r="R2" s="459"/>
      <c r="S2" s="459"/>
    </row>
    <row r="3" spans="1:22" ht="15.75">
      <c r="A3" s="1728" t="s">
        <v>686</v>
      </c>
      <c r="B3" s="2386">
        <f ca="1">ROUND(B2*10000/E2,0)</f>
        <v>12790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00" t="s">
        <v>1654</v>
      </c>
      <c r="C5" s="3401"/>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2973.1790999999998</v>
      </c>
      <c r="C6" s="1729" t="s">
        <v>1651</v>
      </c>
      <c r="D6" s="2478"/>
      <c r="E6" s="2391">
        <f>IF(OR(A6=0,F6="否"),0,'数据-取费表'!K6+'数据-取费表'!S6)</f>
        <v>2324.56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2324.56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20" t="s">
        <v>1667</v>
      </c>
      <c r="D4" s="3421"/>
      <c r="E4" s="3422" t="s">
        <v>1668</v>
      </c>
      <c r="F4" s="3423"/>
      <c r="G4" s="3420" t="s">
        <v>1669</v>
      </c>
      <c r="H4" s="3421"/>
      <c r="I4" s="3420" t="s">
        <v>1670</v>
      </c>
      <c r="J4" s="3421"/>
      <c r="K4" s="1744" t="s">
        <v>1671</v>
      </c>
      <c r="L4" s="2485"/>
      <c r="M4" s="2486"/>
      <c r="N4" s="2486"/>
      <c r="O4" s="2486"/>
      <c r="P4" s="3424" t="s">
        <v>1672</v>
      </c>
      <c r="Q4" s="3425"/>
      <c r="R4" s="3430" t="s">
        <v>1668</v>
      </c>
      <c r="S4" s="3431"/>
      <c r="T4" s="3430" t="s">
        <v>1669</v>
      </c>
      <c r="U4" s="3431"/>
      <c r="V4" s="3406" t="s">
        <v>1670</v>
      </c>
      <c r="W4" s="3406"/>
      <c r="X4" s="1265"/>
      <c r="Y4" s="3430" t="s">
        <v>1672</v>
      </c>
      <c r="Z4" s="3431"/>
      <c r="AA4" s="3417" t="s">
        <v>1668</v>
      </c>
      <c r="AB4" s="3417" t="s">
        <v>1669</v>
      </c>
      <c r="AC4" s="3417" t="s">
        <v>1670</v>
      </c>
    </row>
    <row r="5" spans="1:29" ht="15">
      <c r="A5" s="348"/>
      <c r="B5" s="349"/>
      <c r="C5" s="3438" t="s">
        <v>1673</v>
      </c>
      <c r="D5" s="3439"/>
      <c r="E5" s="3445" t="s">
        <v>1674</v>
      </c>
      <c r="F5" s="3446"/>
      <c r="G5" s="3438" t="s">
        <v>1675</v>
      </c>
      <c r="H5" s="3439"/>
      <c r="I5" s="3438" t="s">
        <v>1676</v>
      </c>
      <c r="J5" s="3439"/>
      <c r="K5" s="1745"/>
      <c r="L5" s="2485"/>
      <c r="M5" s="2486"/>
      <c r="N5" s="2486"/>
      <c r="O5" s="2486"/>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1745" t="s">
        <v>1678</v>
      </c>
      <c r="L6" s="2485"/>
      <c r="M6" s="2486"/>
      <c r="N6" s="2486"/>
      <c r="O6" s="2486"/>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40" t="s">
        <v>1680</v>
      </c>
      <c r="Q7" s="3442"/>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6"/>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6"/>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6"/>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6"/>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5"/>
      <c r="Q16" s="1263"/>
      <c r="R16" s="667"/>
      <c r="S16" s="668"/>
      <c r="T16" s="667"/>
      <c r="U16" s="668"/>
      <c r="V16" s="667"/>
      <c r="W16" s="668"/>
      <c r="X16" s="1265"/>
      <c r="Y16" s="340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5"/>
      <c r="Q18" s="1263"/>
      <c r="R18" s="667"/>
      <c r="S18" s="668"/>
      <c r="T18" s="667"/>
      <c r="U18" s="668"/>
      <c r="V18" s="667"/>
      <c r="W18" s="668"/>
      <c r="X18" s="1265"/>
      <c r="Y18" s="340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5"/>
      <c r="Q20" s="1263"/>
      <c r="R20" s="667"/>
      <c r="S20" s="668"/>
      <c r="T20" s="667"/>
      <c r="U20" s="668"/>
      <c r="V20" s="667"/>
      <c r="W20" s="668"/>
      <c r="X20" s="1265"/>
      <c r="Y20" s="340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5"/>
      <c r="Q22" s="1263"/>
      <c r="R22" s="667"/>
      <c r="S22" s="668"/>
      <c r="T22" s="667"/>
      <c r="U22" s="668"/>
      <c r="V22" s="667"/>
      <c r="W22" s="668"/>
      <c r="X22" s="1265"/>
      <c r="Y22" s="340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2324.56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20" t="s">
        <v>1770</v>
      </c>
      <c r="D4" s="3421"/>
      <c r="E4" s="3422" t="s">
        <v>1771</v>
      </c>
      <c r="F4" s="3423"/>
      <c r="G4" s="3420" t="s">
        <v>1772</v>
      </c>
      <c r="H4" s="3421"/>
      <c r="I4" s="3420" t="s">
        <v>1773</v>
      </c>
      <c r="J4" s="3421"/>
      <c r="K4" s="537" t="s">
        <v>1774</v>
      </c>
      <c r="L4" s="2485"/>
      <c r="M4" s="2486"/>
      <c r="N4" s="2486"/>
      <c r="O4" s="2486"/>
      <c r="P4" s="3424" t="s">
        <v>1775</v>
      </c>
      <c r="Q4" s="3425"/>
      <c r="R4" s="3430" t="s">
        <v>1771</v>
      </c>
      <c r="S4" s="3431"/>
      <c r="T4" s="3430" t="s">
        <v>1772</v>
      </c>
      <c r="U4" s="3431"/>
      <c r="V4" s="3406" t="s">
        <v>1773</v>
      </c>
      <c r="W4" s="3406"/>
      <c r="X4" s="1265"/>
      <c r="Y4" s="3430" t="s">
        <v>1775</v>
      </c>
      <c r="Z4" s="3431"/>
      <c r="AA4" s="3417" t="s">
        <v>1771</v>
      </c>
      <c r="AB4" s="3406" t="s">
        <v>1772</v>
      </c>
      <c r="AC4" s="3417" t="s">
        <v>1773</v>
      </c>
    </row>
    <row r="5" spans="1:29" ht="15">
      <c r="A5" s="348"/>
      <c r="B5" s="349"/>
      <c r="C5" s="3438" t="s">
        <v>1673</v>
      </c>
      <c r="D5" s="3439"/>
      <c r="E5" s="3445" t="s">
        <v>1674</v>
      </c>
      <c r="F5" s="3446"/>
      <c r="G5" s="3438" t="s">
        <v>1675</v>
      </c>
      <c r="H5" s="3439"/>
      <c r="I5" s="3438" t="s">
        <v>1676</v>
      </c>
      <c r="J5" s="3439"/>
      <c r="K5" s="537"/>
      <c r="L5" s="2485"/>
      <c r="M5" s="2486"/>
      <c r="N5" s="2486"/>
      <c r="O5" s="2486"/>
      <c r="P5" s="3426"/>
      <c r="Q5" s="3427"/>
      <c r="R5" s="3432"/>
      <c r="S5" s="3433"/>
      <c r="T5" s="3432"/>
      <c r="U5" s="3433"/>
      <c r="V5" s="3406"/>
      <c r="W5" s="3406"/>
      <c r="X5" s="1265"/>
      <c r="Y5" s="3432"/>
      <c r="Z5" s="3433"/>
      <c r="AA5" s="3418"/>
      <c r="AB5" s="3406"/>
      <c r="AC5" s="3418"/>
    </row>
    <row r="6" spans="1:29" ht="15.75" thickBot="1">
      <c r="A6" s="350"/>
      <c r="B6" s="351"/>
      <c r="C6" s="3436" t="s">
        <v>1677</v>
      </c>
      <c r="D6" s="3437"/>
      <c r="E6" s="3443" t="s">
        <v>1677</v>
      </c>
      <c r="F6" s="3444"/>
      <c r="G6" s="3436" t="s">
        <v>1677</v>
      </c>
      <c r="H6" s="3437"/>
      <c r="I6" s="3436" t="s">
        <v>1677</v>
      </c>
      <c r="J6" s="3437"/>
      <c r="K6" s="537" t="s">
        <v>1678</v>
      </c>
      <c r="L6" s="2485"/>
      <c r="M6" s="2486"/>
      <c r="N6" s="2486"/>
      <c r="O6" s="2486"/>
      <c r="P6" s="3428"/>
      <c r="Q6" s="3429"/>
      <c r="R6" s="3432"/>
      <c r="S6" s="3433"/>
      <c r="T6" s="3434"/>
      <c r="U6" s="3435"/>
      <c r="V6" s="3406"/>
      <c r="W6" s="3406"/>
      <c r="X6" s="1265"/>
      <c r="Y6" s="3434"/>
      <c r="Z6" s="3435"/>
      <c r="AA6" s="3419"/>
      <c r="AB6" s="3406"/>
      <c r="AC6" s="3419"/>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5"/>
      <c r="Q16" s="1263"/>
      <c r="R16" s="667"/>
      <c r="S16" s="668"/>
      <c r="T16" s="667"/>
      <c r="U16" s="668"/>
      <c r="V16" s="667"/>
      <c r="W16" s="668"/>
      <c r="X16" s="1265"/>
      <c r="Y16" s="340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5"/>
      <c r="Q18" s="1263"/>
      <c r="R18" s="667"/>
      <c r="S18" s="668"/>
      <c r="T18" s="667"/>
      <c r="U18" s="668"/>
      <c r="V18" s="667"/>
      <c r="W18" s="668"/>
      <c r="X18" s="1265"/>
      <c r="Y18" s="340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5"/>
      <c r="Q20" s="1263"/>
      <c r="R20" s="667"/>
      <c r="S20" s="668"/>
      <c r="T20" s="667"/>
      <c r="U20" s="668"/>
      <c r="V20" s="667"/>
      <c r="W20" s="668"/>
      <c r="X20" s="1265"/>
      <c r="Y20" s="340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5"/>
      <c r="Q22" s="1263"/>
      <c r="R22" s="667"/>
      <c r="S22" s="668"/>
      <c r="T22" s="667"/>
      <c r="U22" s="668"/>
      <c r="V22" s="667"/>
      <c r="W22" s="668"/>
      <c r="X22" s="1265"/>
      <c r="Y22" s="340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7"/>
  <sheetViews>
    <sheetView workbookViewId="0">
      <selection activeCell="S37" sqref="S37"/>
    </sheetView>
  </sheetViews>
  <sheetFormatPr defaultRowHeight="13.5"/>
  <sheetData>
    <row r="2" spans="1:8">
      <c r="A2" s="1405" t="s">
        <v>3422</v>
      </c>
      <c r="B2" s="1405" t="s">
        <v>3423</v>
      </c>
      <c r="C2" s="1405" t="s">
        <v>3424</v>
      </c>
      <c r="D2" s="1405" t="s">
        <v>2812</v>
      </c>
    </row>
    <row r="3" spans="1:8">
      <c r="A3" s="1405" t="s">
        <v>3412</v>
      </c>
      <c r="B3" s="1405" t="s">
        <v>3413</v>
      </c>
      <c r="C3" s="1405" t="s">
        <v>3414</v>
      </c>
      <c r="D3" s="1405" t="s">
        <v>3415</v>
      </c>
      <c r="E3" s="1405" t="s">
        <v>3416</v>
      </c>
      <c r="F3" s="1405" t="s">
        <v>3417</v>
      </c>
      <c r="H3" s="1405" t="s">
        <v>3425</v>
      </c>
    </row>
    <row r="4" spans="1:8">
      <c r="A4">
        <v>5</v>
      </c>
      <c r="B4">
        <v>3</v>
      </c>
      <c r="C4">
        <v>1</v>
      </c>
      <c r="D4" s="3160" t="s">
        <v>3419</v>
      </c>
      <c r="E4" s="1405" t="s">
        <v>3418</v>
      </c>
      <c r="F4">
        <v>420.72</v>
      </c>
      <c r="H4">
        <v>2322</v>
      </c>
    </row>
    <row r="5" spans="1:8">
      <c r="A5">
        <v>5</v>
      </c>
      <c r="B5">
        <v>3</v>
      </c>
      <c r="C5">
        <v>2</v>
      </c>
      <c r="D5" s="3160" t="s">
        <v>3420</v>
      </c>
      <c r="E5" s="1405" t="s">
        <v>3418</v>
      </c>
      <c r="F5">
        <v>1350.04</v>
      </c>
    </row>
    <row r="6" spans="1:8">
      <c r="A6">
        <v>5</v>
      </c>
      <c r="B6">
        <v>3</v>
      </c>
      <c r="C6">
        <v>3</v>
      </c>
      <c r="D6" s="3160" t="s">
        <v>3421</v>
      </c>
      <c r="E6" s="1405" t="s">
        <v>3418</v>
      </c>
      <c r="F6">
        <v>553.79999999999995</v>
      </c>
    </row>
    <row r="7" spans="1:8">
      <c r="E7" s="1405" t="s">
        <v>2592</v>
      </c>
      <c r="F7">
        <f>SUM(F4:F6)</f>
        <v>2324.56</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受贵公司委托，我公司对北京市丰台区方庄路5号房地产抵押价值进行了预评估。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估价对象为北京市丰台区方庄路5号房地产，为北京五矿财富投资有限公司所有。根据《国有土地使用证》[]，估价对象（分摊）出让国有建设用地使用权面积为2322平方米，建筑面积为2324.56平方米。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方庄路5号房地产,属北京五矿财富投资有限公司开发建设的办公项目，该项目尚在开发建设中。根据《国有土地使用证》[]，估价对象（分摊）出让国有建设用地使用权面积为2322平方米，规划建筑面积为2324.56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丰台区方庄路5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25" workbookViewId="0">
      <selection activeCell="S37" sqref="S37"/>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S37" sqref="S37"/>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T69" sqref="T6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5.625" style="347" customWidth="1"/>
    <col min="6" max="6" width="12.25" style="347" customWidth="1"/>
    <col min="7" max="7" width="16.875" style="347" customWidth="1"/>
    <col min="8" max="8" width="12.25" style="347" customWidth="1"/>
    <col min="9" max="9" width="16.1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t="s">
        <v>3460</v>
      </c>
      <c r="F1" s="1735" t="s">
        <v>3461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2324.56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20" t="s">
        <v>1770</v>
      </c>
      <c r="D4" s="3421"/>
      <c r="E4" s="3422" t="s">
        <v>1771</v>
      </c>
      <c r="F4" s="3423"/>
      <c r="G4" s="3420" t="s">
        <v>1772</v>
      </c>
      <c r="H4" s="3421"/>
      <c r="I4" s="3420" t="s">
        <v>1773</v>
      </c>
      <c r="J4" s="3421"/>
      <c r="K4" s="537" t="s">
        <v>1774</v>
      </c>
      <c r="L4" s="2485"/>
      <c r="M4" s="2486"/>
      <c r="N4" s="2486"/>
      <c r="O4" s="2486"/>
      <c r="P4" s="3453" t="s">
        <v>1775</v>
      </c>
      <c r="Q4" s="3454"/>
      <c r="R4" s="3457" t="s">
        <v>1771</v>
      </c>
      <c r="S4" s="3458"/>
      <c r="T4" s="3457" t="s">
        <v>1772</v>
      </c>
      <c r="U4" s="3458"/>
      <c r="V4" s="3459" t="s">
        <v>1773</v>
      </c>
      <c r="W4" s="3459"/>
      <c r="X4" s="1809"/>
      <c r="Y4" s="3457" t="s">
        <v>1775</v>
      </c>
      <c r="Z4" s="3458"/>
      <c r="AA4" s="3462" t="s">
        <v>1771</v>
      </c>
      <c r="AB4" s="3462" t="s">
        <v>1772</v>
      </c>
      <c r="AC4" s="3450" t="s">
        <v>1773</v>
      </c>
    </row>
    <row r="5" spans="1:29" ht="15">
      <c r="A5" s="348"/>
      <c r="B5" s="349"/>
      <c r="C5" s="3461" t="s">
        <v>3462</v>
      </c>
      <c r="D5" s="3439"/>
      <c r="E5" s="3463" t="s">
        <v>3496</v>
      </c>
      <c r="F5" s="3446"/>
      <c r="G5" s="3438" t="s">
        <v>1675</v>
      </c>
      <c r="H5" s="3439"/>
      <c r="I5" s="3438" t="s">
        <v>1676</v>
      </c>
      <c r="J5" s="3439"/>
      <c r="K5" s="537"/>
      <c r="L5" s="2485"/>
      <c r="M5" s="2486"/>
      <c r="N5" s="2486"/>
      <c r="O5" s="2486"/>
      <c r="P5" s="3455"/>
      <c r="Q5" s="3427"/>
      <c r="R5" s="3432"/>
      <c r="S5" s="3433"/>
      <c r="T5" s="3432"/>
      <c r="U5" s="3433"/>
      <c r="V5" s="3406"/>
      <c r="W5" s="3406"/>
      <c r="X5" s="1265"/>
      <c r="Y5" s="3432"/>
      <c r="Z5" s="3433"/>
      <c r="AA5" s="3418"/>
      <c r="AB5" s="3418"/>
      <c r="AC5" s="3451"/>
    </row>
    <row r="6" spans="1:29" ht="15.75" thickBot="1">
      <c r="A6" s="350"/>
      <c r="B6" s="351"/>
      <c r="C6" s="3436" t="s">
        <v>1677</v>
      </c>
      <c r="D6" s="3437"/>
      <c r="E6" s="3443" t="s">
        <v>1677</v>
      </c>
      <c r="F6" s="3444"/>
      <c r="G6" s="3436" t="s">
        <v>1677</v>
      </c>
      <c r="H6" s="3437"/>
      <c r="I6" s="3436" t="s">
        <v>1677</v>
      </c>
      <c r="J6" s="3437"/>
      <c r="K6" s="537" t="s">
        <v>1678</v>
      </c>
      <c r="L6" s="2485"/>
      <c r="M6" s="2486"/>
      <c r="N6" s="2486"/>
      <c r="O6" s="2486"/>
      <c r="P6" s="3456"/>
      <c r="Q6" s="3429"/>
      <c r="R6" s="3432"/>
      <c r="S6" s="3433"/>
      <c r="T6" s="3434"/>
      <c r="U6" s="3435"/>
      <c r="V6" s="3406"/>
      <c r="W6" s="3406"/>
      <c r="X6" s="1265"/>
      <c r="Y6" s="3434"/>
      <c r="Z6" s="3435"/>
      <c r="AA6" s="3419"/>
      <c r="AB6" s="3419"/>
      <c r="AC6" s="3452"/>
    </row>
    <row r="7" spans="1:29" s="102" customFormat="1" ht="15.75" thickBot="1">
      <c r="A7" s="352" t="s">
        <v>1679</v>
      </c>
      <c r="B7" s="353"/>
      <c r="C7" s="354">
        <f>'数据-取费表'!B2</f>
        <v>45790</v>
      </c>
      <c r="D7" s="355">
        <v>100</v>
      </c>
      <c r="E7" s="356">
        <f>C7</f>
        <v>45790</v>
      </c>
      <c r="F7" s="357">
        <f>SUMIF(59:59,YEAR(E7)&amp;"-"&amp;MONTH(E7),60:60)</f>
        <v>100</v>
      </c>
      <c r="G7" s="356">
        <f>C7</f>
        <v>45790</v>
      </c>
      <c r="H7" s="355">
        <f>SUMIF(59:59,YEAR(G7)&amp;"-"&amp;MONTH(G7),60:60)</f>
        <v>100</v>
      </c>
      <c r="I7" s="356">
        <f>C7</f>
        <v>45790</v>
      </c>
      <c r="J7" s="355">
        <f>SUMIF(59:59,YEAR(I7)&amp;"-"&amp;MONTH(I7),60:60)</f>
        <v>100</v>
      </c>
      <c r="K7" s="38"/>
      <c r="L7" s="2487"/>
      <c r="M7" s="2439"/>
      <c r="N7" s="2439"/>
      <c r="O7" s="2439"/>
      <c r="P7" s="3460" t="s">
        <v>1680</v>
      </c>
      <c r="Q7" s="3442"/>
      <c r="R7" s="664" t="s">
        <v>14</v>
      </c>
      <c r="S7" s="665">
        <f t="shared" ref="S7:S15" si="0">F7</f>
        <v>100</v>
      </c>
      <c r="T7" s="664" t="s">
        <v>14</v>
      </c>
      <c r="U7" s="665">
        <f t="shared" ref="U7:U15" si="1">H7</f>
        <v>100</v>
      </c>
      <c r="V7" s="664" t="s">
        <v>14</v>
      </c>
      <c r="W7" s="665">
        <f t="shared" ref="W7:W15" si="2">J7</f>
        <v>100</v>
      </c>
      <c r="X7" s="666"/>
      <c r="Y7" s="3440" t="s">
        <v>1680</v>
      </c>
      <c r="Z7" s="3441"/>
      <c r="AA7" s="50">
        <f>D7/F7</f>
        <v>1</v>
      </c>
      <c r="AB7" s="50">
        <f>D7/H7</f>
        <v>1</v>
      </c>
      <c r="AC7" s="802">
        <f>D7/J7</f>
        <v>1</v>
      </c>
    </row>
    <row r="8" spans="1:29" s="102" customFormat="1" ht="15.75" thickBot="1">
      <c r="A8" s="352" t="s">
        <v>1681</v>
      </c>
      <c r="B8" s="353"/>
      <c r="C8" s="358" t="s">
        <v>3463</v>
      </c>
      <c r="D8" s="355">
        <v>100</v>
      </c>
      <c r="E8" s="358" t="s">
        <v>3466</v>
      </c>
      <c r="F8" s="357">
        <f>SUMIF(62:62,E8,63:63)-SUMIF(62:62,C8,63:63)+100</f>
        <v>102</v>
      </c>
      <c r="G8" s="358" t="s">
        <v>3466</v>
      </c>
      <c r="H8" s="355">
        <f>SUMIF(62:62,G8,63:63)-SUMIF(62:62,C8,63:63)+100</f>
        <v>102</v>
      </c>
      <c r="I8" s="358" t="s">
        <v>3466</v>
      </c>
      <c r="J8" s="355">
        <f>SUMIF(62:62,I8,63:63)-SUMIF(62:62,C8,63:63)+100</f>
        <v>102</v>
      </c>
      <c r="K8" s="38"/>
      <c r="L8" s="2487"/>
      <c r="M8" s="2439"/>
      <c r="N8" s="2439"/>
      <c r="O8" s="2439"/>
      <c r="P8" s="3460" t="s">
        <v>1683</v>
      </c>
      <c r="Q8" s="3441"/>
      <c r="R8" s="664" t="s">
        <v>14</v>
      </c>
      <c r="S8" s="665">
        <f t="shared" si="0"/>
        <v>102</v>
      </c>
      <c r="T8" s="664" t="s">
        <v>14</v>
      </c>
      <c r="U8" s="665">
        <f t="shared" si="1"/>
        <v>102</v>
      </c>
      <c r="V8" s="664" t="s">
        <v>14</v>
      </c>
      <c r="W8" s="665">
        <f t="shared" si="2"/>
        <v>102</v>
      </c>
      <c r="X8" s="666"/>
      <c r="Y8" s="3440" t="s">
        <v>1683</v>
      </c>
      <c r="Z8" s="3441"/>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65" t="s">
        <v>3464</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7">
      <c r="A10" s="363"/>
      <c r="B10" s="364" t="s">
        <v>1688</v>
      </c>
      <c r="C10" s="3130" t="s">
        <v>3465</v>
      </c>
      <c r="D10" s="119">
        <v>100</v>
      </c>
      <c r="E10" s="3130"/>
      <c r="F10" s="119">
        <f>SUMIF(66:66,E10,67:67)-SUMIF(66:66,C10,67:67)+100</f>
        <v>6</v>
      </c>
      <c r="G10" s="3131"/>
      <c r="H10" s="119">
        <f>SUMIF(66:66,G10,67:67)-SUMIF(66:66,C10,67:67)+100</f>
        <v>6</v>
      </c>
      <c r="I10" s="3130"/>
      <c r="J10" s="119">
        <f>SUMIF(66:66,I10,67:67)-SUMIF(66:66,C10,67:67)+100</f>
        <v>6</v>
      </c>
      <c r="K10" s="38"/>
      <c r="L10" s="2488"/>
      <c r="M10" s="2489"/>
      <c r="N10" s="2489"/>
      <c r="O10" s="2489"/>
      <c r="P10" s="3416"/>
      <c r="Q10" s="530" t="str">
        <f t="shared" si="6"/>
        <v>土地使用年限（年）</v>
      </c>
      <c r="R10" s="664" t="s">
        <v>14</v>
      </c>
      <c r="S10" s="665">
        <f t="shared" si="0"/>
        <v>6</v>
      </c>
      <c r="T10" s="664" t="s">
        <v>14</v>
      </c>
      <c r="U10" s="665">
        <f t="shared" si="1"/>
        <v>6</v>
      </c>
      <c r="V10" s="664" t="s">
        <v>14</v>
      </c>
      <c r="W10" s="665">
        <f t="shared" si="2"/>
        <v>6</v>
      </c>
      <c r="X10" s="666"/>
      <c r="Y10" s="3261"/>
      <c r="Z10" s="50" t="str">
        <f t="shared" si="7"/>
        <v>土地使用年限（年）</v>
      </c>
      <c r="AA10" s="50">
        <f t="shared" si="3"/>
        <v>16.666666666666668</v>
      </c>
      <c r="AB10" s="50">
        <f t="shared" si="4"/>
        <v>16.666666666666668</v>
      </c>
      <c r="AC10" s="802">
        <f t="shared" si="5"/>
        <v>16.666666666666668</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6</v>
      </c>
      <c r="G15" s="381"/>
      <c r="H15" s="380">
        <f>SUMIF(77:77,G16,78:78)-SUMIF(77:77,C16,78:78)+100</f>
        <v>6</v>
      </c>
      <c r="I15" s="381"/>
      <c r="J15" s="380">
        <f>SUMIF(77:77,I16,78:78)-SUMIF(77:77,C16,78:78)+100</f>
        <v>6</v>
      </c>
      <c r="K15" s="540">
        <v>3</v>
      </c>
      <c r="L15" s="2491"/>
      <c r="M15" s="2486"/>
      <c r="N15" s="2486"/>
      <c r="O15" s="2486"/>
      <c r="P15" s="3414" t="s">
        <v>1691</v>
      </c>
      <c r="Q15" s="1263" t="str">
        <f t="shared" si="6"/>
        <v>办公集聚程度</v>
      </c>
      <c r="R15" s="667" t="s">
        <v>14</v>
      </c>
      <c r="S15" s="668">
        <f t="shared" si="0"/>
        <v>6</v>
      </c>
      <c r="T15" s="667" t="s">
        <v>14</v>
      </c>
      <c r="U15" s="668">
        <f t="shared" si="1"/>
        <v>6</v>
      </c>
      <c r="V15" s="667" t="s">
        <v>14</v>
      </c>
      <c r="W15" s="668">
        <f t="shared" si="2"/>
        <v>6</v>
      </c>
      <c r="X15" s="1265"/>
      <c r="Y15" s="3407" t="s">
        <v>1691</v>
      </c>
      <c r="Z15" s="1264" t="str">
        <f t="shared" si="7"/>
        <v>办公集聚程度</v>
      </c>
      <c r="AA15" s="1264">
        <f t="shared" si="3"/>
        <v>16.666666666666668</v>
      </c>
      <c r="AB15" s="1264">
        <f t="shared" si="4"/>
        <v>16.666666666666668</v>
      </c>
      <c r="AC15" s="1812">
        <f t="shared" si="5"/>
        <v>16.666666666666668</v>
      </c>
    </row>
    <row r="16" spans="1:29" ht="15">
      <c r="A16" s="367"/>
      <c r="B16" s="555"/>
      <c r="C16" s="1758" t="s">
        <v>3448</v>
      </c>
      <c r="D16" s="387"/>
      <c r="E16" s="386"/>
      <c r="F16" s="387"/>
      <c r="G16" s="1758"/>
      <c r="H16" s="389"/>
      <c r="I16" s="386"/>
      <c r="J16" s="387"/>
      <c r="K16" s="541"/>
      <c r="L16" s="2491"/>
      <c r="M16" s="2486"/>
      <c r="N16" s="2486"/>
      <c r="O16" s="2486"/>
      <c r="P16" s="3415"/>
      <c r="Q16" s="1263"/>
      <c r="R16" s="667"/>
      <c r="S16" s="668"/>
      <c r="T16" s="667"/>
      <c r="U16" s="668"/>
      <c r="V16" s="667"/>
      <c r="W16" s="668"/>
      <c r="X16" s="1265"/>
      <c r="Y16" s="340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4</v>
      </c>
      <c r="G17" s="391"/>
      <c r="H17" s="394">
        <f>SUMIF(79:79,G18,80:80)-SUMIF(79:79,C18,80:80)+100</f>
        <v>4</v>
      </c>
      <c r="I17" s="391"/>
      <c r="J17" s="394">
        <f>SUMIF(79:79,I18,80:80)-SUMIF(79:79,C18,80:80)+100</f>
        <v>4</v>
      </c>
      <c r="K17" s="540">
        <v>2</v>
      </c>
      <c r="L17" s="2491"/>
      <c r="M17" s="2486"/>
      <c r="N17" s="2486"/>
      <c r="O17" s="2486"/>
      <c r="P17" s="3415"/>
      <c r="Q17" s="1263" t="str">
        <f>B17</f>
        <v>交通便捷度</v>
      </c>
      <c r="R17" s="667" t="s">
        <v>14</v>
      </c>
      <c r="S17" s="668">
        <f>F17</f>
        <v>4</v>
      </c>
      <c r="T17" s="667" t="s">
        <v>14</v>
      </c>
      <c r="U17" s="668">
        <f>H17</f>
        <v>4</v>
      </c>
      <c r="V17" s="667" t="s">
        <v>14</v>
      </c>
      <c r="W17" s="668">
        <f>J17</f>
        <v>4</v>
      </c>
      <c r="X17" s="1265"/>
      <c r="Y17" s="3408"/>
      <c r="Z17" s="1264" t="str">
        <f>Q17</f>
        <v>交通便捷度</v>
      </c>
      <c r="AA17" s="1264">
        <f t="shared" si="3"/>
        <v>25</v>
      </c>
      <c r="AB17" s="1264">
        <f t="shared" si="4"/>
        <v>25</v>
      </c>
      <c r="AC17" s="1812">
        <f t="shared" si="5"/>
        <v>25</v>
      </c>
    </row>
    <row r="18" spans="1:29" ht="15">
      <c r="A18" s="367"/>
      <c r="B18" s="401"/>
      <c r="C18" s="1814" t="s">
        <v>3448</v>
      </c>
      <c r="D18" s="389"/>
      <c r="E18" s="1756"/>
      <c r="F18" s="389"/>
      <c r="G18" s="1757"/>
      <c r="H18" s="387"/>
      <c r="I18" s="1757"/>
      <c r="J18" s="387"/>
      <c r="K18" s="541"/>
      <c r="L18" s="2491"/>
      <c r="M18" s="2486"/>
      <c r="N18" s="2486"/>
      <c r="O18" s="2486"/>
      <c r="P18" s="3415"/>
      <c r="Q18" s="1263"/>
      <c r="R18" s="667"/>
      <c r="S18" s="668"/>
      <c r="T18" s="667"/>
      <c r="U18" s="668"/>
      <c r="V18" s="667"/>
      <c r="W18" s="668"/>
      <c r="X18" s="1265"/>
      <c r="Y18" s="340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4</v>
      </c>
      <c r="G19" s="396"/>
      <c r="H19" s="389">
        <f>SUMIF(81:81,G20,82:82)-SUMIF(81:81,C20,82:82)+100</f>
        <v>4</v>
      </c>
      <c r="I19" s="396"/>
      <c r="J19" s="389">
        <f>SUMIF(81:81,I20,82:82)-SUMIF(81:81,C20,82:82)+100</f>
        <v>4</v>
      </c>
      <c r="K19" s="540">
        <v>2</v>
      </c>
      <c r="L19" s="2491"/>
      <c r="M19" s="2486"/>
      <c r="N19" s="2486"/>
      <c r="O19" s="2486"/>
      <c r="P19" s="3415"/>
      <c r="Q19" s="1263" t="str">
        <f>B19</f>
        <v>公共配套设施</v>
      </c>
      <c r="R19" s="667" t="s">
        <v>14</v>
      </c>
      <c r="S19" s="668">
        <f>F19</f>
        <v>4</v>
      </c>
      <c r="T19" s="667" t="s">
        <v>14</v>
      </c>
      <c r="U19" s="668">
        <f>H19</f>
        <v>4</v>
      </c>
      <c r="V19" s="667" t="s">
        <v>14</v>
      </c>
      <c r="W19" s="668">
        <f>J19</f>
        <v>4</v>
      </c>
      <c r="X19" s="1265"/>
      <c r="Y19" s="3408"/>
      <c r="Z19" s="1264" t="str">
        <f>Q19</f>
        <v>公共配套设施</v>
      </c>
      <c r="AA19" s="1264">
        <f t="shared" si="3"/>
        <v>25</v>
      </c>
      <c r="AB19" s="1264">
        <f t="shared" si="4"/>
        <v>25</v>
      </c>
      <c r="AC19" s="1812">
        <f t="shared" si="5"/>
        <v>25</v>
      </c>
    </row>
    <row r="20" spans="1:29" ht="15">
      <c r="A20" s="367"/>
      <c r="B20" s="401"/>
      <c r="C20" s="1758" t="s">
        <v>3448</v>
      </c>
      <c r="D20" s="387"/>
      <c r="E20" s="1751"/>
      <c r="F20" s="387"/>
      <c r="G20" s="1752"/>
      <c r="H20" s="387"/>
      <c r="I20" s="1752"/>
      <c r="J20" s="387"/>
      <c r="K20" s="541"/>
      <c r="L20" s="2491"/>
      <c r="M20" s="2486"/>
      <c r="N20" s="2486"/>
      <c r="O20" s="2486"/>
      <c r="P20" s="3415"/>
      <c r="Q20" s="1263"/>
      <c r="R20" s="667"/>
      <c r="S20" s="668"/>
      <c r="T20" s="667"/>
      <c r="U20" s="668"/>
      <c r="V20" s="667"/>
      <c r="W20" s="668"/>
      <c r="X20" s="1265"/>
      <c r="Y20" s="340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0</v>
      </c>
      <c r="G21" s="396"/>
      <c r="H21" s="389">
        <f>SUMIF(83:83,G22,84:84)-SUMIF(83:83,C22,84:84)+100</f>
        <v>0</v>
      </c>
      <c r="I21" s="396"/>
      <c r="J21" s="389">
        <f>SUMIF(83:83,I22,84:84)-SUMIF(83:83,C22,84:84)+100</f>
        <v>0</v>
      </c>
      <c r="K21" s="540">
        <v>1</v>
      </c>
      <c r="L21" s="2491"/>
      <c r="M21" s="2486"/>
      <c r="N21" s="2486"/>
      <c r="O21" s="2486"/>
      <c r="P21" s="3415"/>
      <c r="Q21" s="1263" t="str">
        <f>B21</f>
        <v>基础设施水平</v>
      </c>
      <c r="R21" s="667" t="s">
        <v>14</v>
      </c>
      <c r="S21" s="668">
        <f>F21</f>
        <v>0</v>
      </c>
      <c r="T21" s="667" t="s">
        <v>14</v>
      </c>
      <c r="U21" s="668">
        <f>H21</f>
        <v>0</v>
      </c>
      <c r="V21" s="667" t="s">
        <v>14</v>
      </c>
      <c r="W21" s="668">
        <f>J21</f>
        <v>0</v>
      </c>
      <c r="X21" s="1265"/>
      <c r="Y21" s="3408"/>
      <c r="Z21" s="1264" t="str">
        <f>Q21</f>
        <v>基础设施水平</v>
      </c>
      <c r="AA21" s="1264" t="e">
        <f t="shared" ref="AA21" si="8">D21/F21</f>
        <v>#DIV/0!</v>
      </c>
      <c r="AB21" s="1264" t="e">
        <f t="shared" ref="AB21" si="9">D21/H21</f>
        <v>#DIV/0!</v>
      </c>
      <c r="AC21" s="1812" t="e">
        <f t="shared" ref="AC21" si="10">D21/J21</f>
        <v>#DIV/0!</v>
      </c>
    </row>
    <row r="22" spans="1:29" ht="15">
      <c r="A22" s="367"/>
      <c r="B22" s="557"/>
      <c r="C22" s="1814" t="s">
        <v>3495</v>
      </c>
      <c r="D22" s="387"/>
      <c r="E22" s="386"/>
      <c r="F22" s="387"/>
      <c r="G22" s="1758"/>
      <c r="H22" s="387"/>
      <c r="I22" s="1758"/>
      <c r="J22" s="387"/>
      <c r="K22" s="1064"/>
      <c r="L22" s="2491"/>
      <c r="M22" s="2486"/>
      <c r="N22" s="2486"/>
      <c r="O22" s="2486"/>
      <c r="P22" s="3415"/>
      <c r="Q22" s="1263"/>
      <c r="R22" s="667"/>
      <c r="S22" s="668"/>
      <c r="T22" s="667"/>
      <c r="U22" s="668"/>
      <c r="V22" s="667"/>
      <c r="W22" s="668"/>
      <c r="X22" s="1265"/>
      <c r="Y22" s="340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2</v>
      </c>
      <c r="G23" s="391"/>
      <c r="H23" s="389">
        <f>SUMIF(85:85,G24,86:86)-SUMIF(85:85,C24,86:86)+100</f>
        <v>2</v>
      </c>
      <c r="I23" s="391"/>
      <c r="J23" s="389">
        <f>SUMIF(85:85,I24,86:86)-SUMIF(85:85,C24,86:86)+100</f>
        <v>2</v>
      </c>
      <c r="K23" s="540">
        <v>2</v>
      </c>
      <c r="L23" s="2491"/>
      <c r="M23" s="2486"/>
      <c r="N23" s="2486"/>
      <c r="O23" s="2486"/>
      <c r="P23" s="3415"/>
      <c r="Q23" s="1263" t="str">
        <f>B23</f>
        <v>环境质量</v>
      </c>
      <c r="R23" s="667" t="s">
        <v>14</v>
      </c>
      <c r="S23" s="668">
        <f>F23</f>
        <v>2</v>
      </c>
      <c r="T23" s="667" t="s">
        <v>14</v>
      </c>
      <c r="U23" s="668">
        <f>H23</f>
        <v>2</v>
      </c>
      <c r="V23" s="667" t="s">
        <v>14</v>
      </c>
      <c r="W23" s="668">
        <f>J23</f>
        <v>2</v>
      </c>
      <c r="X23" s="1265"/>
      <c r="Y23" s="3408"/>
      <c r="Z23" s="1264" t="str">
        <f>Q23</f>
        <v>环境质量</v>
      </c>
      <c r="AA23" s="1264">
        <f t="shared" si="3"/>
        <v>50</v>
      </c>
      <c r="AB23" s="1264">
        <f t="shared" si="4"/>
        <v>50</v>
      </c>
      <c r="AC23" s="1812">
        <f t="shared" si="5"/>
        <v>50</v>
      </c>
    </row>
    <row r="24" spans="1:29" ht="15">
      <c r="A24" s="367"/>
      <c r="B24" s="557"/>
      <c r="C24" s="1758" t="s">
        <v>3449</v>
      </c>
      <c r="D24" s="387"/>
      <c r="E24" s="1751"/>
      <c r="F24" s="387"/>
      <c r="G24" s="1752"/>
      <c r="H24" s="387"/>
      <c r="I24" s="1752"/>
      <c r="J24" s="387"/>
      <c r="K24" s="541"/>
      <c r="L24" s="2491"/>
      <c r="M24" s="2486"/>
      <c r="N24" s="2486"/>
      <c r="O24" s="2486"/>
      <c r="P24" s="3415"/>
      <c r="Q24" s="1263"/>
      <c r="R24" s="667"/>
      <c r="S24" s="668"/>
      <c r="T24" s="667"/>
      <c r="U24" s="668"/>
      <c r="V24" s="667"/>
      <c r="W24" s="668"/>
      <c r="X24" s="1265"/>
      <c r="Y24" s="3408"/>
      <c r="Z24" s="1264"/>
      <c r="AA24" s="1264">
        <v>1</v>
      </c>
      <c r="AB24" s="1264">
        <v>1</v>
      </c>
      <c r="AC24" s="1812">
        <v>1</v>
      </c>
    </row>
    <row r="25" spans="1:29" ht="27">
      <c r="A25" s="348"/>
      <c r="B25" s="556" t="s">
        <v>1815</v>
      </c>
      <c r="C25" s="1762"/>
      <c r="D25" s="374">
        <v>100</v>
      </c>
      <c r="E25" s="373"/>
      <c r="F25" s="374">
        <f>SUMIF(87:87,E26,88:88)-SUMIF(87:87,C26,88:88)+100</f>
        <v>6</v>
      </c>
      <c r="G25" s="1762"/>
      <c r="H25" s="374">
        <f>SUMIF(87:87,G26,88:88)-SUMIF(87:87,C26,88:88)+100</f>
        <v>6</v>
      </c>
      <c r="I25" s="373"/>
      <c r="J25" s="374">
        <f>SUMIF(87:87,I26,88:88)-SUMIF(87:87,C26,88:88)+100</f>
        <v>6</v>
      </c>
      <c r="K25" s="540">
        <v>2</v>
      </c>
      <c r="L25" s="2491"/>
      <c r="M25" s="2486"/>
      <c r="N25" s="2486"/>
      <c r="O25" s="2486"/>
      <c r="P25" s="3415"/>
      <c r="Q25" s="1263" t="str">
        <f>B25</f>
        <v>毗邻道路的类型与等级</v>
      </c>
      <c r="R25" s="667" t="s">
        <v>14</v>
      </c>
      <c r="S25" s="668">
        <f>F25</f>
        <v>6</v>
      </c>
      <c r="T25" s="667" t="s">
        <v>14</v>
      </c>
      <c r="U25" s="668">
        <f>H25</f>
        <v>6</v>
      </c>
      <c r="V25" s="667" t="s">
        <v>14</v>
      </c>
      <c r="W25" s="668">
        <f>J25</f>
        <v>6</v>
      </c>
      <c r="X25" s="1265"/>
      <c r="Y25" s="3408"/>
      <c r="Z25" s="1264" t="str">
        <f>Q25</f>
        <v>毗邻道路的类型与等级</v>
      </c>
      <c r="AA25" s="1264">
        <f t="shared" si="3"/>
        <v>16.666666666666668</v>
      </c>
      <c r="AB25" s="1264">
        <f t="shared" si="4"/>
        <v>16.666666666666668</v>
      </c>
      <c r="AC25" s="1812">
        <f t="shared" si="5"/>
        <v>16.666666666666668</v>
      </c>
    </row>
    <row r="26" spans="1:29" ht="15">
      <c r="A26" s="348"/>
      <c r="B26" s="401"/>
      <c r="C26" s="558" t="s">
        <v>3476</v>
      </c>
      <c r="D26" s="374"/>
      <c r="E26" s="542"/>
      <c r="F26" s="374"/>
      <c r="G26" s="558"/>
      <c r="H26" s="374"/>
      <c r="I26" s="542"/>
      <c r="J26" s="374"/>
      <c r="K26" s="541"/>
      <c r="L26" s="2491"/>
      <c r="M26" s="2486"/>
      <c r="N26" s="2486"/>
      <c r="O26" s="2486"/>
      <c r="P26" s="3415"/>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t="s">
        <v>3483</v>
      </c>
      <c r="D33" s="405">
        <v>100</v>
      </c>
      <c r="E33" s="1764" t="s">
        <v>3481</v>
      </c>
      <c r="F33" s="400">
        <f>SUMIF(101:101,E33,102:102)-SUMIF(101:101,C33,102:102)+100</f>
        <v>102</v>
      </c>
      <c r="G33" s="1764" t="s">
        <v>3481</v>
      </c>
      <c r="H33" s="374">
        <f>SUMIF(101:101,G33,102:102)-SUMIF(101:101,C33,102:102)+100</f>
        <v>102</v>
      </c>
      <c r="I33" s="1764" t="s">
        <v>3481</v>
      </c>
      <c r="J33" s="405">
        <f>SUMIF(101:101,I33,102:102)-SUMIF(101:101,C33,102:102)+100</f>
        <v>102</v>
      </c>
      <c r="K33" s="538">
        <v>2</v>
      </c>
      <c r="L33" s="2491"/>
      <c r="M33" s="2486"/>
      <c r="N33" s="2486"/>
      <c r="O33" s="2486"/>
      <c r="P33" s="3409" t="s">
        <v>1696</v>
      </c>
      <c r="Q33" s="1263" t="str">
        <f t="shared" si="11"/>
        <v>建筑类型</v>
      </c>
      <c r="R33" s="667" t="s">
        <v>14</v>
      </c>
      <c r="S33" s="668">
        <f t="shared" si="12"/>
        <v>102</v>
      </c>
      <c r="T33" s="667" t="s">
        <v>14</v>
      </c>
      <c r="U33" s="668">
        <f t="shared" si="13"/>
        <v>102</v>
      </c>
      <c r="V33" s="667" t="s">
        <v>14</v>
      </c>
      <c r="W33" s="668">
        <f t="shared" si="14"/>
        <v>102</v>
      </c>
      <c r="X33" s="1265"/>
      <c r="Y33" s="3412"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'数据-基础表'!E15</f>
        <v>553.19000000000005</v>
      </c>
      <c r="D34" s="119">
        <v>100</v>
      </c>
      <c r="E34" s="369">
        <v>156.66</v>
      </c>
      <c r="F34" s="364">
        <f>LOOKUP(E34,104:104,105:105)-LOOKUP(C34,104:104,105:105)+100</f>
        <v>102</v>
      </c>
      <c r="G34" s="368"/>
      <c r="H34" s="119">
        <f>LOOKUP(G34,104:104,105:105)-LOOKUP(C34,104:104,105:105)+100</f>
        <v>103</v>
      </c>
      <c r="I34" s="368"/>
      <c r="J34" s="119">
        <f>LOOKUP(I34,104:104,105:105)-LOOKUP(C34,104:104,105:105)+100</f>
        <v>103</v>
      </c>
      <c r="K34" s="539"/>
      <c r="L34" s="2490"/>
      <c r="M34" s="2492"/>
      <c r="N34" s="2492"/>
      <c r="O34" s="2492"/>
      <c r="P34" s="3410"/>
      <c r="Q34" s="531" t="str">
        <f t="shared" si="11"/>
        <v>项目建筑规模</v>
      </c>
      <c r="R34" s="669" t="s">
        <v>14</v>
      </c>
      <c r="S34" s="670">
        <f t="shared" si="12"/>
        <v>102</v>
      </c>
      <c r="T34" s="669" t="s">
        <v>14</v>
      </c>
      <c r="U34" s="670">
        <f t="shared" si="13"/>
        <v>103</v>
      </c>
      <c r="V34" s="669" t="s">
        <v>14</v>
      </c>
      <c r="W34" s="670">
        <f t="shared" si="14"/>
        <v>103</v>
      </c>
      <c r="X34" s="671"/>
      <c r="Y34" s="3412"/>
      <c r="Z34" s="672" t="str">
        <f t="shared" si="15"/>
        <v>项目建筑规模</v>
      </c>
      <c r="AA34" s="1264">
        <f t="shared" si="3"/>
        <v>0.98039215686274506</v>
      </c>
      <c r="AB34" s="1264">
        <f t="shared" si="4"/>
        <v>0.970873786407767</v>
      </c>
      <c r="AC34" s="1812">
        <f t="shared" si="5"/>
        <v>0.970873786407767</v>
      </c>
    </row>
    <row r="35" spans="1:29" ht="15">
      <c r="A35" s="409"/>
      <c r="B35" s="364" t="s">
        <v>1698</v>
      </c>
      <c r="C35" s="399" t="s">
        <v>3487</v>
      </c>
      <c r="D35" s="374">
        <v>100</v>
      </c>
      <c r="E35" s="399" t="s">
        <v>3485</v>
      </c>
      <c r="F35" s="400">
        <f>SUMIF(106:106,E35,107:107)-SUMIF(106:106,C35,107:107)+100</f>
        <v>102</v>
      </c>
      <c r="G35" s="399" t="s">
        <v>3485</v>
      </c>
      <c r="H35" s="374">
        <f>SUMIF(106:106,G35,107:107)-SUMIF(106:106,C35,107:107)+100</f>
        <v>102</v>
      </c>
      <c r="I35" s="399" t="s">
        <v>3485</v>
      </c>
      <c r="J35" s="374">
        <f>SUMIF(106:106,I35,107:107)-SUMIF(106:106,C35,107:107)+100</f>
        <v>102</v>
      </c>
      <c r="K35" s="538">
        <v>2</v>
      </c>
      <c r="L35" s="2491"/>
      <c r="M35" s="2486"/>
      <c r="N35" s="2486"/>
      <c r="O35" s="2486"/>
      <c r="P35" s="3410"/>
      <c r="Q35" s="1263" t="str">
        <f t="shared" si="11"/>
        <v>建筑结构</v>
      </c>
      <c r="R35" s="667" t="s">
        <v>14</v>
      </c>
      <c r="S35" s="668">
        <f t="shared" si="12"/>
        <v>102</v>
      </c>
      <c r="T35" s="667" t="s">
        <v>14</v>
      </c>
      <c r="U35" s="668">
        <f t="shared" si="13"/>
        <v>102</v>
      </c>
      <c r="V35" s="667" t="s">
        <v>14</v>
      </c>
      <c r="W35" s="668">
        <f t="shared" si="14"/>
        <v>102</v>
      </c>
      <c r="X35" s="1265"/>
      <c r="Y35" s="3412"/>
      <c r="Z35" s="1264" t="str">
        <f t="shared" si="15"/>
        <v>建筑结构</v>
      </c>
      <c r="AA35" s="1264">
        <f t="shared" si="3"/>
        <v>0.98039215686274506</v>
      </c>
      <c r="AB35" s="1264">
        <f t="shared" si="4"/>
        <v>0.98039215686274506</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f>'数据-取费表'!Y6</f>
        <v>0.7</v>
      </c>
      <c r="D37" s="374">
        <v>100</v>
      </c>
      <c r="E37" s="411"/>
      <c r="F37" s="400" t="e">
        <f>LOOKUP(E37,111:111,112:112)-LOOKUP(C37,111:111,112:112)+100</f>
        <v>#N/A</v>
      </c>
      <c r="G37" s="411"/>
      <c r="H37" s="400" t="e">
        <f>LOOKUP(G37,111:111,112:112)-LOOKUP(C37,111:111,112:112)+100</f>
        <v>#N/A</v>
      </c>
      <c r="I37" s="411"/>
      <c r="J37" s="374" t="e">
        <f>LOOKUP(I37,111:111,112:112)-LOOKUP(C37,111:111,112:112)+100</f>
        <v>#N/A</v>
      </c>
      <c r="K37" s="538">
        <v>1</v>
      </c>
      <c r="L37" s="2491"/>
      <c r="M37" s="2486"/>
      <c r="N37" s="2486"/>
      <c r="O37" s="2486"/>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t="s">
        <v>3490</v>
      </c>
      <c r="D43" s="374">
        <v>100</v>
      </c>
      <c r="E43" s="399" t="s">
        <v>3492</v>
      </c>
      <c r="F43" s="400">
        <f>SUMIF(123:123,E43,124:124)-SUMIF(123:123,C43,124:124)+100</f>
        <v>98</v>
      </c>
      <c r="G43" s="399"/>
      <c r="H43" s="374">
        <f>SUMIF(123:123,G43,124:124)-SUMIF(123:123,C43,124:124)+100</f>
        <v>2</v>
      </c>
      <c r="I43" s="399"/>
      <c r="J43" s="374">
        <f>SUMIF(123:123,I43,124:124)-SUMIF(123:123,C43,124:124)+100</f>
        <v>2</v>
      </c>
      <c r="K43" s="538">
        <v>2</v>
      </c>
      <c r="L43" s="2491"/>
      <c r="M43" s="2486"/>
      <c r="N43" s="2486"/>
      <c r="O43" s="2486"/>
      <c r="P43" s="3410"/>
      <c r="Q43" s="1263" t="str">
        <f t="shared" si="11"/>
        <v>内部装修</v>
      </c>
      <c r="R43" s="667" t="s">
        <v>14</v>
      </c>
      <c r="S43" s="668">
        <f t="shared" si="12"/>
        <v>98</v>
      </c>
      <c r="T43" s="667" t="s">
        <v>14</v>
      </c>
      <c r="U43" s="668">
        <f t="shared" si="13"/>
        <v>2</v>
      </c>
      <c r="V43" s="667" t="s">
        <v>14</v>
      </c>
      <c r="W43" s="668">
        <f t="shared" si="14"/>
        <v>2</v>
      </c>
      <c r="X43" s="1265"/>
      <c r="Y43" s="3412"/>
      <c r="Z43" s="1264" t="str">
        <f t="shared" si="15"/>
        <v>内部装修</v>
      </c>
      <c r="AA43" s="1264">
        <f t="shared" si="3"/>
        <v>1.0204081632653061</v>
      </c>
      <c r="AB43" s="1264">
        <f t="shared" si="4"/>
        <v>50</v>
      </c>
      <c r="AC43" s="1812">
        <f t="shared" si="5"/>
        <v>50</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5">
      <c r="A48" s="416" t="s">
        <v>1708</v>
      </c>
      <c r="B48" s="417"/>
      <c r="C48" s="1081" t="s">
        <v>0</v>
      </c>
      <c r="D48" s="418"/>
      <c r="E48" s="419">
        <v>29043</v>
      </c>
      <c r="F48" s="420"/>
      <c r="G48" s="421"/>
      <c r="H48" s="422"/>
      <c r="I48" s="419"/>
      <c r="J48" s="422"/>
      <c r="K48" s="674"/>
      <c r="L48" s="2493"/>
      <c r="M48" s="2486"/>
      <c r="N48" s="2486"/>
      <c r="O48" s="2486"/>
      <c r="P48" s="3416" t="str">
        <f>A48</f>
        <v>成交单价（元/平方米）</v>
      </c>
      <c r="Q48" s="3405"/>
      <c r="R48" s="3406">
        <f>E48</f>
        <v>29043</v>
      </c>
      <c r="S48" s="3406"/>
      <c r="T48" s="3406">
        <f>G48</f>
        <v>0</v>
      </c>
      <c r="U48" s="3406"/>
      <c r="V48" s="3406">
        <f>I48</f>
        <v>0</v>
      </c>
      <c r="W48" s="340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66" t="s">
        <v>3467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3468</v>
      </c>
      <c r="D66" s="513" t="s">
        <v>3469</v>
      </c>
      <c r="E66" s="513" t="s">
        <v>3470</v>
      </c>
      <c r="F66" s="513" t="s">
        <v>3471</v>
      </c>
      <c r="G66" s="513" t="s">
        <v>3472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67" t="s">
        <v>3473</v>
      </c>
      <c r="D87" s="3168" t="s">
        <v>3474</v>
      </c>
      <c r="E87" s="3168" t="s">
        <v>3475</v>
      </c>
      <c r="F87" s="3168" t="s">
        <v>3477</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68" t="s">
        <v>3478</v>
      </c>
      <c r="D89" s="3168" t="s">
        <v>3479</v>
      </c>
      <c r="E89" s="3168" t="s">
        <v>3480</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69" t="s">
        <v>3482</v>
      </c>
      <c r="D101" s="3169" t="s">
        <v>3484</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1000(含)-1500</v>
      </c>
      <c r="H103" s="509" t="str">
        <f t="shared" si="24"/>
        <v>1500(含)-2000</v>
      </c>
      <c r="I103" s="509" t="str">
        <f t="shared" si="24"/>
        <v>2000(含)-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1500</v>
      </c>
      <c r="I104" s="6">
        <v>2000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3486</v>
      </c>
      <c r="D106" s="3168" t="s">
        <v>3488</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3489</v>
      </c>
      <c r="D123" s="3168" t="s">
        <v>3491</v>
      </c>
      <c r="E123" s="3168" t="s">
        <v>3493</v>
      </c>
      <c r="F123" s="3170" t="s">
        <v>3494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2324.56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860"/>
      <c r="M5" s="861"/>
      <c r="N5" s="861"/>
      <c r="O5" s="861"/>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860"/>
      <c r="M6" s="861"/>
      <c r="N6" s="861"/>
      <c r="O6" s="861"/>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5"/>
      <c r="M4" s="2486"/>
      <c r="N4" s="2486"/>
      <c r="O4" s="2486"/>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5"/>
      <c r="M5" s="2486"/>
      <c r="N5" s="2486"/>
      <c r="O5" s="2486"/>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5"/>
      <c r="M6" s="2486"/>
      <c r="N6" s="2486"/>
      <c r="O6" s="2486"/>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8"/>
      <c r="Q15" s="1263"/>
      <c r="R15" s="667"/>
      <c r="S15" s="668"/>
      <c r="T15" s="667"/>
      <c r="U15" s="668"/>
      <c r="V15" s="667"/>
      <c r="W15" s="668"/>
      <c r="X15" s="1265"/>
      <c r="Y15" s="340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8"/>
      <c r="Q17" s="1263"/>
      <c r="R17" s="667"/>
      <c r="S17" s="668"/>
      <c r="T17" s="667"/>
      <c r="U17" s="668"/>
      <c r="V17" s="667"/>
      <c r="W17" s="668"/>
      <c r="X17" s="1265"/>
      <c r="Y17" s="340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8"/>
      <c r="Q19" s="1263"/>
      <c r="R19" s="667"/>
      <c r="S19" s="668"/>
      <c r="T19" s="667"/>
      <c r="U19" s="668"/>
      <c r="V19" s="667"/>
      <c r="W19" s="668"/>
      <c r="X19" s="1265"/>
      <c r="Y19" s="340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405" t="str">
        <f>A37</f>
        <v>成交单价</v>
      </c>
      <c r="Q37" s="3405"/>
      <c r="R37" s="3406">
        <f>E37</f>
        <v>0</v>
      </c>
      <c r="S37" s="3406"/>
      <c r="T37" s="3406">
        <f>G37</f>
        <v>0</v>
      </c>
      <c r="U37" s="3406"/>
      <c r="V37" s="3406">
        <f>I37</f>
        <v>0</v>
      </c>
      <c r="W37" s="340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2" t="str">
        <f>A39</f>
        <v>估价对象XX用房的比较价值（楼面单价，元/平方米）</v>
      </c>
      <c r="Q39" s="3403"/>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5"/>
      <c r="M4" s="2486"/>
      <c r="N4" s="2486"/>
      <c r="O4" s="2486"/>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5"/>
      <c r="M5" s="2486"/>
      <c r="N5" s="2486"/>
      <c r="O5" s="2486"/>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5"/>
      <c r="M6" s="2486"/>
      <c r="N6" s="2486"/>
      <c r="O6" s="2486"/>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8"/>
      <c r="M10" s="2489"/>
      <c r="N10" s="2489"/>
      <c r="O10" s="2540"/>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8"/>
      <c r="Q15" s="1263"/>
      <c r="R15" s="667"/>
      <c r="S15" s="668"/>
      <c r="T15" s="667"/>
      <c r="U15" s="668"/>
      <c r="V15" s="667"/>
      <c r="W15" s="668"/>
      <c r="X15" s="1265"/>
      <c r="Y15" s="340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8"/>
      <c r="Q17" s="1263"/>
      <c r="R17" s="667"/>
      <c r="S17" s="668"/>
      <c r="T17" s="667"/>
      <c r="U17" s="668"/>
      <c r="V17" s="667"/>
      <c r="W17" s="668"/>
      <c r="X17" s="1265"/>
      <c r="Y17" s="340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8"/>
      <c r="Q19" s="1263"/>
      <c r="R19" s="667"/>
      <c r="S19" s="668"/>
      <c r="T19" s="667"/>
      <c r="U19" s="668"/>
      <c r="V19" s="667"/>
      <c r="W19" s="668"/>
      <c r="X19" s="1265"/>
      <c r="Y19" s="340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02" t="str">
        <f>A37</f>
        <v>估价对象XX用房的比较价值（楼面单价，元/平方米）</v>
      </c>
      <c r="Q37" s="3403"/>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5"/>
      <c r="M4" s="2486"/>
      <c r="N4" s="2486"/>
      <c r="O4" s="2486"/>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5"/>
      <c r="M5" s="2486"/>
      <c r="N5" s="2486"/>
      <c r="O5" s="2486"/>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5"/>
      <c r="M6" s="2486"/>
      <c r="N6" s="2486"/>
      <c r="O6" s="2486"/>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141</v>
      </c>
      <c r="G10" s="402"/>
      <c r="H10" s="119">
        <f>ROUND(100/'数据-取费表'!G16,0)</f>
        <v>141</v>
      </c>
      <c r="I10" s="402"/>
      <c r="J10" s="119">
        <f>ROUND(100/'数据-取费表'!G16,0)</f>
        <v>141</v>
      </c>
      <c r="K10" s="592"/>
      <c r="L10" s="2488"/>
      <c r="M10" s="2489"/>
      <c r="N10" s="2489"/>
      <c r="O10" s="2540"/>
      <c r="P10" s="3405"/>
      <c r="Q10" s="530" t="str">
        <f t="shared" si="6"/>
        <v>土地使用年限（年）</v>
      </c>
      <c r="R10" s="664" t="s">
        <v>14</v>
      </c>
      <c r="S10" s="665">
        <f t="shared" si="0"/>
        <v>141</v>
      </c>
      <c r="T10" s="664" t="s">
        <v>14</v>
      </c>
      <c r="U10" s="665">
        <f t="shared" si="1"/>
        <v>141</v>
      </c>
      <c r="V10" s="664" t="s">
        <v>14</v>
      </c>
      <c r="W10" s="665">
        <f t="shared" si="2"/>
        <v>141</v>
      </c>
      <c r="X10" s="666"/>
      <c r="Y10" s="3261"/>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5"/>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8"/>
      <c r="Q20" s="1263"/>
      <c r="R20" s="667"/>
      <c r="S20" s="668"/>
      <c r="T20" s="667"/>
      <c r="U20" s="668"/>
      <c r="V20" s="667"/>
      <c r="W20" s="668"/>
      <c r="X20" s="1265"/>
      <c r="Y20" s="340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8"/>
      <c r="Q24" s="1263"/>
      <c r="R24" s="667"/>
      <c r="S24" s="668"/>
      <c r="T24" s="667"/>
      <c r="U24" s="668"/>
      <c r="V24" s="667"/>
      <c r="W24" s="668"/>
      <c r="X24" s="1265"/>
      <c r="Y24" s="340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8"/>
      <c r="Q26" s="1263"/>
      <c r="R26" s="667"/>
      <c r="S26" s="668"/>
      <c r="T26" s="667"/>
      <c r="U26" s="668"/>
      <c r="V26" s="667"/>
      <c r="W26" s="668"/>
      <c r="X26" s="1265"/>
      <c r="Y26" s="340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8"/>
      <c r="Q28" s="530"/>
      <c r="R28" s="664"/>
      <c r="S28" s="665"/>
      <c r="T28" s="664"/>
      <c r="U28" s="665"/>
      <c r="V28" s="664"/>
      <c r="W28" s="665"/>
      <c r="X28" s="666"/>
      <c r="Y28" s="340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4"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05" t="str">
        <f>A46</f>
        <v>成交单价</v>
      </c>
      <c r="Q46" s="3405"/>
      <c r="R46" s="3406">
        <f>E46</f>
        <v>0</v>
      </c>
      <c r="S46" s="3406"/>
      <c r="T46" s="3406">
        <f>G46</f>
        <v>0</v>
      </c>
      <c r="U46" s="3406"/>
      <c r="V46" s="3406">
        <f>I46</f>
        <v>0</v>
      </c>
      <c r="W46" s="340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5" t="str">
        <f>A47</f>
        <v>比较价值（元/平方米）</v>
      </c>
      <c r="Q47" s="3405"/>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02" t="str">
        <f>A48</f>
        <v>估价对象XX用房的比较价值（楼面单价，元/平方米）</v>
      </c>
      <c r="Q48" s="3403"/>
      <c r="R48" s="3467" t="e">
        <f>ROUND(IF(D47="简单平均",AVERAGE(R47:W47),R47*F47+T47*H47+V47*J47),0)</f>
        <v>#DIV/0!</v>
      </c>
      <c r="S48" s="3467"/>
      <c r="T48" s="3467"/>
      <c r="U48" s="3467"/>
      <c r="V48" s="3467"/>
      <c r="W48" s="346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20" t="s">
        <v>1887</v>
      </c>
      <c r="H55" s="346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2324.56</v>
      </c>
      <c r="F56" s="833" t="e">
        <f t="shared" ref="F56:F64" si="15">ROUND(B56*E56/10000,0)</f>
        <v>#DIV/0!</v>
      </c>
      <c r="G56" s="3416"/>
      <c r="H56" s="340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2324.56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5"/>
      <c r="M4" s="2486"/>
      <c r="N4" s="2486"/>
      <c r="O4" s="2486"/>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5"/>
      <c r="M5" s="2486"/>
      <c r="N5" s="2486"/>
      <c r="O5" s="2486"/>
      <c r="P5" s="3426"/>
      <c r="Q5" s="3427"/>
      <c r="R5" s="3432"/>
      <c r="S5" s="3433"/>
      <c r="T5" s="3432"/>
      <c r="U5" s="3433"/>
      <c r="V5" s="3406"/>
      <c r="W5" s="3406"/>
      <c r="X5" s="1265"/>
      <c r="Y5" s="3432"/>
      <c r="Z5" s="3433"/>
      <c r="AA5" s="3418"/>
      <c r="AB5" s="3418"/>
      <c r="AC5" s="3418"/>
    </row>
    <row r="6" spans="1:29" ht="15.75" thickBot="1">
      <c r="A6" s="350"/>
      <c r="B6" s="351"/>
      <c r="C6" s="3469" t="s">
        <v>1919</v>
      </c>
      <c r="D6" s="3470"/>
      <c r="E6" s="3471" t="s">
        <v>1919</v>
      </c>
      <c r="F6" s="3472"/>
      <c r="G6" s="3469" t="s">
        <v>1919</v>
      </c>
      <c r="H6" s="3470"/>
      <c r="I6" s="3469" t="s">
        <v>1919</v>
      </c>
      <c r="J6" s="3470"/>
      <c r="K6" s="537" t="s">
        <v>1678</v>
      </c>
      <c r="L6" s="2485"/>
      <c r="M6" s="2486"/>
      <c r="N6" s="2486"/>
      <c r="O6" s="2486"/>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141</v>
      </c>
      <c r="G10" s="371"/>
      <c r="H10" s="119">
        <f>ROUND(100/'数据-取费表'!G16,0)</f>
        <v>141</v>
      </c>
      <c r="I10" s="371"/>
      <c r="J10" s="119">
        <f>ROUND(100/'数据-取费表'!G16,0)</f>
        <v>141</v>
      </c>
      <c r="K10" s="592"/>
      <c r="L10" s="2488"/>
      <c r="M10" s="2489"/>
      <c r="N10" s="2489"/>
      <c r="O10" s="2540"/>
      <c r="P10" s="3405"/>
      <c r="Q10" s="530" t="str">
        <f t="shared" si="6"/>
        <v>土地使用年限（年）</v>
      </c>
      <c r="R10" s="664" t="s">
        <v>14</v>
      </c>
      <c r="S10" s="665">
        <f t="shared" si="0"/>
        <v>141</v>
      </c>
      <c r="T10" s="664" t="s">
        <v>14</v>
      </c>
      <c r="U10" s="665">
        <f t="shared" si="1"/>
        <v>141</v>
      </c>
      <c r="V10" s="664" t="s">
        <v>14</v>
      </c>
      <c r="W10" s="665">
        <f t="shared" si="2"/>
        <v>141</v>
      </c>
      <c r="X10" s="666"/>
      <c r="Y10" s="3261"/>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8"/>
      <c r="Q20" s="1263"/>
      <c r="R20" s="667"/>
      <c r="S20" s="668"/>
      <c r="T20" s="667"/>
      <c r="U20" s="668"/>
      <c r="V20" s="667"/>
      <c r="W20" s="668"/>
      <c r="X20" s="1265"/>
      <c r="Y20" s="340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8"/>
      <c r="Q24" s="530"/>
      <c r="R24" s="664"/>
      <c r="S24" s="665"/>
      <c r="T24" s="664"/>
      <c r="U24" s="665"/>
      <c r="V24" s="664"/>
      <c r="W24" s="665"/>
      <c r="X24" s="666"/>
      <c r="Y24" s="340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4"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05" t="str">
        <f>A41</f>
        <v>成交单价</v>
      </c>
      <c r="Q41" s="3405"/>
      <c r="R41" s="3406">
        <f>E41</f>
        <v>0</v>
      </c>
      <c r="S41" s="3406"/>
      <c r="T41" s="3406">
        <f>G41</f>
        <v>0</v>
      </c>
      <c r="U41" s="3406"/>
      <c r="V41" s="3406">
        <f>I41</f>
        <v>0</v>
      </c>
      <c r="W41" s="340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5" t="str">
        <f>A42</f>
        <v>比较价值（元/平方米）</v>
      </c>
      <c r="Q42" s="3405"/>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02" t="str">
        <f>A43</f>
        <v>估价对象XX用房的比较价值（楼面单价，元/平方米）</v>
      </c>
      <c r="Q43" s="3403"/>
      <c r="R43" s="3467" t="e">
        <f>ROUND(IF(D42="简单平均",AVERAGE(R42:W42),R42*F42+T42*H42+V42*J42),0)</f>
        <v>#DIV/0!</v>
      </c>
      <c r="S43" s="3467"/>
      <c r="T43" s="3467"/>
      <c r="U43" s="3467"/>
      <c r="V43" s="3467"/>
      <c r="W43" s="346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20" t="s">
        <v>1887</v>
      </c>
      <c r="H50" s="346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2324.56</v>
      </c>
      <c r="F51" s="611" t="e">
        <f t="shared" ref="F51:F60" si="15">ROUND(B51*E51/10000,0)</f>
        <v>#DIV/0!</v>
      </c>
      <c r="G51" s="3416"/>
      <c r="H51" s="340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2322</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3627</v>
      </c>
      <c r="C2" s="1984" t="s">
        <v>2074</v>
      </c>
      <c r="D2" s="1984" t="s">
        <v>2075</v>
      </c>
      <c r="E2" s="2397">
        <f ca="1">SUMIF(E6:E13,"&lt;&gt;#ref!",E6:E13)</f>
        <v>2324.56</v>
      </c>
      <c r="F2" s="2543"/>
      <c r="G2" s="2543"/>
      <c r="H2" s="2543"/>
      <c r="I2" s="2543"/>
      <c r="J2" s="2543"/>
      <c r="K2" s="2543"/>
      <c r="L2" s="2543"/>
      <c r="M2" s="2543"/>
      <c r="N2" s="2543"/>
      <c r="O2" s="2543"/>
      <c r="P2" s="2543"/>
    </row>
    <row r="3" spans="1:16" ht="15.75">
      <c r="A3" s="1984" t="s">
        <v>2076</v>
      </c>
      <c r="B3" s="2387">
        <f ca="1">ROUND(B2*10000/E2,0)</f>
        <v>15603</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3627</v>
      </c>
      <c r="C6" s="1984" t="s">
        <v>2074</v>
      </c>
      <c r="D6" s="2543"/>
      <c r="E6" s="2397">
        <f ca="1">SUMIF(INDIRECT("'"&amp;A6&amp;"'"&amp;"!C:C"),"建筑面积",INDIRECT("'"&amp;A6&amp;"'"&amp;"!D:D"))</f>
        <v>2324.56</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4579</v>
      </c>
    </row>
    <row r="6" spans="1:5" ht="15.75">
      <c r="B6" s="3174"/>
      <c r="C6" s="1392" t="s">
        <v>911</v>
      </c>
      <c r="D6" s="797" t="str">
        <f ca="1">NUMBERSTRING(INT(D5*10000),2)&amp;"元整"</f>
        <v>肆仟伍佰柒拾玖万元整</v>
      </c>
    </row>
    <row r="7" spans="1:5" ht="15.75">
      <c r="B7" s="3179"/>
      <c r="C7" s="1393" t="s">
        <v>912</v>
      </c>
      <c r="D7" s="798">
        <f ca="1">结果表!H102</f>
        <v>19697</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4579</v>
      </c>
    </row>
    <row r="14" spans="1:5" ht="15.75">
      <c r="B14" s="3174"/>
      <c r="C14" s="1392" t="s">
        <v>911</v>
      </c>
      <c r="D14" s="797" t="str">
        <f ca="1">NUMBERSTRING(INT(D13*10000),2)&amp;"元整"</f>
        <v>肆仟伍佰柒拾玖万元整</v>
      </c>
    </row>
    <row r="15" spans="1:5" ht="15">
      <c r="B15" s="3179"/>
      <c r="C15" s="1393" t="s">
        <v>921</v>
      </c>
      <c r="D15" s="806">
        <f ca="1">结果表!H108</f>
        <v>19697</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8" t="s">
        <v>2607</v>
      </c>
      <c r="B20" s="3483" t="s">
        <v>2628</v>
      </c>
      <c r="C20" s="2841" t="s">
        <v>2439</v>
      </c>
      <c r="D20" s="2842"/>
      <c r="E20" s="2843">
        <v>1</v>
      </c>
      <c r="F20" s="2844" t="s">
        <v>2440</v>
      </c>
      <c r="G20" s="2844"/>
    </row>
    <row r="21" spans="1:13" ht="19.5" customHeight="1">
      <c r="A21" s="3489"/>
      <c r="B21" s="3482"/>
      <c r="C21" s="2845" t="s">
        <v>2441</v>
      </c>
      <c r="D21" s="2846"/>
      <c r="E21" s="2847">
        <v>1</v>
      </c>
      <c r="F21" s="2844" t="s">
        <v>2442</v>
      </c>
      <c r="G21" s="2844"/>
    </row>
    <row r="22" spans="1:13" ht="19.5" customHeight="1">
      <c r="A22" s="3489"/>
      <c r="B22" s="3482"/>
      <c r="C22" s="2845" t="s">
        <v>2443</v>
      </c>
      <c r="D22" s="2846"/>
      <c r="E22" s="2847">
        <v>0.9</v>
      </c>
      <c r="F22" s="2844" t="s">
        <v>2444</v>
      </c>
      <c r="G22" s="2844"/>
    </row>
    <row r="23" spans="1:13" ht="19.5" customHeight="1">
      <c r="A23" s="3489"/>
      <c r="B23" s="3482"/>
      <c r="C23" s="2845" t="s">
        <v>2445</v>
      </c>
      <c r="D23" s="2846"/>
      <c r="E23" s="2847">
        <v>0.9</v>
      </c>
      <c r="F23" s="2844" t="s">
        <v>2446</v>
      </c>
      <c r="G23" s="2844"/>
    </row>
    <row r="24" spans="1:13" ht="19.5" customHeight="1">
      <c r="A24" s="3489"/>
      <c r="B24" s="3482"/>
      <c r="C24" s="2845" t="s">
        <v>2447</v>
      </c>
      <c r="D24" s="2846"/>
      <c r="E24" s="2847">
        <v>0.8</v>
      </c>
      <c r="F24" s="2844" t="s">
        <v>2448</v>
      </c>
      <c r="G24" s="2844"/>
    </row>
    <row r="25" spans="1:13" ht="19.5" customHeight="1" thickBot="1">
      <c r="A25" s="3490"/>
      <c r="B25" s="3484"/>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5" t="s">
        <v>2631</v>
      </c>
      <c r="B27" s="3483" t="s">
        <v>2612</v>
      </c>
      <c r="C27" s="2841" t="s">
        <v>2452</v>
      </c>
      <c r="D27" s="2842"/>
      <c r="E27" s="2843">
        <v>1</v>
      </c>
      <c r="F27" s="2844" t="s">
        <v>2453</v>
      </c>
      <c r="G27" s="2844"/>
    </row>
    <row r="28" spans="1:13" ht="19.5" customHeight="1">
      <c r="A28" s="3486"/>
      <c r="B28" s="3482"/>
      <c r="C28" s="2845" t="s">
        <v>2454</v>
      </c>
      <c r="D28" s="2846"/>
      <c r="E28" s="2847">
        <v>1</v>
      </c>
      <c r="F28" s="2844" t="s">
        <v>2455</v>
      </c>
      <c r="G28" s="2844"/>
    </row>
    <row r="29" spans="1:13" ht="19.5" customHeight="1">
      <c r="A29" s="3486"/>
      <c r="B29" s="3482"/>
      <c r="C29" s="2845" t="s">
        <v>2456</v>
      </c>
      <c r="D29" s="2846"/>
      <c r="E29" s="2847">
        <v>0.8</v>
      </c>
      <c r="F29" s="2844" t="s">
        <v>2457</v>
      </c>
      <c r="G29" s="2844"/>
    </row>
    <row r="30" spans="1:13" ht="19.5" customHeight="1">
      <c r="A30" s="3486"/>
      <c r="B30" s="3482"/>
      <c r="C30" s="2845" t="s">
        <v>2458</v>
      </c>
      <c r="D30" s="2846"/>
      <c r="E30" s="2847">
        <v>0.8</v>
      </c>
      <c r="F30" s="2844" t="s">
        <v>2459</v>
      </c>
      <c r="G30" s="2844"/>
    </row>
    <row r="31" spans="1:13" ht="19.5" customHeight="1">
      <c r="A31" s="3486"/>
      <c r="B31" s="3482"/>
      <c r="C31" s="2845" t="s">
        <v>2460</v>
      </c>
      <c r="D31" s="2846"/>
      <c r="E31" s="2847">
        <v>0.8</v>
      </c>
      <c r="F31" s="2844" t="s">
        <v>2461</v>
      </c>
      <c r="G31" s="2844"/>
    </row>
    <row r="32" spans="1:13" ht="19.5" customHeight="1">
      <c r="A32" s="3486"/>
      <c r="B32" s="3482"/>
      <c r="C32" s="2845" t="s">
        <v>2462</v>
      </c>
      <c r="D32" s="2846"/>
      <c r="E32" s="2847">
        <v>0.7</v>
      </c>
      <c r="F32" s="2844" t="s">
        <v>2463</v>
      </c>
      <c r="G32" s="2844"/>
    </row>
    <row r="33" spans="1:7" ht="19.5" customHeight="1">
      <c r="A33" s="3486"/>
      <c r="B33" s="3482"/>
      <c r="C33" s="2845" t="s">
        <v>2464</v>
      </c>
      <c r="D33" s="2846"/>
      <c r="E33" s="2847">
        <v>0.8</v>
      </c>
      <c r="F33" s="2844" t="s">
        <v>2465</v>
      </c>
      <c r="G33" s="2844"/>
    </row>
    <row r="34" spans="1:7" ht="19.5" customHeight="1">
      <c r="A34" s="3486"/>
      <c r="B34" s="3482"/>
      <c r="C34" s="2845" t="s">
        <v>2466</v>
      </c>
      <c r="D34" s="2846"/>
      <c r="E34" s="2847">
        <v>0.6</v>
      </c>
      <c r="F34" s="2844" t="s">
        <v>2467</v>
      </c>
      <c r="G34" s="2844"/>
    </row>
    <row r="35" spans="1:7" ht="19.5" customHeight="1">
      <c r="A35" s="3486"/>
      <c r="B35" s="3482"/>
      <c r="C35" s="2845" t="s">
        <v>2468</v>
      </c>
      <c r="D35" s="2846"/>
      <c r="E35" s="2847">
        <v>0.2</v>
      </c>
      <c r="F35" s="2844" t="s">
        <v>2469</v>
      </c>
      <c r="G35" s="2844"/>
    </row>
    <row r="36" spans="1:7" ht="19.5" customHeight="1">
      <c r="A36" s="3486"/>
      <c r="B36" s="3482"/>
      <c r="C36" s="2845" t="s">
        <v>2470</v>
      </c>
      <c r="D36" s="2846"/>
      <c r="E36" s="2847">
        <v>0.2</v>
      </c>
      <c r="F36" s="2844" t="s">
        <v>2471</v>
      </c>
      <c r="G36" s="2844"/>
    </row>
    <row r="37" spans="1:7" ht="19.5" customHeight="1">
      <c r="A37" s="3486"/>
      <c r="B37" s="3480" t="s">
        <v>2632</v>
      </c>
      <c r="C37" s="2845" t="s">
        <v>2472</v>
      </c>
      <c r="D37" s="2846"/>
      <c r="E37" s="2847">
        <v>0.6</v>
      </c>
      <c r="F37" s="2844" t="s">
        <v>2473</v>
      </c>
      <c r="G37" s="2844"/>
    </row>
    <row r="38" spans="1:7" ht="19.5" customHeight="1">
      <c r="A38" s="3486"/>
      <c r="B38" s="3482"/>
      <c r="C38" s="2845" t="s">
        <v>2474</v>
      </c>
      <c r="D38" s="2846"/>
      <c r="E38" s="2847">
        <v>0.6</v>
      </c>
      <c r="F38" s="2844" t="s">
        <v>2475</v>
      </c>
      <c r="G38" s="2844"/>
    </row>
    <row r="39" spans="1:7" ht="19.5" customHeight="1" thickBot="1">
      <c r="A39" s="3487"/>
      <c r="B39" s="3484"/>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8" t="s">
        <v>2610</v>
      </c>
      <c r="B41" s="3483" t="s">
        <v>2634</v>
      </c>
      <c r="C41" s="2841" t="s">
        <v>2479</v>
      </c>
      <c r="D41" s="2842"/>
      <c r="E41" s="2843">
        <v>1</v>
      </c>
      <c r="F41" s="2844" t="s">
        <v>2480</v>
      </c>
      <c r="G41" s="2844"/>
    </row>
    <row r="42" spans="1:7" ht="19.5" customHeight="1">
      <c r="A42" s="3489"/>
      <c r="B42" s="3482"/>
      <c r="C42" s="2845" t="s">
        <v>2481</v>
      </c>
      <c r="D42" s="2846"/>
      <c r="E42" s="2847">
        <v>1</v>
      </c>
      <c r="F42" s="2844" t="s">
        <v>2482</v>
      </c>
      <c r="G42" s="2844"/>
    </row>
    <row r="43" spans="1:7" ht="19.5" customHeight="1">
      <c r="A43" s="3489"/>
      <c r="B43" s="3481"/>
      <c r="C43" s="2845" t="s">
        <v>2483</v>
      </c>
      <c r="D43" s="2846"/>
      <c r="E43" s="2847">
        <v>1.5</v>
      </c>
      <c r="F43" s="2844" t="s">
        <v>2484</v>
      </c>
      <c r="G43" s="2844"/>
    </row>
    <row r="44" spans="1:7" ht="19.5" customHeight="1">
      <c r="A44" s="3489"/>
      <c r="B44" s="2856" t="s">
        <v>2635</v>
      </c>
      <c r="C44" s="2845" t="s">
        <v>2636</v>
      </c>
      <c r="D44" s="2846"/>
      <c r="E44" s="2847">
        <v>2</v>
      </c>
      <c r="F44" s="2844" t="s">
        <v>2485</v>
      </c>
      <c r="G44" s="2844"/>
    </row>
    <row r="45" spans="1:7" ht="19.5" customHeight="1">
      <c r="A45" s="3489"/>
      <c r="B45" s="3480" t="s">
        <v>2637</v>
      </c>
      <c r="C45" s="2845" t="s">
        <v>2486</v>
      </c>
      <c r="D45" s="2846"/>
      <c r="E45" s="2847">
        <v>1</v>
      </c>
      <c r="F45" s="2844" t="s">
        <v>2487</v>
      </c>
      <c r="G45" s="2844"/>
    </row>
    <row r="46" spans="1:7" ht="19.5" customHeight="1">
      <c r="A46" s="3489"/>
      <c r="B46" s="3482"/>
      <c r="C46" s="2845" t="s">
        <v>2488</v>
      </c>
      <c r="D46" s="2846"/>
      <c r="E46" s="2847">
        <v>1</v>
      </c>
      <c r="F46" s="2844" t="s">
        <v>2489</v>
      </c>
      <c r="G46" s="2844"/>
    </row>
    <row r="47" spans="1:7" ht="19.5" customHeight="1">
      <c r="A47" s="3489"/>
      <c r="B47" s="3482"/>
      <c r="C47" s="2845" t="s">
        <v>2490</v>
      </c>
      <c r="D47" s="2846"/>
      <c r="E47" s="2847">
        <v>1</v>
      </c>
      <c r="F47" s="2844" t="s">
        <v>2491</v>
      </c>
      <c r="G47" s="2844"/>
    </row>
    <row r="48" spans="1:7" ht="19.5" customHeight="1">
      <c r="A48" s="3489"/>
      <c r="B48" s="3482"/>
      <c r="C48" s="2845" t="s">
        <v>2492</v>
      </c>
      <c r="D48" s="2846"/>
      <c r="E48" s="2847">
        <v>1</v>
      </c>
      <c r="F48" s="2844" t="s">
        <v>2493</v>
      </c>
      <c r="G48" s="2844"/>
    </row>
    <row r="49" spans="1:7" ht="19.5" customHeight="1">
      <c r="A49" s="3489"/>
      <c r="B49" s="3482"/>
      <c r="C49" s="2845" t="s">
        <v>2494</v>
      </c>
      <c r="D49" s="2846"/>
      <c r="E49" s="2847">
        <v>1</v>
      </c>
      <c r="F49" s="2844" t="s">
        <v>2495</v>
      </c>
      <c r="G49" s="2844"/>
    </row>
    <row r="50" spans="1:7" ht="19.5" customHeight="1">
      <c r="A50" s="3489"/>
      <c r="B50" s="3482"/>
      <c r="C50" s="2845" t="s">
        <v>2496</v>
      </c>
      <c r="D50" s="2846"/>
      <c r="E50" s="2847">
        <v>1</v>
      </c>
      <c r="F50" s="2844" t="s">
        <v>2497</v>
      </c>
      <c r="G50" s="2844"/>
    </row>
    <row r="51" spans="1:7" ht="19.5" customHeight="1" thickBot="1">
      <c r="A51" s="3490"/>
      <c r="B51" s="3484"/>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80" t="s">
        <v>2651</v>
      </c>
      <c r="C73" s="2830" t="s">
        <v>2652</v>
      </c>
      <c r="D73" s="2830" t="s">
        <v>2653</v>
      </c>
      <c r="E73" s="2856">
        <v>0.2</v>
      </c>
      <c r="F73" s="2856">
        <v>25</v>
      </c>
    </row>
    <row r="74" spans="1:7" ht="24">
      <c r="A74" s="2856">
        <v>2</v>
      </c>
      <c r="B74" s="3482"/>
      <c r="C74" s="2830" t="s">
        <v>2654</v>
      </c>
      <c r="D74" s="2830" t="s">
        <v>2655</v>
      </c>
      <c r="E74" s="2856">
        <v>0.2</v>
      </c>
      <c r="F74" s="2856">
        <v>25</v>
      </c>
    </row>
    <row r="75" spans="1:7" ht="24">
      <c r="A75" s="2856">
        <v>3</v>
      </c>
      <c r="B75" s="3482"/>
      <c r="C75" s="2830" t="s">
        <v>2656</v>
      </c>
      <c r="D75" s="2830" t="s">
        <v>2657</v>
      </c>
      <c r="E75" s="2856">
        <v>0.2</v>
      </c>
      <c r="F75" s="2856">
        <v>25</v>
      </c>
    </row>
    <row r="76" spans="1:7" ht="13.5">
      <c r="A76" s="2856">
        <v>4</v>
      </c>
      <c r="B76" s="3482"/>
      <c r="C76" s="2830" t="s">
        <v>2658</v>
      </c>
      <c r="D76" s="2830" t="s">
        <v>2659</v>
      </c>
      <c r="E76" s="2856">
        <v>0.15</v>
      </c>
      <c r="F76" s="2856">
        <v>20</v>
      </c>
    </row>
    <row r="77" spans="1:7" ht="24">
      <c r="A77" s="2856">
        <v>5</v>
      </c>
      <c r="B77" s="3482"/>
      <c r="C77" s="2830" t="s">
        <v>2660</v>
      </c>
      <c r="D77" s="2830" t="s">
        <v>2661</v>
      </c>
      <c r="E77" s="2856">
        <v>0.15</v>
      </c>
      <c r="F77" s="2856">
        <v>20</v>
      </c>
    </row>
    <row r="78" spans="1:7" ht="24">
      <c r="A78" s="2856">
        <v>6</v>
      </c>
      <c r="B78" s="3482"/>
      <c r="C78" s="2830" t="s">
        <v>2662</v>
      </c>
      <c r="D78" s="2830" t="s">
        <v>2663</v>
      </c>
      <c r="E78" s="2856">
        <v>0.15</v>
      </c>
      <c r="F78" s="2856">
        <v>20</v>
      </c>
    </row>
    <row r="79" spans="1:7" ht="24">
      <c r="A79" s="2856">
        <v>7</v>
      </c>
      <c r="B79" s="3482"/>
      <c r="C79" s="2830" t="s">
        <v>2664</v>
      </c>
      <c r="D79" s="2830" t="s">
        <v>2665</v>
      </c>
      <c r="E79" s="2856">
        <v>0.15</v>
      </c>
      <c r="F79" s="2856">
        <v>20</v>
      </c>
    </row>
    <row r="80" spans="1:7" ht="24">
      <c r="A80" s="2856">
        <v>8</v>
      </c>
      <c r="B80" s="3482"/>
      <c r="C80" s="2830" t="s">
        <v>2666</v>
      </c>
      <c r="D80" s="2830" t="s">
        <v>2667</v>
      </c>
      <c r="E80" s="2856">
        <v>0.1</v>
      </c>
      <c r="F80" s="2856">
        <v>15</v>
      </c>
    </row>
    <row r="81" spans="1:6" ht="24">
      <c r="A81" s="2856">
        <v>9</v>
      </c>
      <c r="B81" s="3482"/>
      <c r="C81" s="2830" t="s">
        <v>2668</v>
      </c>
      <c r="D81" s="2830" t="s">
        <v>2669</v>
      </c>
      <c r="E81" s="2856">
        <v>0.1</v>
      </c>
      <c r="F81" s="2856">
        <v>15</v>
      </c>
    </row>
    <row r="82" spans="1:6" ht="24">
      <c r="A82" s="2856">
        <v>10</v>
      </c>
      <c r="B82" s="3482"/>
      <c r="C82" s="2830" t="s">
        <v>2670</v>
      </c>
      <c r="D82" s="2830" t="s">
        <v>2671</v>
      </c>
      <c r="E82" s="2856">
        <v>0.1</v>
      </c>
      <c r="F82" s="2856">
        <v>15</v>
      </c>
    </row>
    <row r="83" spans="1:6" ht="24">
      <c r="A83" s="2856">
        <v>11</v>
      </c>
      <c r="B83" s="3482"/>
      <c r="C83" s="2830" t="s">
        <v>2672</v>
      </c>
      <c r="D83" s="2830" t="s">
        <v>2673</v>
      </c>
      <c r="E83" s="2856">
        <v>0.1</v>
      </c>
      <c r="F83" s="2856">
        <v>15</v>
      </c>
    </row>
    <row r="84" spans="1:6" ht="24">
      <c r="A84" s="2856">
        <v>12</v>
      </c>
      <c r="B84" s="3482"/>
      <c r="C84" s="2830" t="s">
        <v>2674</v>
      </c>
      <c r="D84" s="2830" t="s">
        <v>2675</v>
      </c>
      <c r="E84" s="2856">
        <v>0.1</v>
      </c>
      <c r="F84" s="2856">
        <v>15</v>
      </c>
    </row>
    <row r="85" spans="1:6" ht="13.5">
      <c r="A85" s="2856">
        <v>13</v>
      </c>
      <c r="B85" s="3482"/>
      <c r="C85" s="2830" t="s">
        <v>2676</v>
      </c>
      <c r="D85" s="2830" t="s">
        <v>2677</v>
      </c>
      <c r="E85" s="2856">
        <v>0.1</v>
      </c>
      <c r="F85" s="2856">
        <v>15</v>
      </c>
    </row>
    <row r="86" spans="1:6" ht="13.5">
      <c r="A86" s="2856">
        <v>14</v>
      </c>
      <c r="B86" s="3482"/>
      <c r="C86" s="2830" t="s">
        <v>2678</v>
      </c>
      <c r="D86" s="2830" t="s">
        <v>2679</v>
      </c>
      <c r="E86" s="2856">
        <v>0.1</v>
      </c>
      <c r="F86" s="2856">
        <v>15</v>
      </c>
    </row>
    <row r="87" spans="1:6" ht="13.5">
      <c r="A87" s="2856">
        <v>15</v>
      </c>
      <c r="B87" s="3482"/>
      <c r="C87" s="2830" t="s">
        <v>2680</v>
      </c>
      <c r="D87" s="2830" t="s">
        <v>2681</v>
      </c>
      <c r="E87" s="2856">
        <v>0.1</v>
      </c>
      <c r="F87" s="2856">
        <v>15</v>
      </c>
    </row>
    <row r="88" spans="1:6" ht="24">
      <c r="A88" s="2856">
        <v>16</v>
      </c>
      <c r="B88" s="3482"/>
      <c r="C88" s="2830" t="s">
        <v>2682</v>
      </c>
      <c r="D88" s="2830" t="s">
        <v>2683</v>
      </c>
      <c r="E88" s="2856">
        <v>0.1</v>
      </c>
      <c r="F88" s="2856">
        <v>15</v>
      </c>
    </row>
    <row r="89" spans="1:6" ht="24">
      <c r="A89" s="2856">
        <v>17</v>
      </c>
      <c r="B89" s="3481"/>
      <c r="C89" s="2830" t="s">
        <v>2684</v>
      </c>
      <c r="D89" s="2830" t="s">
        <v>2685</v>
      </c>
      <c r="E89" s="2856">
        <v>0.1</v>
      </c>
      <c r="F89" s="2856">
        <v>15</v>
      </c>
    </row>
    <row r="90" spans="1:6" ht="13.5">
      <c r="A90" s="2856">
        <v>18</v>
      </c>
      <c r="B90" s="3480" t="s">
        <v>2686</v>
      </c>
      <c r="C90" s="2830" t="s">
        <v>2687</v>
      </c>
      <c r="D90" s="2830" t="s">
        <v>2688</v>
      </c>
      <c r="E90" s="2856">
        <v>0.2</v>
      </c>
      <c r="F90" s="2856">
        <v>25</v>
      </c>
    </row>
    <row r="91" spans="1:6" ht="24">
      <c r="A91" s="2856">
        <v>19</v>
      </c>
      <c r="B91" s="3482"/>
      <c r="C91" s="2830" t="s">
        <v>2689</v>
      </c>
      <c r="D91" s="2830" t="s">
        <v>2690</v>
      </c>
      <c r="E91" s="2856">
        <v>0.2</v>
      </c>
      <c r="F91" s="2856">
        <v>25</v>
      </c>
    </row>
    <row r="92" spans="1:6" ht="13.5">
      <c r="A92" s="2856">
        <v>20</v>
      </c>
      <c r="B92" s="3482"/>
      <c r="C92" s="2830" t="s">
        <v>2691</v>
      </c>
      <c r="D92" s="2830" t="s">
        <v>2692</v>
      </c>
      <c r="E92" s="2856">
        <v>0.15</v>
      </c>
      <c r="F92" s="2856">
        <v>20</v>
      </c>
    </row>
    <row r="93" spans="1:6" ht="13.5">
      <c r="A93" s="2856">
        <v>21</v>
      </c>
      <c r="B93" s="3482"/>
      <c r="C93" s="2830" t="s">
        <v>2693</v>
      </c>
      <c r="D93" s="2830" t="s">
        <v>2694</v>
      </c>
      <c r="E93" s="2856">
        <v>0.15</v>
      </c>
      <c r="F93" s="2856">
        <v>20</v>
      </c>
    </row>
    <row r="94" spans="1:6" ht="13.5">
      <c r="A94" s="2856">
        <v>22</v>
      </c>
      <c r="B94" s="3482"/>
      <c r="C94" s="2830" t="s">
        <v>2695</v>
      </c>
      <c r="D94" s="2830" t="s">
        <v>2696</v>
      </c>
      <c r="E94" s="2856">
        <v>0.15</v>
      </c>
      <c r="F94" s="2856">
        <v>20</v>
      </c>
    </row>
    <row r="95" spans="1:6" ht="36">
      <c r="A95" s="2856">
        <v>23</v>
      </c>
      <c r="B95" s="3482"/>
      <c r="C95" s="2830" t="s">
        <v>2697</v>
      </c>
      <c r="D95" s="2830" t="s">
        <v>2698</v>
      </c>
      <c r="E95" s="2856">
        <v>0.15</v>
      </c>
      <c r="F95" s="2856">
        <v>20</v>
      </c>
    </row>
    <row r="96" spans="1:6" ht="13.5">
      <c r="A96" s="2856">
        <v>24</v>
      </c>
      <c r="B96" s="3482"/>
      <c r="C96" s="2830" t="s">
        <v>2699</v>
      </c>
      <c r="D96" s="2830" t="s">
        <v>2700</v>
      </c>
      <c r="E96" s="2856">
        <v>0.1</v>
      </c>
      <c r="F96" s="2856">
        <v>15</v>
      </c>
    </row>
    <row r="97" spans="1:6" ht="13.5">
      <c r="A97" s="2856">
        <v>25</v>
      </c>
      <c r="B97" s="3482"/>
      <c r="C97" s="2830" t="s">
        <v>2701</v>
      </c>
      <c r="D97" s="2830" t="s">
        <v>2702</v>
      </c>
      <c r="E97" s="2856">
        <v>0.1</v>
      </c>
      <c r="F97" s="2856">
        <v>15</v>
      </c>
    </row>
    <row r="98" spans="1:6" ht="24">
      <c r="A98" s="2856">
        <v>26</v>
      </c>
      <c r="B98" s="3482"/>
      <c r="C98" s="2830" t="s">
        <v>2703</v>
      </c>
      <c r="D98" s="2830" t="s">
        <v>2704</v>
      </c>
      <c r="E98" s="2856">
        <v>0.1</v>
      </c>
      <c r="F98" s="2856">
        <v>15</v>
      </c>
    </row>
    <row r="99" spans="1:6" ht="24">
      <c r="A99" s="2856">
        <v>27</v>
      </c>
      <c r="B99" s="3482"/>
      <c r="C99" s="2830" t="s">
        <v>2705</v>
      </c>
      <c r="D99" s="2830" t="s">
        <v>2706</v>
      </c>
      <c r="E99" s="2856">
        <v>0.1</v>
      </c>
      <c r="F99" s="2856">
        <v>15</v>
      </c>
    </row>
    <row r="100" spans="1:6" ht="13.5">
      <c r="A100" s="2856">
        <v>28</v>
      </c>
      <c r="B100" s="3482"/>
      <c r="C100" s="2830" t="s">
        <v>2707</v>
      </c>
      <c r="D100" s="2830" t="s">
        <v>2708</v>
      </c>
      <c r="E100" s="2856">
        <v>0.1</v>
      </c>
      <c r="F100" s="2856">
        <v>15</v>
      </c>
    </row>
    <row r="101" spans="1:6" ht="13.5">
      <c r="A101" s="2856">
        <v>29</v>
      </c>
      <c r="B101" s="3482"/>
      <c r="C101" s="2830" t="s">
        <v>2709</v>
      </c>
      <c r="D101" s="2830" t="s">
        <v>2710</v>
      </c>
      <c r="E101" s="2856">
        <v>0.1</v>
      </c>
      <c r="F101" s="2856">
        <v>15</v>
      </c>
    </row>
    <row r="102" spans="1:6" ht="13.5">
      <c r="A102" s="2856">
        <v>30</v>
      </c>
      <c r="B102" s="3482"/>
      <c r="C102" s="2830" t="s">
        <v>2711</v>
      </c>
      <c r="D102" s="2830" t="s">
        <v>2712</v>
      </c>
      <c r="E102" s="2856">
        <v>0.1</v>
      </c>
      <c r="F102" s="2856">
        <v>15</v>
      </c>
    </row>
    <row r="103" spans="1:6" ht="24">
      <c r="A103" s="2856">
        <v>31</v>
      </c>
      <c r="B103" s="3482"/>
      <c r="C103" s="2830" t="s">
        <v>2713</v>
      </c>
      <c r="D103" s="2830" t="s">
        <v>2714</v>
      </c>
      <c r="E103" s="2856">
        <v>0.1</v>
      </c>
      <c r="F103" s="2856">
        <v>15</v>
      </c>
    </row>
    <row r="104" spans="1:6" ht="24">
      <c r="A104" s="2856">
        <v>32</v>
      </c>
      <c r="B104" s="3482"/>
      <c r="C104" s="2830" t="s">
        <v>2715</v>
      </c>
      <c r="D104" s="2830" t="s">
        <v>2716</v>
      </c>
      <c r="E104" s="2856">
        <v>0.1</v>
      </c>
      <c r="F104" s="2856">
        <v>15</v>
      </c>
    </row>
    <row r="105" spans="1:6" ht="24">
      <c r="A105" s="2856">
        <v>33</v>
      </c>
      <c r="B105" s="3482"/>
      <c r="C105" s="2830" t="s">
        <v>2717</v>
      </c>
      <c r="D105" s="2830" t="s">
        <v>2718</v>
      </c>
      <c r="E105" s="2856">
        <v>0.1</v>
      </c>
      <c r="F105" s="2856">
        <v>15</v>
      </c>
    </row>
    <row r="106" spans="1:6" ht="24">
      <c r="A106" s="2856">
        <v>34</v>
      </c>
      <c r="B106" s="3481"/>
      <c r="C106" s="2830" t="s">
        <v>2719</v>
      </c>
      <c r="D106" s="2830" t="s">
        <v>2720</v>
      </c>
      <c r="E106" s="2856">
        <v>0.1</v>
      </c>
      <c r="F106" s="2856">
        <v>15</v>
      </c>
    </row>
    <row r="107" spans="1:6" ht="24">
      <c r="A107" s="2856">
        <v>35</v>
      </c>
      <c r="B107" s="3480" t="s">
        <v>2721</v>
      </c>
      <c r="C107" s="2856" t="s">
        <v>2722</v>
      </c>
      <c r="D107" s="2830" t="s">
        <v>2723</v>
      </c>
      <c r="E107" s="2856">
        <v>0.15</v>
      </c>
      <c r="F107" s="2856">
        <v>20</v>
      </c>
    </row>
    <row r="108" spans="1:6" ht="13.5">
      <c r="A108" s="2856">
        <v>36</v>
      </c>
      <c r="B108" s="3482"/>
      <c r="C108" s="2856" t="s">
        <v>2724</v>
      </c>
      <c r="D108" s="2830" t="s">
        <v>2725</v>
      </c>
      <c r="E108" s="2856">
        <v>0.15</v>
      </c>
      <c r="F108" s="2856">
        <v>20</v>
      </c>
    </row>
    <row r="109" spans="1:6" ht="13.5">
      <c r="A109" s="2856">
        <v>37</v>
      </c>
      <c r="B109" s="3482"/>
      <c r="C109" s="2856" t="s">
        <v>2726</v>
      </c>
      <c r="D109" s="2830" t="s">
        <v>2727</v>
      </c>
      <c r="E109" s="2856">
        <v>0.15</v>
      </c>
      <c r="F109" s="2856">
        <v>20</v>
      </c>
    </row>
    <row r="110" spans="1:6" ht="13.5">
      <c r="A110" s="2856">
        <v>38</v>
      </c>
      <c r="B110" s="3482"/>
      <c r="C110" s="2856" t="s">
        <v>2728</v>
      </c>
      <c r="D110" s="2830" t="s">
        <v>2729</v>
      </c>
      <c r="E110" s="2856">
        <v>0.1</v>
      </c>
      <c r="F110" s="2856">
        <v>15</v>
      </c>
    </row>
    <row r="111" spans="1:6" ht="24">
      <c r="A111" s="2856">
        <v>39</v>
      </c>
      <c r="B111" s="3482"/>
      <c r="C111" s="2856" t="s">
        <v>2730</v>
      </c>
      <c r="D111" s="2830" t="s">
        <v>2731</v>
      </c>
      <c r="E111" s="2856">
        <v>0.1</v>
      </c>
      <c r="F111" s="2856">
        <v>15</v>
      </c>
    </row>
    <row r="112" spans="1:6" ht="24">
      <c r="A112" s="2856">
        <v>40</v>
      </c>
      <c r="B112" s="3481"/>
      <c r="C112" s="2856" t="s">
        <v>2732</v>
      </c>
      <c r="D112" s="2830" t="s">
        <v>2733</v>
      </c>
      <c r="E112" s="2856">
        <v>0.1</v>
      </c>
      <c r="F112" s="2856">
        <v>15</v>
      </c>
    </row>
    <row r="113" spans="1:6" ht="13.5">
      <c r="A113" s="2856">
        <v>41</v>
      </c>
      <c r="B113" s="3479" t="s">
        <v>2734</v>
      </c>
      <c r="C113" s="2856" t="s">
        <v>2735</v>
      </c>
      <c r="D113" s="2830" t="s">
        <v>2736</v>
      </c>
      <c r="E113" s="2856">
        <v>0.1</v>
      </c>
      <c r="F113" s="2856">
        <v>15</v>
      </c>
    </row>
    <row r="114" spans="1:6" ht="13.5">
      <c r="A114" s="2856">
        <v>42</v>
      </c>
      <c r="B114" s="3479"/>
      <c r="C114" s="2856" t="s">
        <v>2737</v>
      </c>
      <c r="D114" s="2830" t="s">
        <v>2738</v>
      </c>
      <c r="E114" s="2856">
        <v>0.1</v>
      </c>
      <c r="F114" s="2856">
        <v>15</v>
      </c>
    </row>
    <row r="115" spans="1:6" ht="24">
      <c r="A115" s="2856">
        <v>43</v>
      </c>
      <c r="B115" s="3479"/>
      <c r="C115" s="2856" t="s">
        <v>2739</v>
      </c>
      <c r="D115" s="2830" t="s">
        <v>2740</v>
      </c>
      <c r="E115" s="2856">
        <v>0.1</v>
      </c>
      <c r="F115" s="2856">
        <v>15</v>
      </c>
    </row>
    <row r="116" spans="1:6" ht="13.5">
      <c r="A116" s="2856">
        <v>44</v>
      </c>
      <c r="B116" s="3480" t="s">
        <v>2741</v>
      </c>
      <c r="C116" s="2856" t="s">
        <v>2742</v>
      </c>
      <c r="D116" s="2830" t="s">
        <v>2743</v>
      </c>
      <c r="E116" s="2856">
        <v>0.1</v>
      </c>
      <c r="F116" s="2856">
        <v>15</v>
      </c>
    </row>
    <row r="117" spans="1:6" ht="24">
      <c r="A117" s="2856">
        <v>45</v>
      </c>
      <c r="B117" s="3481"/>
      <c r="C117" s="2830" t="s">
        <v>2744</v>
      </c>
      <c r="D117" s="2830" t="s">
        <v>2745</v>
      </c>
      <c r="E117" s="2856">
        <v>0.1</v>
      </c>
      <c r="F117" s="2856">
        <v>15</v>
      </c>
    </row>
    <row r="118" spans="1:6" ht="24">
      <c r="A118" s="2856">
        <v>46</v>
      </c>
      <c r="B118" s="3480" t="s">
        <v>2746</v>
      </c>
      <c r="C118" s="2856" t="s">
        <v>2747</v>
      </c>
      <c r="D118" s="2830" t="s">
        <v>2748</v>
      </c>
      <c r="E118" s="2856">
        <v>0.1</v>
      </c>
      <c r="F118" s="2856">
        <v>15</v>
      </c>
    </row>
    <row r="119" spans="1:6" ht="24">
      <c r="A119" s="2856">
        <v>47</v>
      </c>
      <c r="B119" s="3481"/>
      <c r="C119" s="2856" t="s">
        <v>2749</v>
      </c>
      <c r="D119" s="2830" t="s">
        <v>2750</v>
      </c>
      <c r="E119" s="2856">
        <v>0.1</v>
      </c>
      <c r="F119" s="2856">
        <v>15</v>
      </c>
    </row>
    <row r="120" spans="1:6" ht="13.5">
      <c r="A120" s="2856">
        <v>48</v>
      </c>
      <c r="B120" s="3480" t="s">
        <v>2751</v>
      </c>
      <c r="C120" s="2856" t="s">
        <v>2752</v>
      </c>
      <c r="D120" s="2830" t="s">
        <v>2753</v>
      </c>
      <c r="E120" s="2856">
        <v>0.1</v>
      </c>
      <c r="F120" s="2856">
        <v>15</v>
      </c>
    </row>
    <row r="121" spans="1:6" ht="13.5">
      <c r="A121" s="2856">
        <v>49</v>
      </c>
      <c r="B121" s="3481"/>
      <c r="C121" s="2856" t="s">
        <v>2754</v>
      </c>
      <c r="D121" s="2830" t="s">
        <v>2755</v>
      </c>
      <c r="E121" s="2856">
        <v>0.1</v>
      </c>
      <c r="F121" s="2856">
        <v>15</v>
      </c>
    </row>
    <row r="122" spans="1:6" ht="24">
      <c r="A122" s="2856">
        <v>50</v>
      </c>
      <c r="B122" s="3479" t="s">
        <v>2756</v>
      </c>
      <c r="C122" s="2856" t="s">
        <v>2757</v>
      </c>
      <c r="D122" s="2830" t="s">
        <v>2758</v>
      </c>
      <c r="E122" s="2856">
        <v>0.1</v>
      </c>
      <c r="F122" s="2856">
        <v>15</v>
      </c>
    </row>
    <row r="123" spans="1:6" ht="24">
      <c r="A123" s="2856">
        <v>51</v>
      </c>
      <c r="B123" s="3479"/>
      <c r="C123" s="2856" t="s">
        <v>2759</v>
      </c>
      <c r="D123" s="2830" t="s">
        <v>2760</v>
      </c>
      <c r="E123" s="2856">
        <v>0.1</v>
      </c>
      <c r="F123" s="2856">
        <v>15</v>
      </c>
    </row>
    <row r="124" spans="1:6" ht="24">
      <c r="A124" s="2856">
        <v>52</v>
      </c>
      <c r="B124" s="3479" t="s">
        <v>2761</v>
      </c>
      <c r="C124" s="2856" t="s">
        <v>2762</v>
      </c>
      <c r="D124" s="2830" t="s">
        <v>2763</v>
      </c>
      <c r="E124" s="2856">
        <v>0.1</v>
      </c>
      <c r="F124" s="2856">
        <v>15</v>
      </c>
    </row>
    <row r="125" spans="1:6" ht="24">
      <c r="A125" s="2856">
        <v>53</v>
      </c>
      <c r="B125" s="3479"/>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9" t="s">
        <v>2769</v>
      </c>
      <c r="C127" s="2856" t="s">
        <v>2770</v>
      </c>
      <c r="D127" s="2830" t="s">
        <v>2771</v>
      </c>
      <c r="E127" s="2856">
        <v>0.1</v>
      </c>
      <c r="F127" s="2856">
        <v>15</v>
      </c>
    </row>
    <row r="128" spans="1:6" ht="13.5">
      <c r="A128" s="2856">
        <v>56</v>
      </c>
      <c r="B128" s="3479"/>
      <c r="C128" s="2856" t="s">
        <v>2772</v>
      </c>
      <c r="D128" s="2830" t="s">
        <v>2773</v>
      </c>
      <c r="E128" s="2856">
        <v>0.1</v>
      </c>
      <c r="F128" s="2856">
        <v>15</v>
      </c>
    </row>
    <row r="129" spans="1:6" ht="24">
      <c r="A129" s="2856">
        <v>57</v>
      </c>
      <c r="B129" s="3479"/>
      <c r="C129" s="2856" t="s">
        <v>2774</v>
      </c>
      <c r="D129" s="2830" t="s">
        <v>2775</v>
      </c>
      <c r="E129" s="2856">
        <v>0.1</v>
      </c>
      <c r="F129" s="2856">
        <v>15</v>
      </c>
    </row>
    <row r="130" spans="1:6" ht="24">
      <c r="A130" s="2856">
        <v>58</v>
      </c>
      <c r="B130" s="3479" t="s">
        <v>2776</v>
      </c>
      <c r="C130" s="2856" t="s">
        <v>2777</v>
      </c>
      <c r="D130" s="2830" t="s">
        <v>2778</v>
      </c>
      <c r="E130" s="2856">
        <v>0.1</v>
      </c>
      <c r="F130" s="2856">
        <v>15</v>
      </c>
    </row>
    <row r="131" spans="1:6" ht="13.5">
      <c r="A131" s="2856">
        <v>59</v>
      </c>
      <c r="B131" s="3479"/>
      <c r="C131" s="2856" t="s">
        <v>2779</v>
      </c>
      <c r="D131" s="2830" t="s">
        <v>2780</v>
      </c>
      <c r="E131" s="2856">
        <v>0.1</v>
      </c>
      <c r="F131" s="2856">
        <v>15</v>
      </c>
    </row>
    <row r="132" spans="1:6" ht="13.5">
      <c r="A132" s="2856">
        <v>60</v>
      </c>
      <c r="B132" s="3480" t="s">
        <v>2781</v>
      </c>
      <c r="C132" s="2856" t="s">
        <v>2782</v>
      </c>
      <c r="D132" s="2830" t="s">
        <v>2783</v>
      </c>
      <c r="E132" s="2856">
        <v>0.1</v>
      </c>
      <c r="F132" s="2856">
        <v>15</v>
      </c>
    </row>
    <row r="133" spans="1:6" ht="13.5">
      <c r="A133" s="2856">
        <v>61</v>
      </c>
      <c r="B133" s="348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9" t="s">
        <v>2789</v>
      </c>
      <c r="C135" s="2856" t="s">
        <v>2790</v>
      </c>
      <c r="D135" s="2830" t="s">
        <v>2791</v>
      </c>
      <c r="E135" s="2856">
        <v>0.1</v>
      </c>
      <c r="F135" s="2856">
        <v>15</v>
      </c>
    </row>
    <row r="136" spans="1:6" ht="13.5">
      <c r="A136" s="2856">
        <v>64</v>
      </c>
      <c r="B136" s="3479"/>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27652</v>
      </c>
      <c r="C2" s="2" t="s">
        <v>106</v>
      </c>
      <c r="D2" s="191"/>
      <c r="E2" s="191"/>
      <c r="F2" s="191"/>
      <c r="G2" s="191"/>
    </row>
    <row r="3" spans="1:7" s="192" customFormat="1" ht="18" customHeight="1" thickBot="1">
      <c r="A3" s="195" t="s">
        <v>58</v>
      </c>
      <c r="B3" s="196">
        <f ca="1">ROUND(B2*10000/'数据-汇总表'!E3,0)</f>
        <v>118956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46</v>
      </c>
      <c r="D10" s="795">
        <f>'数据-汇总表'!E6</f>
        <v>2324.56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46</v>
      </c>
      <c r="D19" s="204">
        <f>'数据-汇总表'!E3</f>
        <v>2324.56</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3160</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3160</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26939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697</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46</v>
      </c>
      <c r="D37" s="209">
        <f>'数据-汇总表'!E3</f>
        <v>2324.56</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2.9999999999999997E-4</v>
      </c>
      <c r="D44" s="230"/>
      <c r="E44" s="230"/>
      <c r="F44" s="231"/>
      <c r="G44" s="3356"/>
    </row>
    <row r="45" spans="1:7" s="206" customFormat="1" ht="13.5" customHeight="1">
      <c r="A45" s="731" t="s">
        <v>341</v>
      </c>
      <c r="B45" s="236" t="s">
        <v>85</v>
      </c>
      <c r="C45" s="237">
        <f>C46</f>
        <v>121</v>
      </c>
      <c r="D45" s="227">
        <f>C47</f>
        <v>3.0000000000000001E-3</v>
      </c>
      <c r="E45" s="228" t="s">
        <v>102</v>
      </c>
      <c r="F45" s="238"/>
      <c r="G45" s="239" t="s">
        <v>434</v>
      </c>
    </row>
    <row r="46" spans="1:7" s="206" customFormat="1" ht="13.5" customHeight="1">
      <c r="A46" s="734" t="s">
        <v>349</v>
      </c>
      <c r="B46" s="240" t="s">
        <v>427</v>
      </c>
      <c r="C46" s="241">
        <f>ROUND((C33+C39)*F27,0)</f>
        <v>121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1019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713</v>
      </c>
      <c r="D51" s="224"/>
      <c r="E51" s="224"/>
      <c r="F51" s="256"/>
      <c r="G51" s="226" t="s">
        <v>37</v>
      </c>
    </row>
    <row r="52" spans="1:7" s="200" customFormat="1" ht="16.5" thickBot="1">
      <c r="A52" s="257" t="s">
        <v>38</v>
      </c>
      <c r="B52" s="258"/>
      <c r="C52" s="259">
        <f ca="1">C31+C51</f>
        <v>27652</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1" t="s">
        <v>3181</v>
      </c>
      <c r="B1" s="3491"/>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2" t="s">
        <v>3232</v>
      </c>
      <c r="B1" s="3492"/>
      <c r="C1" s="3492"/>
      <c r="D1" s="3492"/>
      <c r="E1" s="3492"/>
      <c r="F1" s="349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45790</v>
      </c>
      <c r="B1" s="2928" t="s">
        <v>3378</v>
      </c>
      <c r="C1" s="2929"/>
      <c r="D1" s="2929"/>
      <c r="E1" s="2929"/>
      <c r="F1" s="2929"/>
      <c r="G1" s="2929"/>
      <c r="H1" s="2929"/>
      <c r="I1" s="2929"/>
      <c r="J1" s="2895"/>
      <c r="K1" s="2929" t="s">
        <v>454</v>
      </c>
      <c r="L1" s="2929"/>
      <c r="M1" s="2929"/>
      <c r="N1" s="2929"/>
      <c r="O1" s="2929"/>
      <c r="P1" s="2929"/>
      <c r="Q1" s="2895"/>
      <c r="R1" s="3494" t="s">
        <v>456</v>
      </c>
      <c r="S1" s="3495"/>
      <c r="T1" s="3495"/>
      <c r="U1" s="3495"/>
      <c r="V1" s="3495"/>
      <c r="W1" s="3495"/>
      <c r="X1" s="2895"/>
      <c r="Y1" s="3494" t="s">
        <v>457</v>
      </c>
      <c r="Z1" s="3495"/>
      <c r="AA1" s="3495"/>
      <c r="AB1" s="3495"/>
      <c r="AC1" s="3495"/>
      <c r="AD1" s="3495"/>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5" customFormat="1" ht="12.75">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3381</v>
      </c>
    </row>
    <row r="27" spans="1:44">
      <c r="I27" s="1405" t="s">
        <v>2825</v>
      </c>
    </row>
    <row r="29" spans="1:44" s="2009" customFormat="1" ht="12.75">
      <c r="B29" s="2928" t="s">
        <v>3379</v>
      </c>
      <c r="C29" s="2929"/>
      <c r="D29" s="2929"/>
      <c r="E29" s="2929"/>
      <c r="F29" s="2929"/>
      <c r="G29" s="2929"/>
      <c r="H29" s="2929"/>
      <c r="I29" s="2929"/>
      <c r="J29" s="2895"/>
      <c r="K29" s="2929" t="s">
        <v>2826</v>
      </c>
      <c r="L29" s="2929"/>
      <c r="M29" s="2929"/>
      <c r="N29" s="2929"/>
      <c r="O29" s="2929"/>
      <c r="P29" s="2929"/>
      <c r="Q29" s="2895"/>
      <c r="R29" s="3494" t="s">
        <v>2827</v>
      </c>
      <c r="S29" s="3495"/>
      <c r="T29" s="3495"/>
      <c r="U29" s="3495"/>
      <c r="V29" s="3495"/>
      <c r="W29" s="3495"/>
      <c r="X29" s="2895"/>
      <c r="Y29" s="3494" t="s">
        <v>2828</v>
      </c>
      <c r="Z29" s="3495"/>
      <c r="AA29" s="3495"/>
      <c r="AB29" s="3495"/>
      <c r="AC29" s="3495"/>
      <c r="AD29" s="3495"/>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5" customFormat="1" ht="12.75">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7" t="s">
        <v>2839</v>
      </c>
      <c r="B1" s="3507"/>
      <c r="C1" s="3507"/>
      <c r="D1" s="3507"/>
      <c r="E1" s="3507"/>
      <c r="F1" s="3507"/>
      <c r="G1" s="350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86"/>
      <c r="B3" s="3186"/>
      <c r="C3" s="3186"/>
      <c r="D3" s="801" t="s">
        <v>925</v>
      </c>
      <c r="E3" s="801" t="s">
        <v>931</v>
      </c>
      <c r="F3" s="801" t="s">
        <v>925</v>
      </c>
      <c r="G3" s="801" t="s">
        <v>926</v>
      </c>
      <c r="H3" s="801" t="s">
        <v>925</v>
      </c>
      <c r="I3" s="801" t="s">
        <v>926</v>
      </c>
    </row>
    <row r="4" spans="1:9" ht="30">
      <c r="A4" s="1403" t="str">
        <f>项目基本情况!S2</f>
        <v>北京市丰台区方庄路5号房地产</v>
      </c>
      <c r="B4" s="801">
        <f>项目基本情况!C17</f>
        <v>2324.56</v>
      </c>
      <c r="C4" s="801">
        <f>项目基本情况!C18</f>
        <v>2322</v>
      </c>
      <c r="D4" s="801">
        <f>结果表!D118</f>
        <v>0</v>
      </c>
      <c r="E4" s="801">
        <f>结果表!E118</f>
        <v>0</v>
      </c>
      <c r="F4" s="801">
        <f>结果表!F118</f>
        <v>0</v>
      </c>
      <c r="G4" s="801">
        <f>结果表!G118</f>
        <v>0</v>
      </c>
      <c r="H4" s="801">
        <f ca="1">结果表!H118</f>
        <v>4579</v>
      </c>
      <c r="I4" s="801">
        <f ca="1">结果表!I118</f>
        <v>19697</v>
      </c>
    </row>
    <row r="5" spans="1:9" ht="30" customHeight="1">
      <c r="A5" s="3186" t="s">
        <v>927</v>
      </c>
      <c r="B5" s="3186"/>
      <c r="C5" s="3186"/>
      <c r="D5" s="3186" t="str">
        <f>结果表!D119</f>
        <v>零元整</v>
      </c>
      <c r="E5" s="3186"/>
      <c r="F5" s="3186" t="str">
        <f>结果表!F119</f>
        <v>零元整</v>
      </c>
      <c r="G5" s="3186"/>
      <c r="H5" s="3186" t="str">
        <f ca="1">结果表!H119</f>
        <v>肆仟伍佰柒拾玖万元整</v>
      </c>
      <c r="I5" s="3186"/>
    </row>
    <row r="6" spans="1:9" ht="15.75">
      <c r="A6" s="3185" t="str">
        <f>结果表!A120</f>
        <v>估价师知悉的法定优先受偿款</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75">
      <c r="A8" s="3185" t="str">
        <f>结果表!A122</f>
        <v>房地产抵押价值</v>
      </c>
      <c r="B8" s="3185"/>
      <c r="C8" s="3185"/>
      <c r="D8" s="3185">
        <f ca="1">结果表!D122</f>
        <v>4579</v>
      </c>
      <c r="E8" s="3185"/>
      <c r="F8" s="3185"/>
      <c r="G8" s="3185"/>
      <c r="H8" s="3185"/>
      <c r="I8" s="3185"/>
    </row>
    <row r="9" spans="1:9" ht="15">
      <c r="A9" s="3186" t="s">
        <v>927</v>
      </c>
      <c r="B9" s="3186"/>
      <c r="C9" s="3186"/>
      <c r="D9" s="3186" t="str">
        <f ca="1">结果表!D123</f>
        <v>肆仟伍佰柒拾玖万元整</v>
      </c>
      <c r="E9" s="3186"/>
      <c r="F9" s="3186"/>
      <c r="G9" s="3186"/>
      <c r="H9" s="3186"/>
      <c r="I9" s="3186"/>
    </row>
    <row r="10" spans="1:9" ht="15.75">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75">
      <c r="A12" s="3185" t="str">
        <f>结果表!A126</f>
        <v/>
      </c>
      <c r="B12" s="3185"/>
      <c r="C12" s="3185"/>
      <c r="D12" s="3185" t="str">
        <f>结果表!D126</f>
        <v>——</v>
      </c>
      <c r="E12" s="3185"/>
      <c r="F12" s="3185"/>
      <c r="G12" s="3185"/>
      <c r="H12" s="3185"/>
      <c r="I12" s="3185"/>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信息</vt:lpstr>
      <vt:lpstr>租金案例</vt:lpstr>
      <vt:lpstr>售价案例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2025-05-13T05:22:28Z</dcterms:modified>
</cp:coreProperties>
</file>