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D98" i="40" l="1"/>
  <c r="E98" i="40"/>
  <c r="F28" i="40"/>
  <c r="AA28" i="40"/>
  <c r="D96" i="40"/>
  <c r="F27" i="40"/>
  <c r="AA27" i="40"/>
  <c r="B77" i="40"/>
  <c r="F12" i="40"/>
  <c r="AA12" i="40"/>
  <c r="B79" i="40"/>
  <c r="F13" i="40"/>
  <c r="AA13" i="40"/>
  <c r="B81" i="40"/>
  <c r="F14" i="40"/>
  <c r="AA14" i="40"/>
  <c r="F30" i="40"/>
  <c r="AA30" i="40"/>
  <c r="B101" i="40"/>
  <c r="F31" i="40"/>
  <c r="AA31" i="40"/>
  <c r="B103" i="40"/>
  <c r="F32" i="40"/>
  <c r="AA32" i="40"/>
  <c r="B105" i="40"/>
  <c r="F33" i="40"/>
  <c r="AA33" i="40"/>
  <c r="B116" i="40"/>
  <c r="F38" i="40"/>
  <c r="AA38" i="40"/>
  <c r="B118" i="40"/>
  <c r="F39" i="40"/>
  <c r="AA39" i="40"/>
  <c r="B120" i="40"/>
  <c r="F40" i="40"/>
  <c r="AA40" i="40"/>
  <c r="G6" i="1"/>
  <c r="H28" i="40"/>
  <c r="AB28" i="40"/>
  <c r="H27" i="40"/>
  <c r="AB27" i="40"/>
  <c r="H12" i="40"/>
  <c r="AB12" i="40"/>
  <c r="H13" i="40"/>
  <c r="AB13" i="40"/>
  <c r="H14" i="40"/>
  <c r="AB14" i="40"/>
  <c r="H30" i="40"/>
  <c r="AB30" i="40"/>
  <c r="H31" i="40"/>
  <c r="AB31" i="40"/>
  <c r="H32" i="40"/>
  <c r="AB32" i="40"/>
  <c r="H33" i="40"/>
  <c r="AB33" i="40"/>
  <c r="H38" i="40"/>
  <c r="AB38" i="40"/>
  <c r="H39" i="40"/>
  <c r="AB39" i="40"/>
  <c r="H40" i="40"/>
  <c r="AB40" i="40"/>
  <c r="J28" i="40"/>
  <c r="AC28" i="40"/>
  <c r="J27" i="40"/>
  <c r="AC27" i="40"/>
  <c r="J12" i="40"/>
  <c r="AC12" i="40"/>
  <c r="J13" i="40"/>
  <c r="AC13" i="40"/>
  <c r="J14" i="40"/>
  <c r="AC14" i="40"/>
  <c r="J30" i="40"/>
  <c r="AC30" i="40"/>
  <c r="J31" i="40"/>
  <c r="AC31" i="40"/>
  <c r="J32" i="40"/>
  <c r="AC32" i="40"/>
  <c r="J33" i="40"/>
  <c r="AC33" i="40"/>
  <c r="J38" i="40"/>
  <c r="AC38" i="40"/>
  <c r="J39" i="40"/>
  <c r="AC39" i="40"/>
  <c r="J40" i="40"/>
  <c r="AC40" i="40"/>
  <c r="I13" i="3"/>
  <c r="A3" i="3"/>
  <c r="C10" i="40"/>
  <c r="N6" i="1"/>
  <c r="F19" i="6"/>
  <c r="C19" i="6"/>
  <c r="A6" i="1" s="1"/>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W33" i="40"/>
  <c r="D100" i="40"/>
  <c r="E100" i="40"/>
  <c r="F100" i="40"/>
  <c r="G100" i="40"/>
  <c r="H100" i="40"/>
  <c r="I100" i="40"/>
  <c r="J100" i="40"/>
  <c r="K100" i="40"/>
  <c r="L100" i="40"/>
  <c r="M100" i="40"/>
  <c r="E96" i="40"/>
  <c r="F96" i="40"/>
  <c r="G96" i="40"/>
  <c r="H96" i="40"/>
  <c r="I96" i="40"/>
  <c r="J96" i="40"/>
  <c r="K96" i="40"/>
  <c r="L96" i="40"/>
  <c r="M96" i="40"/>
  <c r="B95" i="40"/>
  <c r="D92" i="40"/>
  <c r="E92" i="40"/>
  <c r="D90" i="40"/>
  <c r="E90" i="40"/>
  <c r="D88" i="40"/>
  <c r="E88" i="40"/>
  <c r="F88" i="40"/>
  <c r="G88" i="40"/>
  <c r="D86" i="40"/>
  <c r="E86" i="40"/>
  <c r="D84" i="40"/>
  <c r="E84" i="40"/>
  <c r="F84" i="40"/>
  <c r="G84" i="40"/>
  <c r="M74" i="40"/>
  <c r="L74" i="40"/>
  <c r="K74" i="40"/>
  <c r="J74" i="40"/>
  <c r="I74" i="40"/>
  <c r="H74" i="40"/>
  <c r="G74" i="40"/>
  <c r="F74" i="40"/>
  <c r="E74" i="40"/>
  <c r="D74" i="40"/>
  <c r="C74" i="40"/>
  <c r="P43" i="40"/>
  <c r="P42" i="40"/>
  <c r="V41" i="40"/>
  <c r="T41" i="40"/>
  <c r="R41"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c r="AC29" i="35"/>
  <c r="W29" i="35"/>
  <c r="H35" i="37"/>
  <c r="U35" i="37"/>
  <c r="AC14" i="35"/>
  <c r="H20" i="35"/>
  <c r="U20" i="35"/>
  <c r="F20" i="35"/>
  <c r="AA20" i="35"/>
  <c r="AB23" i="35"/>
  <c r="AB29" i="36"/>
  <c r="U29" i="36"/>
  <c r="H32" i="37"/>
  <c r="AB32" i="37"/>
  <c r="F96" i="37"/>
  <c r="U27" i="40"/>
  <c r="S27"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3" i="6"/>
  <c r="E58" i="40"/>
  <c r="G29" i="6"/>
  <c r="E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J51" i="67"/>
  <c r="C42" i="1"/>
  <c r="C77" i="9"/>
  <c r="C74" i="9"/>
  <c r="H100" i="43"/>
  <c r="C30" i="66"/>
  <c r="E26" i="66"/>
  <c r="AC34" i="33"/>
  <c r="AA34" i="33"/>
  <c r="B41" i="1"/>
  <c r="F53" i="9"/>
  <c r="S22" i="31"/>
  <c r="J100" i="43"/>
  <c r="AB37" i="40"/>
  <c r="S35" i="40"/>
  <c r="AC36" i="40"/>
  <c r="W38" i="40"/>
  <c r="AC15"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G30" i="6"/>
  <c r="G31" i="6"/>
  <c r="J56" i="9"/>
  <c r="J57" i="9"/>
  <c r="A24" i="51"/>
  <c r="B18" i="72"/>
  <c r="U29" i="34"/>
  <c r="E14" i="6"/>
  <c r="E64" i="39"/>
  <c r="E5" i="6"/>
  <c r="D9" i="11"/>
  <c r="C9" i="11"/>
  <c r="E32" i="6"/>
  <c r="L19" i="6"/>
  <c r="K1" i="12"/>
  <c r="F30" i="6"/>
  <c r="F31" i="6"/>
  <c r="E28" i="6"/>
  <c r="E57" i="40"/>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K11" i="1"/>
  <c r="M11" i="1"/>
  <c r="AP6" i="1"/>
  <c r="B9" i="1"/>
  <c r="E9" i="1"/>
  <c r="K7" i="1"/>
  <c r="G1" i="69"/>
  <c r="U32" i="40"/>
  <c r="S37" i="40"/>
  <c r="W28" i="40"/>
  <c r="W19" i="40"/>
  <c r="W27" i="40"/>
  <c r="S36" i="40"/>
  <c r="W37" i="40"/>
  <c r="S13" i="40"/>
  <c r="S33" i="40"/>
  <c r="AA15"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O6" i="1"/>
  <c r="P6" i="1"/>
  <c r="E63" i="39"/>
  <c r="T11" i="1"/>
  <c r="D9" i="69"/>
  <c r="C9" i="69" s="1"/>
  <c r="D19" i="12"/>
  <c r="C19" i="12" s="1"/>
  <c r="AR11" i="1"/>
  <c r="T13" i="1"/>
  <c r="E528" i="3"/>
  <c r="E563" i="3"/>
  <c r="E565" i="3"/>
  <c r="E395" i="3"/>
  <c r="E183" i="3"/>
  <c r="E172" i="3"/>
  <c r="E213" i="3"/>
  <c r="E260" i="3"/>
  <c r="E361" i="3"/>
  <c r="E445" i="3"/>
  <c r="E17" i="3"/>
  <c r="E550" i="3"/>
  <c r="E503" i="3"/>
  <c r="E535" i="3"/>
  <c r="E302" i="3"/>
  <c r="D9" i="68"/>
  <c r="C9" i="68" s="1"/>
  <c r="K20" i="6"/>
  <c r="S7" i="1"/>
  <c r="T7" i="1" s="1"/>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24" i="6"/>
  <c r="M24" i="6"/>
  <c r="I24" i="6"/>
  <c r="H24" i="6" s="1"/>
  <c r="R24" i="6" s="1"/>
  <c r="K14" i="1"/>
  <c r="M14" i="1"/>
  <c r="BL5" i="3"/>
  <c r="J59" i="9"/>
  <c r="J61" i="9"/>
  <c r="K21" i="6"/>
  <c r="M21" i="6"/>
  <c r="I21" i="6"/>
  <c r="H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s="1"/>
  <c r="H26" i="6" s="1"/>
  <c r="R26" i="6" s="1"/>
  <c r="K22" i="6"/>
  <c r="M22" i="6"/>
  <c r="K19" i="6"/>
  <c r="K25" i="6"/>
  <c r="M25" i="6"/>
  <c r="I25" i="6"/>
  <c r="H25" i="6" s="1"/>
  <c r="K23" i="6"/>
  <c r="M23" i="6"/>
  <c r="I23" i="6" s="1"/>
  <c r="H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2" i="37"/>
  <c r="E48" i="35"/>
  <c r="E59" i="34"/>
  <c r="F59" i="34"/>
  <c r="C65" i="40"/>
  <c r="D63" i="40"/>
  <c r="E63" i="40"/>
  <c r="M19" i="6"/>
  <c r="M20" i="6"/>
  <c r="I20" i="6" s="1"/>
  <c r="S20" i="6" s="1"/>
  <c r="AP7" i="1"/>
  <c r="C36" i="69" s="1"/>
  <c r="AB45" i="21"/>
  <c r="AC33" i="21"/>
  <c r="W33" i="21"/>
  <c r="S33" i="21"/>
  <c r="AA33" i="21"/>
  <c r="W32" i="21"/>
  <c r="AC32" i="21"/>
  <c r="AB9" i="21"/>
  <c r="U9" i="21"/>
  <c r="AA32" i="21"/>
  <c r="S32" i="21"/>
  <c r="W9" i="21"/>
  <c r="AC9" i="21"/>
  <c r="AB32" i="21"/>
  <c r="U32" i="21"/>
  <c r="AA10" i="21"/>
  <c r="S10" i="21"/>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96" i="3"/>
  <c r="AY74" i="3"/>
  <c r="AY204" i="3"/>
  <c r="AY363" i="3"/>
  <c r="AY412" i="3"/>
  <c r="AY229" i="3"/>
  <c r="AY326" i="3"/>
  <c r="AY557"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8" i="4"/>
  <c r="C4" i="52"/>
  <c r="B45" i="72"/>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D65" i="40"/>
  <c r="I19" i="6"/>
  <c r="H19" i="6" s="1"/>
  <c r="F1" i="67"/>
  <c r="Q52" i="67"/>
  <c r="AC11" i="37"/>
  <c r="W11" i="37"/>
  <c r="W11" i="34"/>
  <c r="AC11" i="34"/>
  <c r="R7" i="1"/>
  <c r="E59" i="40"/>
  <c r="E60" i="40"/>
  <c r="E61" i="40"/>
  <c r="F34" i="11"/>
  <c r="C36" i="11" s="1"/>
  <c r="F11" i="12"/>
  <c r="C23" i="12" s="1"/>
  <c r="F34" i="68"/>
  <c r="C36" i="68" s="1"/>
  <c r="F63" i="40"/>
  <c r="E65" i="40"/>
  <c r="R8" i="1"/>
  <c r="G63" i="40"/>
  <c r="F65" i="40"/>
  <c r="H63" i="40"/>
  <c r="G65" i="40"/>
  <c r="I63" i="40"/>
  <c r="H65" i="40"/>
  <c r="J63" i="40"/>
  <c r="I65" i="40"/>
  <c r="K63" i="40"/>
  <c r="L63" i="40"/>
  <c r="J65" i="40"/>
  <c r="K65" i="40"/>
  <c r="AE7" i="1"/>
  <c r="AE8" i="1"/>
  <c r="AG6" i="1"/>
  <c r="H109" i="9"/>
  <c r="F30" i="68"/>
  <c r="C30" i="68"/>
  <c r="D10" i="68"/>
  <c r="C10" i="68" s="1"/>
  <c r="C48" i="68"/>
  <c r="F32" i="15"/>
  <c r="F28" i="15"/>
  <c r="C28" i="15"/>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AY103" i="3"/>
  <c r="AY50" i="3"/>
  <c r="AY160" i="3"/>
  <c r="AY289" i="3"/>
  <c r="AY183" i="3"/>
  <c r="AY261" i="3"/>
  <c r="AY284" i="3"/>
  <c r="AY209" i="3"/>
  <c r="AY319" i="3"/>
  <c r="AY455" i="3"/>
  <c r="AY497" i="3"/>
  <c r="AY116" i="3"/>
  <c r="AY212" i="3"/>
  <c r="AY343" i="3"/>
  <c r="AY478" i="3"/>
  <c r="AY417" i="3"/>
  <c r="AY573"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AY572" i="3"/>
  <c r="AY580" i="3"/>
  <c r="AY503" i="3"/>
  <c r="AY419" i="3"/>
  <c r="AY406" i="3"/>
  <c r="AY438" i="3"/>
  <c r="AY449" i="3"/>
  <c r="AY480" i="3"/>
  <c r="AY483" i="3"/>
  <c r="AY324" i="3"/>
  <c r="AY309" i="3"/>
  <c r="AY341" i="3"/>
  <c r="AY370" i="3"/>
  <c r="AY215" i="3"/>
  <c r="AY258" i="3"/>
  <c r="AY275" i="3"/>
  <c r="AY121" i="3"/>
  <c r="AY161" i="3"/>
  <c r="AY181" i="3"/>
  <c r="AY29" i="3"/>
  <c r="AY72" i="3"/>
  <c r="BB6" i="3"/>
  <c r="AY368" i="3"/>
  <c r="AY384" i="3"/>
  <c r="AY238" i="3"/>
  <c r="AY255" i="3"/>
  <c r="AY291" i="3"/>
  <c r="AY141" i="3"/>
  <c r="AY162" i="3"/>
  <c r="AY198" i="3"/>
  <c r="AY52" i="3"/>
  <c r="AY69" i="3"/>
  <c r="AY105" i="3"/>
  <c r="AY540" i="3"/>
  <c r="AY436" i="3"/>
  <c r="AY379" i="3"/>
  <c r="AY43" i="3"/>
  <c r="AY489" i="3"/>
  <c r="AY252" i="3"/>
  <c r="AY123" i="3"/>
  <c r="AY139" i="3"/>
  <c r="AY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L19" i="9"/>
  <c r="M19" i="9"/>
  <c r="C118" i="9"/>
  <c r="C14" i="74" s="1"/>
  <c r="B2" i="74" s="1"/>
  <c r="C34" i="40"/>
  <c r="F25" i="40"/>
  <c r="AA25" i="40" s="1"/>
  <c r="H25" i="40"/>
  <c r="AB25" i="40" s="1"/>
  <c r="J25" i="40"/>
  <c r="AC25" i="40" s="1"/>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W32" i="40"/>
  <c r="U25" i="40"/>
  <c r="U23" i="40"/>
  <c r="AC21" i="40"/>
  <c r="AC17" i="40"/>
  <c r="W35" i="40"/>
  <c r="U9" i="40"/>
  <c r="AA9" i="40"/>
  <c r="G17" i="43"/>
  <c r="C16" i="43"/>
  <c r="C94" i="9"/>
  <c r="C92" i="9"/>
  <c r="M18" i="15"/>
  <c r="F31" i="12"/>
  <c r="C31" i="12"/>
  <c r="F30" i="69"/>
  <c r="C48" i="69"/>
  <c r="F30" i="11"/>
  <c r="C48" i="11"/>
  <c r="F54" i="9"/>
  <c r="F60" i="15"/>
  <c r="F32" i="67"/>
  <c r="F60" i="67"/>
  <c r="F28" i="67"/>
  <c r="C28" i="67"/>
  <c r="C13" i="12"/>
  <c r="D68" i="9"/>
  <c r="C24" i="12"/>
  <c r="M18" i="67"/>
  <c r="F52" i="9"/>
  <c r="I22" i="6"/>
  <c r="M27" i="6"/>
  <c r="M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E30" i="6"/>
  <c r="E31" i="6"/>
  <c r="E3"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G101" i="43"/>
  <c r="J101" i="43"/>
  <c r="H22" i="43"/>
  <c r="H101" i="43"/>
  <c r="G22" i="43"/>
  <c r="D22" i="43"/>
  <c r="S22" i="6"/>
  <c r="S26" i="6"/>
  <c r="O14" i="1"/>
  <c r="P14" i="1"/>
  <c r="S23" i="6"/>
  <c r="S25" i="6"/>
  <c r="S21" i="6"/>
  <c r="S24" i="6"/>
  <c r="O11" i="1"/>
  <c r="P11" i="1"/>
  <c r="O9" i="1"/>
  <c r="P9" i="1"/>
  <c r="E65" i="39"/>
  <c r="E66" i="39"/>
  <c r="E16" i="6"/>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AB3" i="71"/>
  <c r="X3" i="71"/>
  <c r="C7" i="71"/>
  <c r="E7" i="71"/>
  <c r="E6" i="71"/>
  <c r="E5" i="71"/>
  <c r="E10" i="49"/>
  <c r="E14" i="49"/>
  <c r="AF3" i="71"/>
  <c r="P24" i="43"/>
  <c r="B66" i="40"/>
  <c r="P21" i="43"/>
  <c r="P22" i="43"/>
  <c r="B9" i="49"/>
  <c r="E16" i="49"/>
  <c r="B10" i="49"/>
  <c r="E8" i="49"/>
  <c r="B8" i="49"/>
  <c r="E21" i="49"/>
  <c r="B11" i="49"/>
  <c r="B16" i="49"/>
  <c r="E15" i="49"/>
  <c r="B22" i="49"/>
  <c r="K1" i="73"/>
  <c r="M17" i="15"/>
  <c r="M17" i="67"/>
  <c r="F31" i="67"/>
  <c r="F59" i="67"/>
  <c r="F59" i="15"/>
  <c r="F31" i="15"/>
  <c r="H34" i="40"/>
  <c r="J34" i="40"/>
  <c r="F34" i="40"/>
  <c r="H22" i="6"/>
  <c r="R22" i="6" s="1"/>
  <c r="AA23" i="40"/>
  <c r="S23" i="40"/>
  <c r="AC23" i="40"/>
  <c r="W23" i="40"/>
  <c r="AB21" i="40"/>
  <c r="U21" i="40"/>
  <c r="AA21" i="40"/>
  <c r="S21" i="40"/>
  <c r="U17" i="40"/>
  <c r="AB17" i="40"/>
  <c r="AA17" i="40"/>
  <c r="S17" i="40"/>
  <c r="C5" i="43"/>
  <c r="D5" i="43"/>
  <c r="C30" i="69"/>
  <c r="C30" i="11"/>
  <c r="O7" i="1"/>
  <c r="P7" i="1"/>
  <c r="D3" i="21"/>
  <c r="D19" i="11"/>
  <c r="C19" i="11"/>
  <c r="C20" i="11"/>
  <c r="C17" i="4"/>
  <c r="L18" i="9"/>
  <c r="D3" i="37"/>
  <c r="D3" i="34"/>
  <c r="E6" i="6"/>
  <c r="D37" i="11"/>
  <c r="C37" i="11"/>
  <c r="M18" i="9"/>
  <c r="B118" i="9" s="1"/>
  <c r="B14" i="74" s="1"/>
  <c r="B1" i="74" s="1"/>
  <c r="H20" i="6"/>
  <c r="D19" i="6"/>
  <c r="D26" i="6"/>
  <c r="D8" i="6"/>
  <c r="D23" i="6"/>
  <c r="R23" i="6"/>
  <c r="D14" i="6"/>
  <c r="D5" i="6"/>
  <c r="D12" i="6"/>
  <c r="D11" i="6"/>
  <c r="D13" i="6"/>
  <c r="D28" i="6"/>
  <c r="D3" i="33"/>
  <c r="D14" i="12"/>
  <c r="C14" i="12" s="1"/>
  <c r="D9" i="6"/>
  <c r="D10" i="6"/>
  <c r="D29" i="6"/>
  <c r="D25" i="6"/>
  <c r="R25" i="6"/>
  <c r="D22" i="6"/>
  <c r="D24" i="6"/>
  <c r="D15" i="6"/>
  <c r="D21" i="6"/>
  <c r="R21" i="6"/>
  <c r="D20"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AC34" i="40"/>
  <c r="W34" i="40"/>
  <c r="AA34" i="40"/>
  <c r="S34" i="40"/>
  <c r="AB34" i="40"/>
  <c r="U34" i="40"/>
  <c r="R20" i="6"/>
  <c r="O16" i="1"/>
  <c r="D30" i="6"/>
  <c r="D16" i="6"/>
  <c r="D27" i="6"/>
  <c r="D31" i="6"/>
  <c r="D10" i="11"/>
  <c r="C10" i="11"/>
  <c r="D20" i="12"/>
  <c r="C20" i="12" s="1"/>
  <c r="D6" i="6"/>
  <c r="D10" i="69"/>
  <c r="C10" i="69" s="1"/>
  <c r="C8" i="69" s="1"/>
  <c r="B4" i="52"/>
  <c r="B43" i="72"/>
  <c r="A7" i="51"/>
  <c r="B7" i="72"/>
  <c r="A10" i="51"/>
  <c r="B9" i="72"/>
  <c r="C115" i="43"/>
  <c r="D113" i="43"/>
  <c r="S3" i="43"/>
  <c r="S2" i="43"/>
  <c r="S6" i="43"/>
  <c r="S7" i="43"/>
  <c r="C23" i="43"/>
  <c r="C21" i="43"/>
  <c r="S5" i="43"/>
  <c r="S4" i="43"/>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I5" i="6"/>
  <c r="I6" i="6"/>
  <c r="C11" i="40"/>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H11" i="40"/>
  <c r="F11" i="40"/>
  <c r="J11" i="40"/>
  <c r="C19" i="68"/>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W11" i="40"/>
  <c r="AC11" i="40"/>
  <c r="AB11" i="40"/>
  <c r="U11" i="40"/>
  <c r="AA11"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E40" i="36"/>
  <c r="F40" i="36"/>
  <c r="E41" i="36"/>
  <c r="F41" i="36"/>
  <c r="I41" i="36"/>
  <c r="J41" i="36"/>
  <c r="C50" i="34"/>
  <c r="C49" i="34"/>
  <c r="L48" i="35"/>
  <c r="C36" i="36"/>
  <c r="C37" i="36"/>
  <c r="E54" i="34"/>
  <c r="F54" i="34"/>
  <c r="E53" i="34"/>
  <c r="F53" i="34"/>
  <c r="I54" i="34"/>
  <c r="J54" i="34"/>
  <c r="J68" i="39"/>
  <c r="I70" i="39"/>
  <c r="B3" i="43"/>
  <c r="J7" i="35"/>
  <c r="K68" i="39"/>
  <c r="J70" i="39"/>
  <c r="M48" i="35"/>
  <c r="N48" i="35"/>
  <c r="O48" i="35"/>
  <c r="H7" i="35"/>
  <c r="F7" i="35"/>
  <c r="U7" i="35"/>
  <c r="AB7" i="35"/>
  <c r="T38" i="35"/>
  <c r="G38" i="35"/>
  <c r="AA7" i="35"/>
  <c r="R38" i="35"/>
  <c r="S7" i="35"/>
  <c r="L68" i="39"/>
  <c r="K70" i="39"/>
  <c r="W7" i="35"/>
  <c r="AC7" i="35"/>
  <c r="V38" i="35"/>
  <c r="I38" i="35"/>
  <c r="M68" i="39"/>
  <c r="L70" i="39"/>
  <c r="I42" i="35"/>
  <c r="J42" i="35"/>
  <c r="G42" i="35"/>
  <c r="H42" i="35"/>
  <c r="G43" i="35"/>
  <c r="H43" i="35"/>
  <c r="E38" i="35"/>
  <c r="R39" i="35"/>
  <c r="E43" i="35"/>
  <c r="F43" i="35"/>
  <c r="E42" i="35"/>
  <c r="F42" i="35"/>
  <c r="N68" i="39"/>
  <c r="M70" i="39"/>
  <c r="C38" i="35"/>
  <c r="C39" i="35"/>
  <c r="I43" i="35"/>
  <c r="J43" i="35"/>
  <c r="O68" i="39"/>
  <c r="O70" i="39"/>
  <c r="N70" i="39"/>
  <c r="F7" i="39"/>
  <c r="J7" i="39"/>
  <c r="H7" i="39"/>
  <c r="AB7" i="39"/>
  <c r="T47" i="39"/>
  <c r="G47" i="39" s="1"/>
  <c r="G51" i="39" s="1"/>
  <c r="H51" i="39" s="1"/>
  <c r="U7" i="39"/>
  <c r="AC7" i="39"/>
  <c r="V47" i="39"/>
  <c r="I47" i="39" s="1"/>
  <c r="W7" i="39"/>
  <c r="S7" i="39"/>
  <c r="AA7" i="39"/>
  <c r="R47" i="39"/>
  <c r="I51" i="39"/>
  <c r="J51" i="39" s="1"/>
  <c r="E47" i="39"/>
  <c r="R48" i="39"/>
  <c r="E51" i="39"/>
  <c r="F51" i="39" s="1"/>
  <c r="C48" i="39"/>
  <c r="B59" i="39" s="1"/>
  <c r="F59" i="39" s="1"/>
  <c r="C47" i="39"/>
  <c r="I52" i="39"/>
  <c r="J52" i="39" s="1"/>
  <c r="B61" i="39"/>
  <c r="F61" i="39" s="1"/>
  <c r="B56" i="39"/>
  <c r="F56" i="39" s="1"/>
  <c r="F66" i="39" s="1"/>
  <c r="B2" i="39" s="1"/>
  <c r="B3" i="39" s="1"/>
  <c r="F4" i="73"/>
  <c r="D4" i="73"/>
  <c r="D2" i="21"/>
  <c r="AO12" i="1"/>
  <c r="E8" i="76"/>
  <c r="D5" i="73"/>
  <c r="F20" i="31"/>
  <c r="D7" i="73"/>
  <c r="E11" i="76"/>
  <c r="D3" i="73"/>
  <c r="E6" i="76"/>
  <c r="B13" i="76"/>
  <c r="AO11" i="1"/>
  <c r="D2" i="36"/>
  <c r="F7" i="73"/>
  <c r="B10" i="76"/>
  <c r="AO9" i="1"/>
  <c r="AO13" i="1"/>
  <c r="D2" i="37"/>
  <c r="E9" i="76"/>
  <c r="B8" i="76"/>
  <c r="AO10" i="1"/>
  <c r="E2" i="68"/>
  <c r="E12" i="76"/>
  <c r="B12" i="76"/>
  <c r="AO7" i="1"/>
  <c r="E2" i="69"/>
  <c r="D6" i="73"/>
  <c r="D2" i="33"/>
  <c r="B11" i="76"/>
  <c r="E10" i="76"/>
  <c r="AO8" i="1"/>
  <c r="D2" i="34"/>
  <c r="F3" i="73"/>
  <c r="D2" i="35"/>
  <c r="F6" i="73"/>
  <c r="B9" i="76"/>
  <c r="B7" i="76"/>
  <c r="E13" i="76"/>
  <c r="E7" i="76"/>
  <c r="F5" i="73"/>
  <c r="B6" i="76"/>
  <c r="D17" i="12" l="1"/>
  <c r="C17" i="12" s="1"/>
  <c r="C40" i="68"/>
  <c r="C7" i="74"/>
  <c r="C8" i="74"/>
  <c r="D8" i="74"/>
  <c r="D7" i="74"/>
  <c r="H27" i="6"/>
  <c r="R19" i="6"/>
  <c r="G52" i="39"/>
  <c r="H52" i="39" s="1"/>
  <c r="B62" i="39"/>
  <c r="F62" i="39" s="1"/>
  <c r="B57" i="39"/>
  <c r="F57" i="39" s="1"/>
  <c r="B64" i="39"/>
  <c r="F64" i="39" s="1"/>
  <c r="B58" i="39"/>
  <c r="F58" i="39" s="1"/>
  <c r="B60" i="39"/>
  <c r="F60" i="39" s="1"/>
  <c r="B63" i="39"/>
  <c r="F63" i="39" s="1"/>
  <c r="B65" i="39"/>
  <c r="F65" i="39" s="1"/>
  <c r="E52" i="39"/>
  <c r="F52" i="39" s="1"/>
  <c r="AR7" i="1"/>
  <c r="AR9" i="1"/>
  <c r="AQ9" i="1"/>
  <c r="T9" i="1"/>
  <c r="S19" i="6"/>
  <c r="S27" i="6" s="1"/>
  <c r="I27" i="6"/>
  <c r="P16" i="1"/>
  <c r="C11" i="12" s="1"/>
  <c r="C15" i="12" s="1"/>
  <c r="AR8" i="1"/>
  <c r="T8" i="1"/>
  <c r="L27" i="6"/>
  <c r="F3" i="35"/>
  <c r="K6" i="1"/>
  <c r="G1" i="68"/>
  <c r="G1" i="15"/>
  <c r="G1" i="67"/>
  <c r="S6" i="1"/>
  <c r="AR10" i="1"/>
  <c r="K10" i="1"/>
  <c r="M10" i="1" s="1"/>
  <c r="D19" i="68"/>
  <c r="D37" i="68" s="1"/>
  <c r="C37" i="68" s="1"/>
  <c r="W25" i="40"/>
  <c r="S25" i="40"/>
  <c r="D19" i="69"/>
  <c r="D37" i="69" s="1"/>
  <c r="C37" i="69" s="1"/>
  <c r="E9" i="49"/>
  <c r="E13" i="49"/>
  <c r="B14" i="49"/>
  <c r="E4" i="49"/>
  <c r="B5" i="49"/>
  <c r="E5" i="49"/>
  <c r="E6" i="49"/>
  <c r="E11" i="49"/>
  <c r="E22" i="49"/>
  <c r="B4" i="49"/>
  <c r="B6" i="49"/>
  <c r="B15" i="49"/>
  <c r="B7" i="49"/>
  <c r="C4" i="4" s="1"/>
  <c r="B13" i="49"/>
  <c r="E4" i="4" s="1"/>
  <c r="B5" i="62" s="1"/>
  <c r="B73" i="72" s="1"/>
  <c r="B2" i="76"/>
  <c r="E2" i="76"/>
  <c r="B10" i="70"/>
  <c r="B2" i="35"/>
  <c r="B3" i="35" s="1"/>
  <c r="B7" i="70"/>
  <c r="B20" i="31"/>
  <c r="B2" i="37"/>
  <c r="B3" i="37" s="1"/>
  <c r="B2" i="34"/>
  <c r="B3" i="34" s="1"/>
  <c r="B13" i="70"/>
  <c r="B9" i="70"/>
  <c r="B12" i="70"/>
  <c r="B8" i="70"/>
  <c r="B2" i="36"/>
  <c r="B3" i="36" s="1"/>
  <c r="B2" i="21"/>
  <c r="B3" i="21" s="1"/>
  <c r="B11" i="70"/>
  <c r="E20" i="43"/>
  <c r="B2" i="33"/>
  <c r="B3" i="33" s="1"/>
  <c r="I1" i="73"/>
  <c r="B39" i="1" s="1"/>
  <c r="J15" i="15"/>
  <c r="F43" i="15"/>
  <c r="M28" i="15"/>
  <c r="M9" i="15"/>
  <c r="M23" i="15"/>
  <c r="M22" i="15"/>
  <c r="F42" i="15"/>
  <c r="F36" i="15"/>
  <c r="F7" i="15"/>
  <c r="F26" i="15"/>
  <c r="F8" i="15"/>
  <c r="M29" i="15"/>
  <c r="L47" i="15"/>
  <c r="F38" i="15"/>
  <c r="F6" i="15"/>
  <c r="C76" i="15"/>
  <c r="L48" i="15"/>
  <c r="F13" i="15"/>
  <c r="C14" i="15"/>
  <c r="F40" i="15"/>
  <c r="F9" i="15"/>
  <c r="M6" i="15"/>
  <c r="F37" i="15"/>
  <c r="F16" i="15"/>
  <c r="M26" i="15"/>
  <c r="M27" i="15"/>
  <c r="M24" i="15"/>
  <c r="M8" i="15"/>
  <c r="F37" i="67"/>
  <c r="M29" i="67"/>
  <c r="F26" i="67"/>
  <c r="J15" i="67"/>
  <c r="M6" i="67"/>
  <c r="F7" i="67"/>
  <c r="F9" i="67"/>
  <c r="M24" i="67"/>
  <c r="M28" i="67"/>
  <c r="M23" i="67"/>
  <c r="F6" i="67"/>
  <c r="M21" i="67"/>
  <c r="M26" i="67"/>
  <c r="F35" i="67"/>
  <c r="F41" i="67"/>
  <c r="F13" i="67"/>
  <c r="F16" i="67"/>
  <c r="F43" i="67"/>
  <c r="M8" i="67"/>
  <c r="C76" i="67"/>
  <c r="M27" i="67"/>
  <c r="F8" i="67"/>
  <c r="M22" i="67"/>
  <c r="F36" i="67"/>
  <c r="L47" i="67"/>
  <c r="F38" i="67"/>
  <c r="M9" i="67"/>
  <c r="F42" i="67"/>
  <c r="F40" i="67"/>
  <c r="L48" i="67"/>
  <c r="C14" i="67"/>
  <c r="G1" i="73"/>
  <c r="C16" i="67"/>
  <c r="C17" i="67"/>
  <c r="C17" i="15"/>
  <c r="C16" i="15"/>
  <c r="C12" i="12" l="1"/>
  <c r="C16" i="12" s="1"/>
  <c r="J57" i="67"/>
  <c r="J55" i="67" s="1"/>
  <c r="J58" i="67" s="1"/>
  <c r="Q50" i="67" s="1"/>
  <c r="L56" i="67"/>
  <c r="I54" i="67"/>
  <c r="F68" i="67"/>
  <c r="F70" i="67"/>
  <c r="F66" i="67"/>
  <c r="L59" i="67"/>
  <c r="Q61" i="67" s="1"/>
  <c r="M59" i="67"/>
  <c r="N59" i="67"/>
  <c r="L58" i="67"/>
  <c r="F64" i="67"/>
  <c r="F51" i="67"/>
  <c r="Q71" i="67"/>
  <c r="F71" i="67"/>
  <c r="F69" i="67"/>
  <c r="F63" i="67"/>
  <c r="C62" i="67" s="1"/>
  <c r="C34" i="67"/>
  <c r="J20" i="67"/>
  <c r="C6" i="67"/>
  <c r="M7" i="67"/>
  <c r="F50" i="67"/>
  <c r="J6" i="67"/>
  <c r="C27" i="67"/>
  <c r="F65" i="67"/>
  <c r="F65" i="15"/>
  <c r="F68" i="15"/>
  <c r="C15" i="15"/>
  <c r="C18" i="15"/>
  <c r="J53" i="15"/>
  <c r="F1" i="15" s="1"/>
  <c r="I54" i="15"/>
  <c r="L56" i="15"/>
  <c r="J57" i="15"/>
  <c r="J55" i="15" s="1"/>
  <c r="J58" i="15" s="1"/>
  <c r="Q50" i="15" s="1"/>
  <c r="L57" i="15"/>
  <c r="L60" i="15"/>
  <c r="Q71" i="15"/>
  <c r="C6" i="15"/>
  <c r="F66" i="15"/>
  <c r="L59" i="15"/>
  <c r="Q61" i="15" s="1"/>
  <c r="N59" i="15"/>
  <c r="L58" i="15"/>
  <c r="Q60" i="15" s="1"/>
  <c r="M59" i="15"/>
  <c r="F51" i="15"/>
  <c r="C27" i="15"/>
  <c r="M7" i="15"/>
  <c r="J6" i="15" s="1"/>
  <c r="F50" i="15"/>
  <c r="F64" i="15"/>
  <c r="F71" i="15"/>
  <c r="S16" i="1"/>
  <c r="T6" i="1"/>
  <c r="T16" i="1" s="1"/>
  <c r="AR6" i="1"/>
  <c r="AQ6" i="1"/>
  <c r="G16" i="1"/>
  <c r="E6" i="70"/>
  <c r="E2" i="70" s="1"/>
  <c r="Q16" i="1"/>
  <c r="K16" i="1"/>
  <c r="B29" i="1" s="1"/>
  <c r="M6" i="1"/>
  <c r="M16" i="1" s="1"/>
  <c r="C34" i="69"/>
  <c r="H16" i="1"/>
  <c r="R27" i="6"/>
  <c r="R6" i="1"/>
  <c r="C49" i="67"/>
  <c r="B3" i="76"/>
  <c r="B40" i="1"/>
  <c r="F24" i="15" s="1"/>
  <c r="C24" i="15" s="1"/>
  <c r="B4" i="62"/>
  <c r="B71" i="72" s="1"/>
  <c r="K4" i="4"/>
  <c r="B46" i="48" s="1"/>
  <c r="B4" i="72" s="1"/>
  <c r="C15" i="67"/>
  <c r="C18" i="67"/>
  <c r="Q73" i="15"/>
  <c r="M11" i="15"/>
  <c r="F11" i="15"/>
  <c r="C53" i="15" s="1"/>
  <c r="M11" i="67"/>
  <c r="J10" i="67" s="1"/>
  <c r="J5" i="67" s="1"/>
  <c r="F11" i="67"/>
  <c r="M28" i="43"/>
  <c r="O28" i="43"/>
  <c r="P28" i="43"/>
  <c r="N28" i="43"/>
  <c r="Q57" i="15"/>
  <c r="Q66" i="15"/>
  <c r="Q74" i="15"/>
  <c r="Q60" i="67"/>
  <c r="Q73" i="67"/>
  <c r="M21" i="15"/>
  <c r="F35" i="15"/>
  <c r="AE6" i="1"/>
  <c r="J10" i="15" l="1"/>
  <c r="J5" i="15" s="1"/>
  <c r="J18" i="15" s="1"/>
  <c r="C49" i="15"/>
  <c r="C19" i="15"/>
  <c r="C20" i="15" s="1"/>
  <c r="C26" i="15" s="1"/>
  <c r="Q74" i="67"/>
  <c r="Q52" i="15"/>
  <c r="C34" i="15"/>
  <c r="F63" i="15"/>
  <c r="C62" i="15" s="1"/>
  <c r="J20" i="15"/>
  <c r="R16" i="1"/>
  <c r="N16" i="1"/>
  <c r="C34" i="11"/>
  <c r="L16" i="1"/>
  <c r="C34" i="68"/>
  <c r="F27" i="68"/>
  <c r="F27" i="69"/>
  <c r="F27" i="11"/>
  <c r="F28" i="12"/>
  <c r="C29" i="12" s="1"/>
  <c r="D28" i="12" s="1"/>
  <c r="F10" i="40"/>
  <c r="H10" i="40"/>
  <c r="J10" i="40"/>
  <c r="H10" i="39"/>
  <c r="J10" i="39"/>
  <c r="F10" i="39"/>
  <c r="C38" i="69"/>
  <c r="C35" i="69"/>
  <c r="C8" i="68"/>
  <c r="C18" i="12"/>
  <c r="C21" i="12" s="1"/>
  <c r="C22" i="12" s="1"/>
  <c r="C30" i="12" s="1"/>
  <c r="C28" i="12" s="1"/>
  <c r="C10" i="15"/>
  <c r="C5" i="15" s="1"/>
  <c r="C38" i="15" s="1"/>
  <c r="F22" i="69"/>
  <c r="C44" i="69" s="1"/>
  <c r="D41" i="69" s="1"/>
  <c r="F22" i="11"/>
  <c r="C23" i="11" s="1"/>
  <c r="F22" i="68"/>
  <c r="F25" i="12"/>
  <c r="C26" i="12" s="1"/>
  <c r="D25" i="12" s="1"/>
  <c r="F24" i="67"/>
  <c r="C24" i="67" s="1"/>
  <c r="C48" i="15"/>
  <c r="C60" i="15" s="1"/>
  <c r="C19" i="67"/>
  <c r="C20" i="67" s="1"/>
  <c r="C26" i="67" s="1"/>
  <c r="C32" i="15"/>
  <c r="J26" i="15"/>
  <c r="C53" i="67"/>
  <c r="C48" i="67" s="1"/>
  <c r="C10" i="67"/>
  <c r="C5" i="67" s="1"/>
  <c r="J26" i="67"/>
  <c r="J29" i="67" s="1"/>
  <c r="J18" i="67"/>
  <c r="J24" i="67"/>
  <c r="F41" i="15"/>
  <c r="J24" i="15" l="1"/>
  <c r="C44" i="11"/>
  <c r="D41" i="11" s="1"/>
  <c r="C33" i="15"/>
  <c r="C31" i="15" s="1"/>
  <c r="C33" i="69"/>
  <c r="S10" i="39"/>
  <c r="AA10" i="39"/>
  <c r="AB10" i="39"/>
  <c r="U10" i="39"/>
  <c r="AB10" i="40"/>
  <c r="T42" i="40" s="1"/>
  <c r="G42" i="40" s="1"/>
  <c r="U10" i="40"/>
  <c r="C47" i="69"/>
  <c r="D45" i="69" s="1"/>
  <c r="C29" i="69"/>
  <c r="D27" i="69" s="1"/>
  <c r="C35" i="68"/>
  <c r="C38" i="68"/>
  <c r="C38" i="11"/>
  <c r="C35" i="11"/>
  <c r="C33" i="11" s="1"/>
  <c r="C24" i="68"/>
  <c r="C26" i="69"/>
  <c r="D22" i="69" s="1"/>
  <c r="W10" i="39"/>
  <c r="AC10" i="39"/>
  <c r="AC10" i="40"/>
  <c r="V42" i="40" s="1"/>
  <c r="I42" i="40" s="1"/>
  <c r="W10" i="40"/>
  <c r="AA10" i="40"/>
  <c r="R42" i="40" s="1"/>
  <c r="S10" i="40"/>
  <c r="C29" i="11"/>
  <c r="D27" i="11" s="1"/>
  <c r="C47" i="11"/>
  <c r="D45" i="11" s="1"/>
  <c r="C28" i="11"/>
  <c r="C27" i="11" s="1"/>
  <c r="C47" i="68"/>
  <c r="D45" i="68" s="1"/>
  <c r="C29" i="68"/>
  <c r="D27" i="68" s="1"/>
  <c r="F50" i="11"/>
  <c r="F50" i="68"/>
  <c r="F50" i="69"/>
  <c r="C66" i="15"/>
  <c r="C27" i="12"/>
  <c r="C25" i="12" s="1"/>
  <c r="C32" i="12" s="1"/>
  <c r="B2" i="12" s="1"/>
  <c r="B3" i="12" s="1"/>
  <c r="C24" i="11"/>
  <c r="C25" i="11"/>
  <c r="C44" i="68"/>
  <c r="D41" i="68" s="1"/>
  <c r="C26" i="68"/>
  <c r="D22" i="68" s="1"/>
  <c r="C24" i="69"/>
  <c r="C26" i="11"/>
  <c r="D22" i="11" s="1"/>
  <c r="C23" i="67"/>
  <c r="C29" i="67" s="1"/>
  <c r="F69" i="15"/>
  <c r="J29" i="15"/>
  <c r="C66" i="67"/>
  <c r="C60" i="67"/>
  <c r="C23" i="15"/>
  <c r="C29" i="15" s="1"/>
  <c r="C32" i="67"/>
  <c r="C38" i="67"/>
  <c r="C22" i="11" l="1"/>
  <c r="C33" i="68"/>
  <c r="C31" i="11"/>
  <c r="C39" i="69"/>
  <c r="C42" i="69"/>
  <c r="C39" i="11"/>
  <c r="C43" i="11" s="1"/>
  <c r="C42" i="11"/>
  <c r="R43" i="40"/>
  <c r="E42" i="40"/>
  <c r="I46" i="40"/>
  <c r="J46" i="40" s="1"/>
  <c r="I47" i="40"/>
  <c r="J47" i="40" s="1"/>
  <c r="C39" i="68"/>
  <c r="C43" i="68" s="1"/>
  <c r="G46" i="40"/>
  <c r="H46" i="40" s="1"/>
  <c r="G47" i="40"/>
  <c r="H47" i="40" s="1"/>
  <c r="C42" i="68"/>
  <c r="C36" i="15"/>
  <c r="C13" i="15"/>
  <c r="J19" i="15"/>
  <c r="J17" i="15" s="1"/>
  <c r="C57" i="15"/>
  <c r="Q49" i="15"/>
  <c r="J14" i="15"/>
  <c r="J59" i="15"/>
  <c r="J60" i="15" s="1"/>
  <c r="C57" i="67"/>
  <c r="J19" i="67"/>
  <c r="J17" i="67" s="1"/>
  <c r="Q49" i="67"/>
  <c r="C33" i="67"/>
  <c r="C31" i="67" s="1"/>
  <c r="J14" i="67"/>
  <c r="C13" i="67"/>
  <c r="C36" i="67"/>
  <c r="J59" i="67"/>
  <c r="J60" i="67" s="1"/>
  <c r="C41" i="68" l="1"/>
  <c r="C41" i="11"/>
  <c r="C46" i="69"/>
  <c r="C45" i="69" s="1"/>
  <c r="C43" i="69"/>
  <c r="C41" i="69" s="1"/>
  <c r="C43" i="40"/>
  <c r="C42" i="40"/>
  <c r="C46" i="68"/>
  <c r="C45" i="68" s="1"/>
  <c r="E46" i="40"/>
  <c r="F46" i="40" s="1"/>
  <c r="E47" i="40"/>
  <c r="F47" i="40" s="1"/>
  <c r="C46" i="11"/>
  <c r="C45" i="11" s="1"/>
  <c r="C49" i="11" s="1"/>
  <c r="C51" i="11" s="1"/>
  <c r="J13" i="67"/>
  <c r="J23" i="67" s="1"/>
  <c r="J22" i="67"/>
  <c r="C61" i="67"/>
  <c r="C59" i="67" s="1"/>
  <c r="C64" i="67"/>
  <c r="Q48" i="15"/>
  <c r="L46" i="15"/>
  <c r="Q48" i="67"/>
  <c r="L46" i="67"/>
  <c r="C75" i="67"/>
  <c r="Q70" i="67"/>
  <c r="C37" i="67"/>
  <c r="C30" i="67" s="1"/>
  <c r="C39" i="67" s="1"/>
  <c r="C56" i="67"/>
  <c r="C65" i="67" s="1"/>
  <c r="J13" i="15"/>
  <c r="J23" i="15" s="1"/>
  <c r="J22" i="15"/>
  <c r="C61" i="15"/>
  <c r="C59" i="15" s="1"/>
  <c r="C64" i="15"/>
  <c r="C37" i="15"/>
  <c r="C30" i="15" s="1"/>
  <c r="C39" i="15" s="1"/>
  <c r="C56" i="15"/>
  <c r="C65" i="15" s="1"/>
  <c r="C75" i="15"/>
  <c r="Q70" i="15"/>
  <c r="C49" i="69" l="1"/>
  <c r="C51" i="69" s="1"/>
  <c r="C49" i="68"/>
  <c r="C51" i="68" s="1"/>
  <c r="C52" i="11"/>
  <c r="B2" i="11" s="1"/>
  <c r="B3" i="11" s="1"/>
  <c r="B51" i="40"/>
  <c r="F51" i="40" s="1"/>
  <c r="B53" i="40"/>
  <c r="F53" i="40" s="1"/>
  <c r="B55" i="40"/>
  <c r="F55" i="40" s="1"/>
  <c r="B57" i="40"/>
  <c r="F57" i="40" s="1"/>
  <c r="B59" i="40"/>
  <c r="F59" i="40" s="1"/>
  <c r="B56" i="40"/>
  <c r="F56" i="40" s="1"/>
  <c r="B60" i="40"/>
  <c r="F60" i="40" s="1"/>
  <c r="B52" i="40"/>
  <c r="F52" i="40" s="1"/>
  <c r="B54" i="40"/>
  <c r="F54" i="40" s="1"/>
  <c r="B58" i="40"/>
  <c r="F58" i="40" s="1"/>
  <c r="J16" i="67"/>
  <c r="J25" i="67" s="1"/>
  <c r="C58" i="15"/>
  <c r="C67" i="15" s="1"/>
  <c r="C68" i="15" s="1"/>
  <c r="C71" i="15" s="1"/>
  <c r="J16" i="15"/>
  <c r="J25" i="15" s="1"/>
  <c r="C40" i="15"/>
  <c r="Q69" i="15"/>
  <c r="Q68" i="15" s="1"/>
  <c r="C80" i="15"/>
  <c r="C79" i="15" s="1"/>
  <c r="Q69" i="67"/>
  <c r="Q68" i="67" s="1"/>
  <c r="C40" i="67"/>
  <c r="C58" i="67"/>
  <c r="C67" i="67" s="1"/>
  <c r="C68" i="67" s="1"/>
  <c r="C80" i="67"/>
  <c r="C79" i="67" s="1"/>
  <c r="L51" i="67"/>
  <c r="L51" i="15"/>
  <c r="C56" i="11" l="1"/>
  <c r="C57" i="11" s="1"/>
  <c r="F61" i="40"/>
  <c r="B2" i="40" s="1"/>
  <c r="Q67" i="67"/>
  <c r="L57" i="67"/>
  <c r="L60" i="67" s="1"/>
  <c r="Q67" i="15"/>
  <c r="B2" i="15"/>
  <c r="C43" i="15"/>
  <c r="Q65" i="15"/>
  <c r="Q75" i="15" s="1"/>
  <c r="Q47" i="15"/>
  <c r="Q53" i="15" s="1"/>
  <c r="Q56" i="15"/>
  <c r="Q62" i="15" s="1"/>
  <c r="C83" i="15"/>
  <c r="C82" i="15" s="1"/>
  <c r="C71" i="67"/>
  <c r="C45" i="67"/>
  <c r="C46" i="67" s="1"/>
  <c r="Q47" i="67"/>
  <c r="Q53" i="67" s="1"/>
  <c r="Q65" i="67"/>
  <c r="D2" i="67"/>
  <c r="Q56" i="67"/>
  <c r="C43" i="67"/>
  <c r="C83" i="67"/>
  <c r="C82" i="67" s="1"/>
  <c r="C46" i="15"/>
  <c r="D19" i="9"/>
  <c r="AO6" i="1"/>
  <c r="C6" i="68" l="1"/>
  <c r="C7" i="68" s="1"/>
  <c r="C5" i="68" s="1"/>
  <c r="C6" i="69"/>
  <c r="C7" i="69" s="1"/>
  <c r="C5" i="69" s="1"/>
  <c r="B3" i="40"/>
  <c r="D21" i="9"/>
  <c r="D102" i="9"/>
  <c r="B6" i="70"/>
  <c r="B2" i="70" s="1"/>
  <c r="B3" i="70" s="1"/>
  <c r="B2" i="67"/>
  <c r="B3" i="67"/>
  <c r="B3" i="15"/>
  <c r="Q66" i="67"/>
  <c r="Q75" i="67" s="1"/>
  <c r="Q57" i="67"/>
  <c r="Q62" i="67" s="1"/>
  <c r="D20" i="9"/>
  <c r="C20" i="69" l="1"/>
  <c r="C23" i="69"/>
  <c r="C28" i="69"/>
  <c r="C27" i="69" s="1"/>
  <c r="C20" i="68"/>
  <c r="C23" i="68"/>
  <c r="C28" i="68"/>
  <c r="C27" i="68" s="1"/>
  <c r="D103" i="9"/>
  <c r="C25" i="68" l="1"/>
  <c r="C22" i="68" s="1"/>
  <c r="C31" i="68" s="1"/>
  <c r="C52" i="68" s="1"/>
  <c r="C25" i="69"/>
  <c r="C22" i="69" s="1"/>
  <c r="C31" i="69" s="1"/>
  <c r="C52" i="69" s="1"/>
  <c r="B2" i="68" l="1"/>
  <c r="C57" i="68"/>
  <c r="C56" i="68" s="1"/>
  <c r="C57" i="69"/>
  <c r="C56" i="69" s="1"/>
  <c r="B2" i="69"/>
  <c r="B3" i="69" s="1"/>
  <c r="C19" i="9"/>
  <c r="C102" i="9" l="1"/>
  <c r="D22" i="9"/>
  <c r="C21" i="9"/>
  <c r="G19" i="9"/>
  <c r="B3" i="68"/>
  <c r="D34" i="9"/>
  <c r="D35" i="9"/>
  <c r="C20" i="9"/>
  <c r="C103" i="9" l="1"/>
  <c r="G20" i="9"/>
  <c r="C32" i="9"/>
  <c r="G21" i="9"/>
  <c r="H118" i="9" l="1"/>
  <c r="C35" i="9"/>
  <c r="F118" i="9" s="1"/>
  <c r="C34" i="9" l="1"/>
  <c r="D118" i="9" s="1"/>
  <c r="D119" i="9" s="1"/>
  <c r="D5" i="52" s="1"/>
  <c r="B49" i="72" s="1"/>
  <c r="F119" i="9"/>
  <c r="F5" i="52" s="1"/>
  <c r="B53" i="72" s="1"/>
  <c r="F4" i="52"/>
  <c r="B51" i="72" s="1"/>
  <c r="G118" i="9"/>
  <c r="G4" i="52" s="1"/>
  <c r="B52" i="72" s="1"/>
  <c r="C104" i="9"/>
  <c r="H119" i="9"/>
  <c r="H5" i="52" s="1"/>
  <c r="I118" i="9"/>
  <c r="H101" i="9"/>
  <c r="D14" i="74"/>
  <c r="H4" i="52"/>
  <c r="D4" i="52" l="1"/>
  <c r="B47" i="72" s="1"/>
  <c r="B5" i="74"/>
  <c r="F14" i="74"/>
  <c r="E14" i="74"/>
  <c r="C105" i="9"/>
  <c r="I4" i="52"/>
  <c r="H102" i="9"/>
  <c r="D7" i="53" s="1"/>
  <c r="B21" i="72" s="1"/>
  <c r="E118" i="9"/>
  <c r="E4" i="52" s="1"/>
  <c r="B48" i="72" s="1"/>
  <c r="D45" i="9"/>
  <c r="M48" i="9"/>
  <c r="H107" i="9"/>
  <c r="D5" i="53"/>
  <c r="M49" i="9" l="1"/>
  <c r="D13" i="53"/>
  <c r="H108" i="9"/>
  <c r="D15" i="53" s="1"/>
  <c r="B31" i="72" s="1"/>
  <c r="D122" i="9"/>
  <c r="C78" i="9"/>
  <c r="C73" i="9" s="1"/>
  <c r="D53" i="9"/>
  <c r="C72" i="9"/>
  <c r="C64" i="9"/>
  <c r="C63" i="9" s="1"/>
  <c r="C67" i="9" s="1"/>
  <c r="C68" i="9" s="1"/>
  <c r="D54" i="9" s="1"/>
  <c r="D52" i="9"/>
  <c r="C85" i="9"/>
  <c r="D55" i="9"/>
  <c r="M53" i="9" s="1"/>
  <c r="C93" i="9"/>
  <c r="C86" i="9" s="1"/>
  <c r="D6" i="53"/>
  <c r="B22" i="72" s="1"/>
  <c r="B20" i="72"/>
  <c r="D5" i="74"/>
  <c r="C5" i="74"/>
  <c r="C79" i="9" l="1"/>
  <c r="C80" i="9" s="1"/>
  <c r="E80" i="9" s="1"/>
  <c r="E81" i="9" s="1"/>
  <c r="C95" i="9"/>
  <c r="G14" i="74"/>
  <c r="B6" i="74" s="1"/>
  <c r="D123" i="9"/>
  <c r="D9" i="52" s="1"/>
  <c r="D8" i="52"/>
  <c r="B30" i="72"/>
  <c r="D14" i="53"/>
  <c r="B32" i="72" s="1"/>
  <c r="L65" i="9"/>
  <c r="M65" i="9" s="1"/>
  <c r="L64" i="9"/>
  <c r="M64" i="9" s="1"/>
  <c r="L67" i="9"/>
  <c r="M67" i="9" s="1"/>
  <c r="L68" i="9"/>
  <c r="M68" i="9" s="1"/>
  <c r="L66" i="9"/>
  <c r="M66" i="9" s="1"/>
  <c r="L63" i="9"/>
  <c r="M63" i="9" s="1"/>
  <c r="M69" i="9" l="1"/>
  <c r="N69" i="9" s="1"/>
  <c r="C81" i="9"/>
  <c r="D6" i="74"/>
  <c r="C6" i="74"/>
  <c r="C96" i="9"/>
  <c r="E96" i="9" s="1"/>
  <c r="E97"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<sst xmlns="http://schemas.openxmlformats.org/spreadsheetml/2006/main" count="7616" uniqueCount="3203">
  <si>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</si>
  <si>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</si>
  <si>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</si>
  <si>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</si>
  <si>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</si>
  <si>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</si>
  <si>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</si>
  <si>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</si>
  <si>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</si>
  <si>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</si>
  <si>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</si>
  <si>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</si>
  <si>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</si>
  <si>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</si>
  <si>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</si>
  <si>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</si>
  <si>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</si>
  <si>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</si>
  <si>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</si>
  <si>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</si>
  <si>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</si>
  <si>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</si>
  <si>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</si>
  <si>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</si>
  <si>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</si>
  <si>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</si>
  <si>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</si>
  <si>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</si>
  <si>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</si>
  <si>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</si>
  <si>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</si>
  <si>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</si>
  <si>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</si>
  <si>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</si>
  <si>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</si>
  <si>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</si>
  <si>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</si>
  <si>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</si>
  <si>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</si>
  <si>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</si>
  <si>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</si>
  <si>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</si>
  <si>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</si>
  <si>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</si>
  <si>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</si>
  <si>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</si>
  <si>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</si>
  <si>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</si>
  <si>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</si>
  <si>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</si>
  <si>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</si>
  <si>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</si>
  <si>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</si>
  <si>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</si>
  <si>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</si>
  <si>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</si>
  <si>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</si>
  <si>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</si>
  <si>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</si>
  <si>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</si>
  <si>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</si>
  <si>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</si>
  <si>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</si>
  <si>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</si>
  <si>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</si>
  <si>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</si>
  <si>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</si>
  <si>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</si>
  <si>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</si>
  <si>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</si>
  <si>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</si>
  <si>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</si>
  <si>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</si>
  <si>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</si>
  <si>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</si>
  <si>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</si>
  <si>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</si>
  <si>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</si>
  <si>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</si>
  <si>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</si>
  <si>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</si>
  <si>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</si>
  <si>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</si>
  <si>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</si>
  <si>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</si>
  <si>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</si>
  <si>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</si>
  <si>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</si>
  <si>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</si>
  <si>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</si>
  <si>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</si>
  <si>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</si>
  <si>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</si>
  <si>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</si>
  <si>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</si>
  <si>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</si>
  <si>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</si>
  <si>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</si>
  <si>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</si>
  <si>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</si>
  <si>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</si>
  <si>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</si>
  <si>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</si>
  <si>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</si>
  <si>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</si>
  <si>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</si>
  <si>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</si>
  <si>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</si>
  <si>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</si>
  <si>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</si>
  <si>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</si>
  <si>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</si>
  <si>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</si>
  <si>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</si>
  <si>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</si>
  <si>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</si>
  <si>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</si>
  <si>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</si>
  <si>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</si>
  <si>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</si>
  <si>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</si>
  <si>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</si>
  <si>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</si>
  <si>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</si>
  <si>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</si>
  <si>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</si>
  <si>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</si>
  <si>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</si>
  <si>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</si>
  <si>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</si>
  <si>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</si>
  <si>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</si>
  <si>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</si>
  <si>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</si>
  <si>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</si>
  <si>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</si>
  <si>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</si>
  <si>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</si>
  <si>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</si>
  <si>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</si>
  <si>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</si>
  <si>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</si>
  <si>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</si>
  <si>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</si>
  <si>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</si>
  <si>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</si>
  <si>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</si>
  <si>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</si>
  <si>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</si>
  <si>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</si>
  <si>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</si>
  <si>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</si>
  <si>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</si>
  <si>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</si>
  <si>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</si>
  <si>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</si>
  <si>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</si>
  <si>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</si>
  <si>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</si>
  <si>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</si>
  <si>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</si>
  <si>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</si>
  <si>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</si>
  <si>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</si>
  <si>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</si>
  <si>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</si>
  <si>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</si>
  <si>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</si>
  <si>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</si>
  <si>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</si>
  <si>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</si>
  <si>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</si>
  <si>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</si>
  <si>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</si>
  <si>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</si>
  <si>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</si>
  <si>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</si>
  <si>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</si>
  <si>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</si>
  <si>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</si>
  <si>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</si>
  <si>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</si>
  <si>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</si>
  <si>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</si>
  <si>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</si>
  <si>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</si>
  <si>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</si>
  <si>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</si>
  <si>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</si>
  <si>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</si>
  <si>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</si>
  <si>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</si>
  <si>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</si>
  <si>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</si>
  <si>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</si>
  <si>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</si>
  <si>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</si>
  <si>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</si>
  <si>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</si>
  <si>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</si>
  <si>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</si>
  <si>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</si>
  <si>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</si>
  <si>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</si>
  <si>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</si>
  <si>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</si>
  <si>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</si>
  <si>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</si>
  <si>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</si>
  <si>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</si>
  <si>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</si>
  <si>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</si>
  <si>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</si>
  <si>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</si>
  <si>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</si>
  <si>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</si>
  <si>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</si>
  <si>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</si>
  <si>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</si>
  <si>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</si>
  <si>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</si>
  <si>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</si>
  <si>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</si>
  <si>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</si>
  <si>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</si>
  <si>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</si>
  <si>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</si>
  <si>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</si>
  <si>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</si>
  <si>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</si>
  <si>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</si>
  <si>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</si>
  <si>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</si>
  <si>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</si>
  <si>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</si>
  <si>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</si>
  <si>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</si>
  <si>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</si>
  <si>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</si>
  <si>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</si>
  <si>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</si>
  <si>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</si>
  <si>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</si>
  <si>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</si>
  <si>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</si>
  <si>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</si>
  <si>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</si>
  <si>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</si>
  <si>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</si>
  <si>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</si>
  <si>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</si>
  <si>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</si>
  <si>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</si>
  <si>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</si>
  <si>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</si>
  <si>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</si>
  <si>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</si>
  <si>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</si>
  <si>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</si>
  <si>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</si>
  <si>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</si>
  <si>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</si>
  <si>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</si>
  <si>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</si>
  <si>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</si>
  <si>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</si>
  <si>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</si>
  <si>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</si>
  <si>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</si>
  <si>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</si>
  <si>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</si>
  <si>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</si>
  <si>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</si>
  <si>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</si>
  <si>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</si>
  <si>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</si>
  <si>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</si>
  <si>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</si>
  <si>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</si>
  <si>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</si>
  <si>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</si>
  <si>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</si>
  <si>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</si>
  <si>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</si>
  <si>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</si>
  <si>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</si>
  <si>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</si>
  <si>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</si>
  <si>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</si>
  <si>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</si>
  <si>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</si>
  <si>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</si>
  <si>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</si>
  <si>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</si>
  <si>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</si>
  <si>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</si>
  <si>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</si>
  <si>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</si>
  <si>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</si>
  <si>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</si>
  <si>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</si>
  <si>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</si>
  <si>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</si>
  <si>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</si>
  <si>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</si>
  <si>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</si>
  <si>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</si>
  <si>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</si>
  <si>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</si>
  <si>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</si>
  <si>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</si>
  <si>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</si>
  <si>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</si>
  <si>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</si>
  <si>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</si>
  <si>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</si>
  <si>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</si>
  <si>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</si>
  <si>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</si>
  <si>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</si>
  <si>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</si>
  <si>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</si>
  <si>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</si>
  <si>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</si>
  <si>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</si>
  <si>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</si>
  <si>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</si>
  <si>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</si>
  <si>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</si>
  <si>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</si>
  <si>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</si>
  <si>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</si>
  <si>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</si>
  <si>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</si>
  <si>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</si>
  <si>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</si>
  <si>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</si>
  <si>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</si>
  <si>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</si>
  <si>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</si>
  <si>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</si>
  <si>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</si>
  <si>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</si>
  <si>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</si>
  <si>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</si>
  <si>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</si>
  <si>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</si>
  <si>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</si>
  <si>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</si>
  <si>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</si>
  <si>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</si>
  <si>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</si>
  <si>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</si>
  <si>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</si>
  <si>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</si>
  <si>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</si>
  <si>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</si>
  <si>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</si>
  <si>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</si>
  <si>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</si>
  <si>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</si>
  <si>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</si>
  <si>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</si>
  <si>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</si>
  <si>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</si>
  <si>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</si>
  <si>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</si>
  <si>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</si>
  <si>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</si>
  <si>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</si>
  <si>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</si>
  <si>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</si>
  <si>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</si>
  <si>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</si>
  <si>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</si>
  <si>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</si>
  <si>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</si>
  <si>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</si>
  <si>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</si>
  <si>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</si>
  <si>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</si>
  <si>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</si>
  <si>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</si>
  <si>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</si>
  <si>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</si>
  <si>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</si>
  <si>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</si>
  <si>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</si>
  <si>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</si>
  <si>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</si>
  <si>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</si>
  <si>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</si>
  <si>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</si>
  <si>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</si>
  <si>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</si>
  <si>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</si>
  <si>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</si>
  <si>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</si>
  <si>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</si>
  <si>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</si>
  <si>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</si>
  <si>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</si>
  <si>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</si>
  <si>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</si>
  <si>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</si>
  <si>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</si>
  <si>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</si>
  <si>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</si>
  <si>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</si>
  <si>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</si>
  <si>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</si>
  <si>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</si>
  <si>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</si>
  <si>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</si>
  <si>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</si>
  <si>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</si>
  <si>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</si>
  <si>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</si>
  <si>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</si>
  <si>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</si>
  <si>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</si>
  <si>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</si>
  <si>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</si>
  <si>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</si>
  <si>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</si>
  <si>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</si>
  <si>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</si>
  <si>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</si>
  <si>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</si>
  <si>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</si>
  <si>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</si>
  <si>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</si>
  <si>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</si>
  <si>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</si>
  <si>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</si>
  <si>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</si>
  <si>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</si>
  <si>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</si>
  <si>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</si>
  <si>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</si>
  <si>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</si>
  <si>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</si>
  <si>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</si>
  <si>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</si>
  <si>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</si>
  <si>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</si>
  <si>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</si>
  <si>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</si>
  <si>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</si>
  <si>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</si>
  <si>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</si>
  <si>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</si>
  <si>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</si>
  <si>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</si>
  <si>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</si>
  <si>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</si>
  <si>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</si>
  <si>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</si>
  <si>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</si>
  <si>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</si>
  <si>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</si>
  <si>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</si>
  <si>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</si>
  <si>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</si>
  <si>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</si>
  <si>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</si>
  <si>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</si>
  <si>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</si>
  <si>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</si>
  <si>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</si>
  <si>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</si>
  <si>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</si>
  <si>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</si>
  <si>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</si>
  <si>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</si>
  <si>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</si>
  <si>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</si>
  <si>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</si>
  <si>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</si>
  <si>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</si>
  <si>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</si>
  <si>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</si>
  <si>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</si>
  <si>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</si>
  <si>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</si>
  <si>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</si>
  <si>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</si>
  <si>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</si>
  <si>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</si>
  <si>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</si>
  <si>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</si>
  <si>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</si>
  <si>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</si>
  <si>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</si>
  <si>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</si>
  <si>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</si>
  <si>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</si>
  <si>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</si>
  <si>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</si>
  <si>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</si>
  <si>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</si>
  <si>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</si>
  <si>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</si>
  <si>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</si>
  <si>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</si>
  <si>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</si>
  <si>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</si>
  <si>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</si>
  <si>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</si>
  <si>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</si>
  <si>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</si>
  <si>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</si>
  <si>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</si>
  <si>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</si>
  <si>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</si>
  <si>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</si>
  <si>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</si>
  <si>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</si>
  <si>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</si>
  <si>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</si>
  <si>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</si>
  <si>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</si>
  <si>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</si>
  <si>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</si>
  <si>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</si>
  <si>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</si>
  <si>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</si>
  <si>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</si>
  <si>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</si>
  <si>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</si>
  <si>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</si>
  <si>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</si>
  <si>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</si>
  <si>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</si>
  <si>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</si>
  <si>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</si>
  <si>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</si>
  <si>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</si>
  <si>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</si>
  <si>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</si>
  <si>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</si>
  <si>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</si>
  <si>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</si>
  <si>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</si>
  <si>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</si>
  <si>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</si>
  <si>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</si>
  <si>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</si>
  <si>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</si>
  <si>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</si>
  <si>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</si>
  <si>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</si>
  <si>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</si>
  <si>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</si>
  <si>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</si>
  <si>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</si>
  <si>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</si>
  <si>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</si>
  <si>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</si>
  <si>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</si>
  <si>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</si>
  <si>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</si>
  <si>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</si>
  <si>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</si>
  <si>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</si>
  <si>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</si>
  <si>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</si>
  <si>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</si>
  <si>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</si>
  <si>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</si>
  <si>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</si>
  <si>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</si>
  <si>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</si>
  <si>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</si>
  <si>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</si>
  <si>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</si>
  <si>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</si>
  <si>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</si>
  <si>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</si>
  <si>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</si>
  <si>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</si>
  <si>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</si>
  <si>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</si>
  <si>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</si>
  <si>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</si>
  <si>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</si>
  <si>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</si>
  <si>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</si>
  <si>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</si>
  <si>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</si>
  <si>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</si>
  <si>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</si>
  <si>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</si>
  <si>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</si>
  <si>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</si>
  <si>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</si>
  <si>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</si>
  <si>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</si>
  <si>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</si>
  <si>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</si>
  <si>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</si>
  <si>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</si>
  <si>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</si>
  <si>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</si>
  <si>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</si>
  <si>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</si>
  <si>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</si>
  <si>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</si>
  <si>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</si>
  <si>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</si>
  <si>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</si>
  <si>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</si>
  <si>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</si>
  <si>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</si>
  <si>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</si>
  <si>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</si>
  <si>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</si>
  <si>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</si>
  <si>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</si>
  <si>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</si>
  <si>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</si>
  <si>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</si>
  <si>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</si>
  <si>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</si>
  <si>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</si>
  <si>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</si>
  <si>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</si>
  <si>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</si>
  <si>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</si>
  <si>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</si>
  <si>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</si>
  <si>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</si>
  <si>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</si>
  <si>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</si>
  <si>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</si>
  <si>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</si>
  <si>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</si>
  <si>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</si>
  <si>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</si>
  <si>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</si>
  <si>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</si>
  <si>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</si>
  <si>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</si>
  <si>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</si>
  <si>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</si>
  <si>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</si>
  <si>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</si>
  <si>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</si>
  <si>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</si>
  <si>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</si>
  <si>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</si>
  <si>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</si>
  <si>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</si>
  <si>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</si>
  <si>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</si>
  <si>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</si>
  <si>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</si>
  <si>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</si>
  <si>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</si>
  <si>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</si>
  <si>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</si>
  <si>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</si>
  <si>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</si>
  <si>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</si>
  <si>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</si>
  <si>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</si>
  <si>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</si>
  <si>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</si>
  <si>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</si>
  <si>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</si>
  <si>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</si>
  <si>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</si>
  <si>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</si>
  <si>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</si>
  <si>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</si>
  <si>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</si>
  <si>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</si>
  <si>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</si>
  <si>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</si>
  <si>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</si>
  <si>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</si>
  <si>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</si>
  <si>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</si>
  <si>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</si>
  <si>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</si>
  <si>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</si>
  <si>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</si>
  <si>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</si>
  <si>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</si>
  <si>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</si>
  <si>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</si>
  <si>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</si>
  <si>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</si>
  <si>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</si>
  <si>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</si>
  <si>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</si>
  <si>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</si>
  <si>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</si>
  <si>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</si>
  <si>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</si>
  <si>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</si>
  <si>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</si>
  <si>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</si>
  <si>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</si>
  <si>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</si>
  <si>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</si>
  <si>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</si>
  <si>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</si>
  <si>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</si>
  <si>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</si>
  <si>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</si>
  <si>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</si>
  <si>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</si>
  <si>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</si>
  <si>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</si>
  <si>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</si>
  <si>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</si>
  <si>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</si>
  <si>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</si>
  <si>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</si>
  <si>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</si>
  <si>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</si>
  <si>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</si>
  <si>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</si>
  <si>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</si>
  <si>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</si>
  <si>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</si>
  <si>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</si>
  <si>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</si>
  <si>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</si>
  <si>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</si>
  <si>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</si>
  <si>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</si>
  <si>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</si>
  <si>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</si>
  <si>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</si>
  <si>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</si>
  <si>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</si>
  <si>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</si>
  <si>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</si>
  <si>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</si>
  <si>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</si>
  <si>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</si>
  <si>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</si>
  <si>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</si>
  <si>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</si>
  <si>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</si>
  <si>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</si>
  <si>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</si>
  <si>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</si>
  <si>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</si>
  <si>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</si>
  <si>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</si>
  <si>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</si>
  <si>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</si>
  <si>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</si>
  <si>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</si>
  <si>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</si>
  <si>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</si>
  <si>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</si>
  <si>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</si>
  <si>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</si>
  <si>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</si>
  <si>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</si>
  <si>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</si>
  <si>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</si>
  <si>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</si>
  <si>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</si>
  <si>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</si>
  <si>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</si>
  <si>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</si>
  <si>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</si>
  <si>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</si>
  <si>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</si>
  <si>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</si>
  <si>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</si>
  <si>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</si>
  <si>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</si>
  <si>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</si>
  <si>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</si>
  <si>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</si>
  <si>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</si>
  <si>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</si>
  <si>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</si>
  <si>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</si>
  <si>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</si>
  <si>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</si>
  <si>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</si>
  <si>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</si>
  <si>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</si>
  <si>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</si>
  <si>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</si>
  <si>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</si>
  <si>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</si>
  <si>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</si>
  <si>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</si>
  <si>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</si>
  <si>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</si>
  <si>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</si>
  <si>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</si>
  <si>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</si>
  <si>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</si>
  <si>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</si>
  <si>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</si>
  <si>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</si>
  <si>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</si>
  <si>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</si>
  <si>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</si>
  <si>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</si>
  <si>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</si>
  <si>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</si>
  <si>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</si>
  <si>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</si>
  <si>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</si>
  <si>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</si>
  <si>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</si>
  <si>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</si>
  <si>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</si>
  <si>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</si>
  <si>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</si>
  <si>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</si>
  <si>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</si>
  <si>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</si>
  <si>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</si>
  <si>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</si>
  <si>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</si>
  <si>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</si>
  <si>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</si>
  <si>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</si>
  <si>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</si>
  <si>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</si>
  <si>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</si>
  <si>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</si>
  <si>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</si>
  <si>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</si>
  <si>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</si>
  <si>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</si>
  <si>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</si>
  <si>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</si>
  <si>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</si>
  <si>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</si>
  <si>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</si>
  <si>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</si>
  <si>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</si>
  <si>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</si>
  <si>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</si>
  <si>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</si>
  <si>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</si>
  <si>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</si>
  <si>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</si>
  <si>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</si>
  <si>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</si>
  <si>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</si>
  <si>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</si>
  <si>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</si>
  <si>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</si>
  <si>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</si>
  <si>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</si>
  <si>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</si>
  <si>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</si>
  <si>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</si>
  <si>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</si>
  <si>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</si>
  <si>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</si>
  <si>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</si>
  <si>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</si>
  <si>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</si>
  <si>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</si>
  <si>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</si>
  <si>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</si>
  <si>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</si>
  <si>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</si>
  <si>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</si>
  <si>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</si>
  <si>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</si>
  <si>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</si>
  <si>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</si>
  <si>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</si>
  <si>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</si>
  <si>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</si>
  <si>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</si>
  <si>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</si>
  <si>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</si>
  <si>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</si>
  <si>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</si>
  <si>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</si>
  <si>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</si>
  <si>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</si>
  <si>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</si>
  <si>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</si>
  <si>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</si>
  <si>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</si>
  <si>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</si>
  <si>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</si>
  <si>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</si>
  <si>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</si>
  <si>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</si>
  <si>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</si>
  <si>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</si>
  <si>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</si>
  <si>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</si>
  <si>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</si>
  <si>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</si>
  <si>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</si>
  <si>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</si>
  <si>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</si>
  <si>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</si>
  <si>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</si>
  <si>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</si>
  <si>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</si>
  <si>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</si>
  <si>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</si>
  <si>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</si>
  <si>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</si>
  <si>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</si>
  <si>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</si>
  <si>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</si>
  <si>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</si>
  <si>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</si>
  <si>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</si>
  <si>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</si>
  <si>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</si>
  <si>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</si>
  <si>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</si>
  <si>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</si>
  <si>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</si>
  <si>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</si>
  <si>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</si>
  <si>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</si>
  <si>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</si>
  <si>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</si>
  <si>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</si>
  <si>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</si>
  <si>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</si>
  <si>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</si>
  <si>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</si>
  <si>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</si>
  <si>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</si>
  <si>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</si>
  <si>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</si>
  <si>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</si>
  <si>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</si>
  <si>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</si>
  <si>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</si>
  <si>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</si>
  <si>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</si>
  <si>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</si>
  <si>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</si>
  <si>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</si>
  <si>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</si>
  <si>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</si>
  <si>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</si>
  <si>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</si>
  <si>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</si>
  <si>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</si>
  <si>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</si>
  <si>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</si>
  <si>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</si>
  <si>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</si>
  <si>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</si>
  <si>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</si>
  <si>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</si>
  <si>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</si>
  <si>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</si>
  <si>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</si>
  <si>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</si>
  <si>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</si>
  <si>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</si>
  <si>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</si>
  <si>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</si>
  <si>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</si>
  <si>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</si>
  <si>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</si>
  <si>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</si>
  <si>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</si>
  <si>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</si>
  <si>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</si>
  <si>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</si>
  <si>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</si>
  <si>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</si>
  <si>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</si>
  <si>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</si>
  <si>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</si>
  <si>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</si>
  <si>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</si>
  <si>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</si>
  <si>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</si>
  <si>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</si>
  <si>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</si>
  <si>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</si>
  <si>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</si>
  <si>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</si>
  <si>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</si>
  <si>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</si>
  <si>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</si>
  <si>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</si>
  <si>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</si>
  <si>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</si>
  <si>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</si>
  <si>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</si>
  <si>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</si>
  <si>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</si>
  <si>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</si>
  <si>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</si>
  <si>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</si>
  <si>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</si>
  <si>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</si>
  <si>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</si>
  <si>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</si>
  <si>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</si>
  <si>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</si>
  <si>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</si>
  <si>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</si>
  <si>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</si>
  <si>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</si>
  <si>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</si>
  <si>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</si>
  <si>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</si>
  <si>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</si>
  <si>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</si>
  <si>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</si>
  <si>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</si>
  <si>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</si>
  <si>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</si>
  <si>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</si>
  <si>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</si>
  <si>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</si>
  <si>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</si>
  <si>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</si>
  <si>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</si>
  <si>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</si>
  <si>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</si>
  <si>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</si>
  <si>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</si>
  <si>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</si>
  <si>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</si>
  <si>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</si>
  <si>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</si>
  <si>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</si>
  <si>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</si>
  <si>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</si>
  <si>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</si>
  <si>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</si>
  <si>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</si>
  <si>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</si>
  <si>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</si>
  <si>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</si>
  <si>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</si>
  <si>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</si>
  <si>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</si>
  <si>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</si>
  <si>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</si>
  <si>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</si>
  <si>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</si>
  <si>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</si>
  <si>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</si>
  <si>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</si>
  <si>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</si>
  <si>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</si>
  <si>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</si>
  <si>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</si>
  <si>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</si>
  <si>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</si>
  <si>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</si>
  <si>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</si>
  <si>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</si>
  <si>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</si>
  <si>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</si>
  <si>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</si>
  <si>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</si>
  <si>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</si>
  <si>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</si>
  <si>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</si>
  <si>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</si>
  <si>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</si>
  <si>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</si>
  <si>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</si>
  <si>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</si>
  <si>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</si>
  <si>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</si>
  <si>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</si>
  <si>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</si>
  <si>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</si>
  <si>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</si>
  <si>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</si>
  <si>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</si>
  <si>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</si>
  <si>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</si>
  <si>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</si>
  <si>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</si>
  <si>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</si>
  <si>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</si>
  <si>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</si>
  <si>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</si>
  <si>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</si>
  <si>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</si>
  <si>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</si>
  <si>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</si>
  <si>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</si>
  <si>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</si>
  <si>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</si>
  <si>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</si>
  <si>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</si>
  <si>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</si>
  <si>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</si>
  <si>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</si>
  <si>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</si>
  <si>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</si>
  <si>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</si>
  <si>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</si>
  <si>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</si>
  <si>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</si>
  <si>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</si>
  <si>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</si>
  <si>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</si>
  <si>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</si>
  <si>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</si>
  <si>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</si>
  <si>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</si>
  <si>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</si>
  <si>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</si>
  <si>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</si>
  <si>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</si>
  <si>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</si>
  <si>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</si>
  <si>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</si>
  <si>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</si>
  <si>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</si>
  <si>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</si>
  <si>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</si>
  <si>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</si>
  <si>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</si>
  <si>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</si>
  <si>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</si>
  <si>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</si>
  <si>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</si>
  <si>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</si>
  <si>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</si>
  <si>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</si>
  <si>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</si>
  <si>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</si>
  <si>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</si>
  <si>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</si>
  <si>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</si>
  <si>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</si>
  <si>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</si>
  <si>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</si>
  <si>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</si>
  <si>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</si>
  <si>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</si>
  <si>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</si>
  <si>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</si>
  <si>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</si>
  <si>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</si>
  <si>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</si>
  <si>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</si>
  <si>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</si>
  <si>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</si>
  <si>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</si>
  <si>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</si>
  <si>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</si>
  <si>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</si>
  <si>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</si>
  <si>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</si>
  <si>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</si>
  <si>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</si>
  <si>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</si>
  <si>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</si>
  <si>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</si>
  <si>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</si>
  <si>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</si>
  <si>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</si>
  <si>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</si>
  <si>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</si>
  <si>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</si>
  <si>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</si>
  <si>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</si>
  <si>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</si>
  <si>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</si>
  <si>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</si>
  <si>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</si>
  <si>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</si>
  <si>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</si>
  <si>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</si>
  <si>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</si>
  <si>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</si>
  <si>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</si>
  <si>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</si>
  <si>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</si>
  <si>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</si>
  <si>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</si>
  <si>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</si>
  <si>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</si>
  <si>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</si>
  <si>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</si>
  <si>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</si>
  <si>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</si>
  <si>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</si>
  <si>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</si>
  <si>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</si>
  <si>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</si>
  <si>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</si>
  <si>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</si>
  <si>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</si>
  <si>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</si>
  <si>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</si>
  <si>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</si>
  <si>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</si>
  <si>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</si>
  <si>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</si>
  <si>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</si>
  <si>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</si>
  <si>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</si>
  <si>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</si>
  <si>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</si>
  <si>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</si>
  <si>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</si>
  <si>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</si>
  <si>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</si>
  <si>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</si>
  <si>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</si>
  <si>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</si>
  <si>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</si>
  <si>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</si>
  <si>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</si>
  <si>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</si>
  <si>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</si>
  <si>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</si>
  <si>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</si>
  <si>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</si>
  <si>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</si>
  <si>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</si>
  <si>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</si>
  <si>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</si>
  <si>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</si>
  <si>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</si>
  <si>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</si>
  <si>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</si>
  <si>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</si>
  <si>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</si>
  <si>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</si>
  <si>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</si>
  <si>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</si>
  <si>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</si>
  <si>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</si>
  <si>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</si>
  <si>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</si>
  <si>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</si>
  <si>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</si>
  <si>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</si>
  <si>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</si>
  <si>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</si>
  <si>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</si>
  <si>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</si>
  <si>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</si>
  <si>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</si>
  <si>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</si>
  <si>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</si>
  <si>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</si>
  <si>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</si>
  <si>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</si>
  <si>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</si>
  <si>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</si>
  <si>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</si>
  <si>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</si>
  <si>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</si>
  <si>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</si>
  <si>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</si>
  <si>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</si>
  <si>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</si>
  <si>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</si>
  <si>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</si>
  <si>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</si>
  <si>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</si>
  <si>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</si>
  <si>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</si>
  <si>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</si>
  <si>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</si>
  <si>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</si>
  <si>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</si>
  <si>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</si>
  <si>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</si>
  <si>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</si>
  <si>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</si>
  <si>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</si>
  <si>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</si>
  <si>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</si>
  <si>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</si>
  <si>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</si>
  <si>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</si>
  <si>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</si>
  <si>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</si>
  <si>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</si>
  <si>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</si>
  <si>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</si>
  <si>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</si>
  <si>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</si>
  <si>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</si>
  <si>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</si>
  <si>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</si>
  <si>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</si>
  <si>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</si>
  <si>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</si>
  <si>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</si>
  <si>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</si>
  <si>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</si>
  <si>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</si>
  <si>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</si>
  <si>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</si>
  <si>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</si>
  <si>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</si>
  <si>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</si>
  <si>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</si>
  <si>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</si>
  <si>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</si>
  <si>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</si>
  <si>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</si>
  <si>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</si>
  <si>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</si>
  <si>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</si>
  <si>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</si>
  <si>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</si>
  <si>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</si>
  <si>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</si>
  <si>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</si>
  <si>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</si>
  <si>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</si>
  <si>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</si>
  <si>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</si>
  <si>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</si>
  <si>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</si>
  <si>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</si>
  <si>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</si>
  <si>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</si>
  <si>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</si>
  <si>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</si>
  <si>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</si>
  <si>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</si>
  <si>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</si>
  <si>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</si>
  <si>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</si>
  <si>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</si>
  <si>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</si>
  <si>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</si>
  <si>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</si>
  <si>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</si>
  <si>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</si>
  <si>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</si>
  <si>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</si>
  <si>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</si>
  <si>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</si>
  <si>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</si>
  <si>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</si>
  <si>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</si>
  <si>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</si>
  <si>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</si>
  <si>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</si>
  <si>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</si>
  <si>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</si>
  <si>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</si>
  <si>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</si>
  <si>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</si>
  <si>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</si>
  <si>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</si>
  <si>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</si>
  <si>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</si>
  <si>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</si>
  <si>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</si>
  <si>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</si>
  <si>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</si>
  <si>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</si>
  <si>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</si>
  <si>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</si>
  <si>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</si>
  <si>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</si>
  <si>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</si>
  <si>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</si>
  <si>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</si>
  <si>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</si>
  <si>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</si>
  <si>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</si>
  <si>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</si>
  <si>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</si>
  <si>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</si>
  <si>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</si>
  <si>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</si>
  <si>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</si>
  <si>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</si>
  <si>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</si>
  <si>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</si>
  <si>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</si>
  <si>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</si>
  <si>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</si>
  <si>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</si>
  <si>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</si>
  <si>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</si>
  <si>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</si>
  <si>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</si>
  <si>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</si>
  <si>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</si>
  <si>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</si>
  <si>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</si>
  <si>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</si>
  <si>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</si>
  <si>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</si>
  <si>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</si>
  <si>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</si>
  <si>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</si>
  <si>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</si>
  <si>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</si>
  <si>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</si>
  <si>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</si>
  <si>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</si>
  <si>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</si>
  <si>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</si>
  <si>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</si>
  <si>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</si>
  <si>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</si>
  <si>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</si>
  <si>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</si>
  <si>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</si>
  <si>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</si>
  <si>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</si>
  <si>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</si>
  <si>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</si>
  <si>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</si>
  <si>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</si>
  <si>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</si>
  <si>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</si>
  <si>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</si>
  <si>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</si>
  <si>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</si>
  <si>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</si>
  <si>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</si>
  <si>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</si>
  <si>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</si>
  <si>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</si>
  <si>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</si>
  <si>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</si>
  <si>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</si>
  <si>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</si>
  <si>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</si>
  <si>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</si>
  <si>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</si>
  <si>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</si>
  <si>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</si>
  <si>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</si>
  <si>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</si>
  <si>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</si>
  <si>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</si>
  <si>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</si>
  <si>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</si>
  <si>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</si>
  <si>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</si>
  <si>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</si>
  <si>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</si>
  <si>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</si>
  <si>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</si>
  <si>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</si>
  <si>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</si>
  <si>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</si>
  <si>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</si>
  <si>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</si>
  <si>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</si>
  <si>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</si>
  <si>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</si>
  <si>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</si>
  <si>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</si>
  <si>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</si>
  <si>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</si>
  <si>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</si>
  <si>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</si>
  <si>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</si>
  <si>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</si>
  <si>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</si>
  <si>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</si>
  <si>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</si>
  <si>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</si>
  <si>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</si>
  <si>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</si>
  <si>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</si>
  <si>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</si>
  <si>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</si>
  <si>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</si>
  <si>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</si>
  <si>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</si>
  <si>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</si>
  <si>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</si>
  <si>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</si>
  <si>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</si>
  <si>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</si>
  <si>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</si>
  <si>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</si>
  <si>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</si>
  <si>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</si>
  <si>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</si>
  <si>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</si>
  <si>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</si>
  <si>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</si>
  <si>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</si>
  <si>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</si>
  <si>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</si>
  <si>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</si>
  <si>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</si>
  <si>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</si>
  <si>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</si>
  <si>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</si>
  <si>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</si>
  <si>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</si>
  <si>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</si>
  <si>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</si>
  <si>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</si>
  <si>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</si>
  <si>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</si>
  <si>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</si>
  <si>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</si>
  <si>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</si>
  <si>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</si>
  <si>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</si>
  <si>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</si>
  <si>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</si>
  <si>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</si>
  <si>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</si>
  <si>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</si>
  <si>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</si>
  <si>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</si>
  <si>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</si>
  <si>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</si>
  <si>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</si>
  <si>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</si>
  <si>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</si>
  <si>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</si>
  <si>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</si>
  <si>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</si>
  <si>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</si>
  <si>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</si>
  <si>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</si>
  <si>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</si>
  <si>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</si>
  <si>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</si>
  <si>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</si>
  <si>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</si>
  <si>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</si>
  <si>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</si>
  <si>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</si>
  <si>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</si>
  <si>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</si>
  <si>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</si>
  <si>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</si>
  <si>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</si>
  <si>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</si>
  <si>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</si>
  <si>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</si>
  <si>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</si>
  <si>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</si>
  <si>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</si>
  <si>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</si>
  <si>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</si>
  <si>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</si>
  <si>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</si>
  <si>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</si>
  <si>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</si>
  <si>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</si>
  <si>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</si>
  <si>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</si>
  <si>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</si>
  <si>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</si>
  <si>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</si>
  <si>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</si>
  <si>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</si>
  <si>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</si>
  <si>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</si>
  <si>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</si>
  <si>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</si>
  <si>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</si>
  <si>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</si>
  <si>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</si>
  <si>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</si>
  <si>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</si>
  <si>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</si>
  <si>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</si>
  <si>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</si>
  <si>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</si>
  <si>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</si>
  <si>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</si>
  <si>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</si>
  <si>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</si>
  <si>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</si>
  <si>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</si>
  <si>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</si>
  <si>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</si>
  <si>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</si>
  <si>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</si>
  <si>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</si>
  <si>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</si>
  <si>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</si>
  <si>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</si>
  <si>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</si>
  <si>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</si>
  <si>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</si>
  <si>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</si>
  <si>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</si>
  <si>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</si>
  <si>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</si>
  <si>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</si>
  <si>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</si>
  <si>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</si>
  <si>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</si>
  <si>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</si>
  <si>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</si>
  <si>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</si>
  <si>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</si>
  <si>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</si>
  <si>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</si>
  <si>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</si>
  <si>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</si>
  <si>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</si>
  <si>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</si>
  <si>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</si>
  <si>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</si>
  <si>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</si>
  <si>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</si>
  <si>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</si>
  <si>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</si>
  <si>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</si>
  <si>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</si>
  <si>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</si>
  <si>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</si>
  <si>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</si>
  <si>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</si>
  <si>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</si>
  <si>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</si>
  <si>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</si>
  <si>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</si>
  <si>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</si>
  <si>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</si>
  <si>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</si>
  <si>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</si>
  <si>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</si>
  <si>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</si>
  <si>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</si>
  <si>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</si>
  <si>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</si>
  <si>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</si>
  <si>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</si>
  <si>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</si>
  <si>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</si>
  <si>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</si>
  <si>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</si>
  <si>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</si>
  <si>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</si>
  <si>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</si>
  <si>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</si>
  <si>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</si>
  <si>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</si>
  <si>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</si>
  <si>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</si>
  <si>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</si>
  <si>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</si>
  <si>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</si>
  <si>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</si>
  <si>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</si>
  <si>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</si>
  <si>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</si>
  <si>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</si>
  <si>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</si>
  <si>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</si>
  <si>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</si>
  <si>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</si>
  <si>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</si>
  <si>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</si>
  <si>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</si>
  <si>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</si>
  <si>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</si>
  <si>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</si>
  <si>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</si>
  <si>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</si>
  <si>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</si>
  <si>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</si>
  <si>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</si>
  <si>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</si>
  <si>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</si>
  <si>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</si>
  <si>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</si>
  <si>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</si>
  <si>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</si>
  <si>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</si>
  <si>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</si>
  <si>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</si>
  <si>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</si>
  <si>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</si>
  <si>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</si>
  <si>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</si>
  <si>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</si>
  <si>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</si>
  <si>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</si>
  <si>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</si>
  <si>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</si>
  <si>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</si>
  <si>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</si>
  <si>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</si>
  <si>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</si>
  <si>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</si>
  <si>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</si>
  <si>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</si>
  <si>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</si>
  <si>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</si>
  <si>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</si>
  <si>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</si>
  <si>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</si>
  <si>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</si>
  <si>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</si>
  <si>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</si>
  <si>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</si>
  <si>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</si>
  <si>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</si>
  <si>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</si>
  <si>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</si>
  <si>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</si>
  <si>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</si>
  <si>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</si>
  <si>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</si>
  <si>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</si>
  <si>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</si>
  <si>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</si>
  <si>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</si>
  <si>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</si>
  <si>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</si>
  <si>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</si>
  <si>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</si>
  <si>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</si>
  <si>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</si>
  <si>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</si>
  <si>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</si>
  <si>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</si>
  <si>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</si>
  <si>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</si>
  <si>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</si>
  <si>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</si>
  <si>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</si>
  <si>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</si>
  <si>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</si>
  <si>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</si>
  <si>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</si>
  <si>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</si>
  <si>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</si>
  <si>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</si>
  <si>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</si>
  <si>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</si>
  <si>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</si>
  <si>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</si>
  <si>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</si>
  <si>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</si>
  <si>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</si>
  <si>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</si>
  <si>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</si>
  <si>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</si>
  <si>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</si>
  <si>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</si>
  <si>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</si>
  <si>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</si>
  <si>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</si>
  <si>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</si>
  <si>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</si>
  <si>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</si>
  <si>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</si>
  <si>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</si>
  <si>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</si>
  <si>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</si>
  <si>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</si>
  <si>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</si>
  <si>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</si>
  <si>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</si>
  <si>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</si>
  <si>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</si>
  <si>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</si>
  <si>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</si>
  <si>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</si>
  <si>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</si>
  <si>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</si>
  <si>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</si>
  <si>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</si>
  <si>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</si>
  <si>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</si>
  <si>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</si>
  <si>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</si>
  <si>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</si>
  <si>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</si>
  <si>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</si>
  <si>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</si>
  <si>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</si>
  <si>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</si>
  <si>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</si>
  <si>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</si>
  <si>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</si>
  <si>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</si>
  <si>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</si>
  <si>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</si>
  <si>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</si>
  <si>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</si>
  <si>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</si>
  <si>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</si>
  <si>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</si>
  <si>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</si>
  <si>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</si>
  <si>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</si>
  <si>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</si>
  <si>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</si>
  <si>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</si>
  <si>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</si>
  <si>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</si>
  <si>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</si>
  <si>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</si>
  <si>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</si>
  <si>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</si>
  <si>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</si>
  <si>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</si>
  <si>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</si>
  <si>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</si>
  <si>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</si>
  <si>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</si>
  <si>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</si>
  <si>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</si>
  <si>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</si>
  <si>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</si>
  <si>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</si>
  <si>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</si>
  <si>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</si>
  <si>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</si>
  <si>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</si>
  <si>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</si>
  <si>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</si>
  <si>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</si>
  <si>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</si>
  <si>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</si>
  <si>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</si>
  <si>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</si>
  <si>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</si>
  <si>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</si>
  <si>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</si>
  <si>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</si>
  <si>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</si>
  <si>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</si>
  <si>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</si>
  <si>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</si>
  <si>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</si>
  <si>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</si>
  <si>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</si>
  <si>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</si>
  <si>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</si>
  <si>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</si>
  <si>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</si>
  <si>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</si>
  <si>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</si>
  <si>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</si>
  <si>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</si>
  <si>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</si>
  <si>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</si>
  <si>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</si>
  <si>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</si>
  <si>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</si>
  <si>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</si>
  <si>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</si>
  <si>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</si>
  <si>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</si>
  <si>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</si>
  <si>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</si>
  <si>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</si>
  <si>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</si>
  <si>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</si>
  <si>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</si>
  <si>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</si>
  <si>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</si>
  <si>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</si>
  <si>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</si>
  <si>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</si>
  <si>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</si>
  <si>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</si>
  <si>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</si>
  <si>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</si>
  <si>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</si>
  <si>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</si>
  <si>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</si>
  <si>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</si>
  <si>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</si>
  <si>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</si>
  <si>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</si>
  <si>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</si>
  <si>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</si>
  <si>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</si>
  <si>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</si>
  <si>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</si>
  <si>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</si>
  <si>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</si>
  <si>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</si>
  <si>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</si>
  <si>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</si>
  <si>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</si>
  <si>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</si>
  <si>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</si>
  <si>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</si>
  <si>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</si>
  <si>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</si>
  <si>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</si>
  <si>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</si>
  <si>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</si>
  <si>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</si>
  <si>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</si>
  <si>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</si>
  <si>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</si>
  <si>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</si>
  <si>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</si>
  <si>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</si>
  <si>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</si>
  <si>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</si>
  <si>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</si>
  <si>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</si>
  <si>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</si>
  <si>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</si>
  <si>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</si>
  <si>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</si>
  <si>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</si>
  <si>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</si>
  <si>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</si>
  <si>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</si>
  <si>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</si>
  <si>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</si>
  <si>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</si>
  <si>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</si>
  <si>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</si>
  <si>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</si>
  <si>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</si>
  <si>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</si>
  <si>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</si>
  <si>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</si>
  <si>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</si>
  <si>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</si>
  <si>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</si>
  <si>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</si>
  <si>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</si>
  <si>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</si>
  <si>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</si>
  <si>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</si>
  <si>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</si>
  <si>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</si>
  <si>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</si>
  <si>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</si>
  <si>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</si>
  <si>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</si>
  <si>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</si>
  <si>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</si>
  <si>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</si>
  <si>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</si>
  <si>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</si>
  <si>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</si>
  <si>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</si>
  <si>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</si>
  <si>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</si>
  <si>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</si>
  <si>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</si>
  <si>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</si>
  <si>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</si>
  <si>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</si>
  <si>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</si>
  <si>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</si>
  <si>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</si>
  <si>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</si>
  <si>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</si>
  <si>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</si>
  <si>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</si>
  <si>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</si>
  <si>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</si>
  <si>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</si>
  <si>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</si>
  <si>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</si>
  <si>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</si>
  <si>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</si>
  <si>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</si>
  <si>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</si>
  <si>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</si>
  <si>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</si>
  <si>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</si>
  <si>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</si>
  <si>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</si>
  <si>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</si>
  <si>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</si>
  <si>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</si>
  <si>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</si>
  <si>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</si>
  <si>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</si>
  <si>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</si>
  <si>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</si>
  <si>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</si>
  <si>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</si>
  <si>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</si>
  <si>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</si>
  <si>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</si>
  <si>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</si>
  <si>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</si>
  <si>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</si>
  <si>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</si>
  <si>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</si>
  <si>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</si>
  <si>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</si>
  <si>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</si>
  <si>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</si>
  <si>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</si>
  <si>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</si>
  <si>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</si>
  <si>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</si>
  <si>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</si>
  <si>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</si>
  <si>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</si>
  <si>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</si>
  <si>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</si>
  <si>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</si>
  <si>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</si>
  <si>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</si>
  <si>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</si>
  <si>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</si>
  <si>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</si>
  <si>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</si>
  <si>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</si>
  <si>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</si>
  <si>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</si>
  <si>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</si>
  <si>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</si>
  <si>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</si>
  <si>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</si>
  <si>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</si>
  <si>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</si>
  <si>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</si>
  <si>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</si>
  <si>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</si>
  <si>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</si>
  <si>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</si>
  <si>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</si>
  <si>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</si>
  <si>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</si>
  <si>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</si>
  <si>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</si>
  <si>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</si>
  <si>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</si>
  <si>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</si>
  <si>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</si>
  <si>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</si>
  <si>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</si>
  <si>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</si>
  <si>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</si>
  <si>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</si>
  <si>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</si>
  <si>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</si>
  <si>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</si>
  <si>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</si>
  <si>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</si>
  <si>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</si>
  <si>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</si>
  <si>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</si>
  <si>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</si>
  <si>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</si>
  <si>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</si>
  <si>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</si>
  <si>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</si>
  <si>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</si>
  <si>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</si>
  <si>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</si>
  <si>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</si>
  <si>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</si>
  <si>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</si>
  <si>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</si>
  <si>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</si>
  <si>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</si>
  <si>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</si>
  <si>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</si>
  <si>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</si>
  <si>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</si>
  <si>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</si>
  <si>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</si>
  <si>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</si>
  <si>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</si>
  <si>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</si>
  <si>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</si>
  <si>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</si>
  <si>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</si>
  <si>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</si>
  <si>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</si>
  <si>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</si>
  <si>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</si>
  <si>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</si>
  <si>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</si>
  <si>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</si>
  <si>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</si>
  <si>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</si>
  <si>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</si>
  <si>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</si>
  <si>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</si>
  <si>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</si>
  <si>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</si>
  <si>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</si>
  <si>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</si>
  <si>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</si>
  <si>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</si>
  <si>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</si>
  <si>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</si>
  <si>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</si>
  <si>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</si>
  <si>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</si>
  <si>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</si>
  <si>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</si>
  <si>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</si>
  <si>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</si>
  <si>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</si>
  <si>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</si>
  <si>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</si>
  <si>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</si>
  <si>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</si>
  <si>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</si>
  <si>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</si>
  <si>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</si>
  <si>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</si>
  <si>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</si>
  <si>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</si>
  <si>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</si>
  <si>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</si>
  <si>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</si>
  <si>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</si>
  <si>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</si>
  <si>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</si>
  <si>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</si>
  <si>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</si>
  <si>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</si>
  <si>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</si>
  <si>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</si>
  <si>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</si>
  <si>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</si>
  <si>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</si>
  <si>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</si>
  <si>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</si>
  <si>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</si>
  <si>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</si>
  <si>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</si>
  <si>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</si>
  <si>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</si>
  <si>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</si>
  <si>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</si>
  <si>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</si>
  <si>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</si>
  <si>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</si>
  <si>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</si>
  <si>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</si>
  <si>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</si>
  <si>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</si>
  <si>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</si>
  <si>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</si>
  <si>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</si>
  <si>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</si>
  <si>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</si>
  <si>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</si>
  <si>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</si>
  <si>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</si>
  <si>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</si>
  <si>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</si>
  <si>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</si>
  <si>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</si>
  <si>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</si>
  <si>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</si>
  <si>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</si>
  <si>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</si>
  <si>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</si>
  <si>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</si>
  <si>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</si>
  <si>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</si>
  <si>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</si>
  <si>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</si>
  <si>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</si>
  <si>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</si>
  <si>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</si>
  <si>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</si>
  <si>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</si>
  <si>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</si>
  <si>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</si>
  <si>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</si>
  <si>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</si>
  <si>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</si>
  <si>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</si>
  <si>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</si>
  <si>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</si>
  <si>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</si>
  <si>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</si>
  <si>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</si>
  <si>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</si>
  <si>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</si>
  <si>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</si>
  <si>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</si>
  <si>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</si>
  <si>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</si>
  <si>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</si>
  <si>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</si>
  <si>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</si>
  <si>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</si>
  <si>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</si>
  <si>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</si>
  <si>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</si>
  <si>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</si>
  <si>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</si>
  <si>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</si>
  <si>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</si>
  <si>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</si>
  <si>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</si>
  <si>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</si>
  <si>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</si>
  <si>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</si>
  <si>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</si>
  <si>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</si>
  <si>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</si>
  <si>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</si>
  <si>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</si>
  <si>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</si>
  <si>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</si>
  <si>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</si>
  <si>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</si>
  <si>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</si>
  <si>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</si>
  <si>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</si>
  <si>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</si>
  <si>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</si>
  <si>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</si>
  <si>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</si>
  <si>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</si>
  <si>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</si>
  <si>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</si>
  <si>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</si>
  <si>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</si>
  <si>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</si>
  <si>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</si>
  <si>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</si>
  <si>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</si>
  <si>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</si>
  <si>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</si>
  <si>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</si>
  <si>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</si>
  <si>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</si>
  <si>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</si>
  <si>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</si>
  <si>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</si>
  <si>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</si>
  <si>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</si>
  <si>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</si>
  <si>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</si>
  <si>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</si>
  <si>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</si>
  <si>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</si>
  <si>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</si>
  <si>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</si>
  <si>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</si>
  <si>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</si>
  <si>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</si>
  <si>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</si>
  <si>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</si>
  <si>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</si>
  <si>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</si>
  <si>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</si>
  <si>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</si>
  <si>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</si>
  <si>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</si>
  <si>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</si>
  <si>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</si>
  <si>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</si>
  <si>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</si>
  <si>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</si>
  <si>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</si>
  <si>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</si>
  <si>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</si>
  <si>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</si>
  <si>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</si>
  <si>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</si>
  <si>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</si>
  <si>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</si>
  <si>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</si>
  <si>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</si>
  <si>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</si>
  <si>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</si>
  <si>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</si>
  <si>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</si>
  <si>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</si>
  <si>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</si>
  <si>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</si>
  <si>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</si>
  <si>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</si>
  <si>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</si>
  <si>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</si>
  <si>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</si>
  <si>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</si>
  <si>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</si>
  <si>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</si>
  <si>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</si>
  <si>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</si>
  <si>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</si>
  <si>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</si>
  <si>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</si>
  <si>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</si>
  <si>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</si>
  <si>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</si>
  <si>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</si>
  <si>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</si>
  <si>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</si>
  <si>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</si>
  <si>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</si>
  <si>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</si>
  <si>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</si>
  <si>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</si>
  <si>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</si>
  <si>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</si>
  <si>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</si>
  <si>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</si>
  <si>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</si>
  <si>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</si>
  <si>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</si>
  <si>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</si>
  <si>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</si>
  <si>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</si>
  <si>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</si>
  <si>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</si>
  <si>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</si>
  <si>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</si>
  <si>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</si>
  <si>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</si>
  <si>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</si>
  <si>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</si>
  <si>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</si>
  <si>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</si>
  <si>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</si>
  <si>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</si>
  <si>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</si>
  <si>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</si>
  <si>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</si>
  <si>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</si>
  <si>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</si>
  <si>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</si>
  <si>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</si>
  <si>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</si>
  <si>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</si>
  <si>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</si>
  <si>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</si>
  <si>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</si>
  <si>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</si>
  <si>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</si>
  <si>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</si>
  <si>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</si>
  <si>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</si>
  <si>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</si>
  <si>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</si>
  <si>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</si>
  <si>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</si>
  <si>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</si>
  <si>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</si>
  <si>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</si>
  <si>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</si>
  <si>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</si>
  <si>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</si>
  <si>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</si>
  <si>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</si>
  <si>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</si>
  <si>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</si>
  <si>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</si>
  <si>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</si>
  <si>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</si>
  <si>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</si>
  <si>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</si>
  <si>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</si>
  <si>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</si>
  <si>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</si>
  <si>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</si>
  <si>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</si>
  <si>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</si>
  <si>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</si>
  <si>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</si>
  <si>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</si>
  <si>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</si>
  <si>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</si>
  <si>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</si>
  <si>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</si>
  <si>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</si>
  <si>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</si>
  <si>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</si>
  <si>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</si>
  <si>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</si>
  <si>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</si>
  <si>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</si>
  <si>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</si>
  <si>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</si>
  <si>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</si>
  <si>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</si>
  <si>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</si>
  <si>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</si>
  <si>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</si>
  <si>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</si>
  <si>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</si>
  <si>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</si>
  <si>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</si>
  <si>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</si>
  <si>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</si>
  <si>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</si>
  <si>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</si>
  <si>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</si>
  <si>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</si>
  <si>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</si>
  <si>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</si>
  <si>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</si>
  <si>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</si>
  <si>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</si>
  <si>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</si>
  <si>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</si>
  <si>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</si>
  <si>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</si>
  <si>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</si>
  <si>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</si>
  <si>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</si>
  <si>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</si>
  <si>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</si>
  <si>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</si>
  <si>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</si>
  <si>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</si>
  <si>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</si>
  <si>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</si>
  <si>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</si>
  <si>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</si>
  <si>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</si>
  <si>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</si>
  <si>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</si>
  <si>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</si>
  <si>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</si>
  <si>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</si>
  <si>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</si>
  <si>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</si>
  <si>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</si>
  <si>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</si>
  <si>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</si>
  <si>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</si>
  <si>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</si>
  <si>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</si>
  <si>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</si>
  <si>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</si>
  <si>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</si>
  <si>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</si>
  <si>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</si>
  <si>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</si>
  <si>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</si>
  <si>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</si>
  <si>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</si>
  <si>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</si>
  <si>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</si>
  <si>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</si>
  <si>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</si>
  <si>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</si>
  <si>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</si>
  <si>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</si>
  <si>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</si>
  <si>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</si>
  <si>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</si>
  <si>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</si>
  <si>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</si>
  <si>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</si>
  <si>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</si>
  <si>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</si>
  <si>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</si>
  <si>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</si>
  <si>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</si>
  <si>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</si>
  <si>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</si>
  <si>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</si>
  <si>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</si>
  <si>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</si>
  <si>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</si>
  <si>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</si>
  <si>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</si>
  <si>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</si>
  <si>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</si>
  <si>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</si>
  <si>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</si>
  <si>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</si>
  <si>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</si>
  <si>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</si>
  <si>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</si>
  <si>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</si>
  <si>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</si>
  <si>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</si>
  <si>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</si>
  <si>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</si>
  <si>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</si>
  <si>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</si>
  <si>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</si>
  <si>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</si>
  <si>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</si>
  <si>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</si>
  <si>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</si>
  <si>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</si>
  <si>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</si>
  <si>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</si>
  <si>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</si>
  <si>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</si>
  <si>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</si>
  <si>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</si>
  <si>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</si>
  <si>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</si>
  <si>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</si>
  <si>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</si>
  <si>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</si>
  <si>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</si>
  <si>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</si>
  <si>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</si>
  <si>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</si>
  <si>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</si>
  <si>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</si>
  <si>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</si>
  <si>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</si>
  <si>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</si>
  <si>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</si>
  <si>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</si>
  <si>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</si>
  <si>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</si>
  <si>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</si>
  <si>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</si>
  <si>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</si>
  <si>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</si>
  <si>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</si>
  <si>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</si>
  <si>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</si>
  <si>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</si>
  <si>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</si>
  <si>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</si>
  <si>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</si>
  <si>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</si>
  <si>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</si>
  <si>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</si>
  <si>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</si>
  <si>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</si>
  <si>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</si>
  <si>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</si>
  <si>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</si>
  <si>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</si>
  <si>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</si>
  <si>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</si>
  <si>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</si>
  <si>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</si>
  <si>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</si>
  <si>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</si>
  <si>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</si>
  <si>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</si>
  <si>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</si>
  <si>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</si>
  <si>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</si>
  <si>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</si>
  <si>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</si>
  <si>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</si>
  <si>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</si>
  <si>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</si>
  <si>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</si>
  <si>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</si>
  <si>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</si>
  <si>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</si>
  <si>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</si>
  <si>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</si>
  <si>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</si>
  <si>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</si>
  <si>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</si>
  <si>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</si>
  <si>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</si>
  <si>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</si>
  <si>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</si>
  <si>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</si>
  <si>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</si>
  <si>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</si>
  <si>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</si>
  <si>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</si>
  <si>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</si>
  <si>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</si>
  <si>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</si>
  <si>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</si>
  <si>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</si>
  <si>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</si>
  <si>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</si>
  <si>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</si>
  <si>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</si>
  <si>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</si>
  <si>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</si>
  <si>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</si>
  <si>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</si>
  <si>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</si>
  <si>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</si>
  <si>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</si>
  <si>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</si>
  <si>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</si>
  <si>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</si>
  <si>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</si>
  <si>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</si>
  <si>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</si>
  <si>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</si>
  <si>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</si>
  <si>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</si>
  <si>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</si>
  <si>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</si>
  <si>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</si>
  <si>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</si>
  <si>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</si>
  <si>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</si>
  <si>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</si>
  <si>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</si>
  <si>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</si>
  <si>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</si>
  <si>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</si>
  <si>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</si>
  <si>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</si>
  <si>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</si>
  <si>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</si>
  <si>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</si>
  <si>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</si>
  <si>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</si>
  <si>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</si>
  <si>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</si>
  <si>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</si>
  <si>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</si>
  <si>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</si>
  <si>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</si>
  <si>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</si>
  <si>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</si>
  <si>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</si>
  <si>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</si>
  <si>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</si>
  <si>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</si>
  <si>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</si>
  <si>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</si>
  <si>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</si>
  <si>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</si>
  <si>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</si>
  <si>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</si>
  <si>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</si>
  <si>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</si>
  <si>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</si>
  <si>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</si>
  <si>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</si>
  <si>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</si>
  <si>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</si>
  <si>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</si>
  <si>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</si>
  <si>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</si>
  <si>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</si>
  <si>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</si>
  <si>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</si>
  <si>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</si>
  <si>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</si>
  <si>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</si>
  <si>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</si>
  <si>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</si>
  <si>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</si>
  <si>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</si>
  <si>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</si>
  <si>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</si>
  <si>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</si>
  <si>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</si>
  <si>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</si>
  <si>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</si>
  <si>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</si>
  <si>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</si>
  <si>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</si>
  <si>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</si>
  <si>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</si>
  <si>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</si>
  <si>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</si>
  <si>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</si>
  <si>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</si>
  <si>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</si>
  <si>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</si>
  <si>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</si>
  <si>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</si>
  <si>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</si>
  <si>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</si>
  <si>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</si>
  <si>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</si>
  <si>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</si>
  <si>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</si>
  <si>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</si>
  <si>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</si>
  <si>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</si>
  <si>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</si>
  <si>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</si>
  <si>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</si>
  <si>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</si>
  <si>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</si>
  <si>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</si>
  <si>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</si>
  <si>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</si>
  <si>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</si>
  <si>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</si>
  <si>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</si>
  <si>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</si>
  <si>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</si>
  <si>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</si>
  <si>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</si>
  <si>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</si>
  <si>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</si>
  <si>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</si>
  <si>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</si>
  <si>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</si>
  <si>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</si>
  <si>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</si>
  <si>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</si>
  <si>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</si>
  <si>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</si>
  <si>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</si>
  <si>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</si>
  <si>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</si>
  <si>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</si>
  <si>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</si>
  <si>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</si>
  <si>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</si>
  <si>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</si>
  <si>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</si>
  <si>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</si>
  <si>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</si>
  <si>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</si>
  <si>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</si>
  <si>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</si>
  <si>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</si>
  <si>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</si>
  <si>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</si>
  <si>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</si>
  <si>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</si>
  <si>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</si>
  <si>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</si>
  <si>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</si>
  <si>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</si>
  <si>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</si>
  <si>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</si>
  <si>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</si>
  <si>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</si>
  <si>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</si>
  <si>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</si>
  <si>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</si>
  <si>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</si>
  <si>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</si>
  <si>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</si>
  <si>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</si>
  <si>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</si>
  <si>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</si>
  <si>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</si>
  <si>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</si>
  <si>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</si>
  <si>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</si>
  <si>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</si>
  <si>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</si>
  <si>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</si>
  <si>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</si>
  <si>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</si>
  <si>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</si>
  <si>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</si>
  <si>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</si>
  <si>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</si>
  <si>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</si>
  <si>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</si>
  <si>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</si>
  <si>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</si>
  <si>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</si>
  <si>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</si>
  <si>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</si>
  <si>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</si>
  <si>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</si>
  <si>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</si>
  <si>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</si>
  <si>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</si>
  <si>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</si>
  <si>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</si>
  <si>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</si>
  <si>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</si>
  <si>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</si>
  <si>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</si>
  <si>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</si>
  <si>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</si>
  <si>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</si>
  <si>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</si>
  <si>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</si>
  <si>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</si>
  <si>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</si>
  <si>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</si>
  <si>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</si>
  <si>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</si>
  <si>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</si>
  <si>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</si>
  <si>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</si>
  <si>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</si>
  <si>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</si>
  <si>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</si>
  <si>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</si>
  <si>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</si>
  <si>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</si>
  <si>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</si>
  <si>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</si>
  <si>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</si>
  <si>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</si>
  <si>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</si>
  <si>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</si>
  <si>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</si>
  <si>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</si>
  <si>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</si>
  <si>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</si>
  <si>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</si>
  <si>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</si>
  <si>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</si>
  <si>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</si>
  <si>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</si>
  <si>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</si>
  <si>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</si>
  <si>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</si>
  <si>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</si>
  <si>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</si>
  <si>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</si>
  <si>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</si>
  <si>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</si>
  <si>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</si>
  <si>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</si>
  <si>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</si>
  <si>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</si>
  <si>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</si>
  <si>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</si>
  <si>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</si>
  <si>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</si>
  <si>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</si>
  <si>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</si>
  <si>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</si>
  <si>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</si>
  <si>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</si>
  <si>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</si>
  <si>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</si>
  <si>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</si>
  <si>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</si>
  <si>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</si>
  <si>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</si>
  <si>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</si>
  <si>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</si>
  <si>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</si>
  <si>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</si>
  <si>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</si>
  <si>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</si>
  <si>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</si>
  <si>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</si>
  <si>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</si>
  <si>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</si>
  <si>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</si>
  <si>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</si>
  <si>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</si>
  <si>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</si>
  <si>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</si>
  <si>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</si>
  <si>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</si>
  <si>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</si>
  <si>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</si>
  <si>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</si>
  <si>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</si>
  <si>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</si>
  <si>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</si>
  <si>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</si>
  <si>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</si>
  <si>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</si>
  <si>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</si>
  <si>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</si>
  <si>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</si>
  <si>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</si>
  <si>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</si>
  <si>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</si>
  <si>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</si>
  <si>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</si>
  <si>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</si>
  <si>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</si>
  <si>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</si>
  <si>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</si>
  <si>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</si>
  <si>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</si>
  <si>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</si>
  <si>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</si>
  <si>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</si>
  <si>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</si>
  <si>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</si>
  <si>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</si>
  <si>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</si>
  <si>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</si>
  <si>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</si>
  <si>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</si>
  <si>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</si>
  <si>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</si>
  <si>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</si>
  <si>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</si>
  <si>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</si>
  <si>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</si>
  <si>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</si>
  <si>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</si>
  <si>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</si>
  <si>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</si>
  <si>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</si>
  <si>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</si>
  <si>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</si>
  <si>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</si>
  <si>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</si>
  <si>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</si>
  <si>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</si>
  <si>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</si>
  <si>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</si>
  <si>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</si>
  <si>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</si>
  <si>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</si>
  <si>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</si>
  <si>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</si>
  <si>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</si>
  <si>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</si>
  <si>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</si>
  <si>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</si>
  <si>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</si>
  <si>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</si>
  <si>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</si>
  <si>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</si>
  <si>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</si>
  <si>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</si>
  <si>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</si>
  <si>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</si>
  <si>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</si>
  <si>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</si>
  <si>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</si>
  <si>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</si>
  <si>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</si>
  <si>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</si>
  <si>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</si>
  <si>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</si>
  <si>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</si>
  <si>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</si>
  <si>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</si>
  <si>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</si>
  <si>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</si>
  <si>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</si>
  <si>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</si>
  <si>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</si>
  <si>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</si>
  <si>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</si>
  <si>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</si>
  <si>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</si>
  <si>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</si>
  <si>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</si>
  <si>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</si>
  <si>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</si>
  <si>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</si>
  <si>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</si>
  <si>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</si>
  <si>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</si>
  <si>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</si>
  <si>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</si>
  <si>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</si>
  <si>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</si>
  <si>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</si>
  <si>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</si>
  <si>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</si>
  <si>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</si>
  <si>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</si>
  <si>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</si>
  <si>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</si>
  <si>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</si>
  <si>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</si>
  <si>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</si>
  <si>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</si>
  <si>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</si>
  <si>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</si>
  <si>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</si>
  <si>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</si>
  <si>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</si>
  <si>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</si>
  <si>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</si>
  <si>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</si>
  <si>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</si>
  <si>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</si>
  <si>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</si>
  <si>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</si>
  <si>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</si>
  <si>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</si>
  <si>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</si>
  <si>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</si>
  <si>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</si>
  <si>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</si>
  <si>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</si>
  <si>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</si>
  <si>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</si>
  <si>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</si>
  <si>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</si>
  <si>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</si>
  <si>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</si>
  <si>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</si>
  <si>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</si>
  <si>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</si>
  <si>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</si>
  <si>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</si>
  <si>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</si>
  <si>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</si>
  <si>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</si>
  <si>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</si>
  <si>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</si>
  <si>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</si>
  <si>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</si>
  <si>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</si>
  <si>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</si>
  <si>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</si>
  <si>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</si>
  <si>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</si>
  <si>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</si>
  <si>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</si>
  <si>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</si>
  <si>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</si>
  <si>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</si>
  <si>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</si>
  <si>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</si>
  <si>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</si>
  <si>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</si>
  <si>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</si>
  <si>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</si>
  <si>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</si>
  <si>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</si>
  <si>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</si>
  <si>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</si>
  <si>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</si>
  <si>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</si>
  <si>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</si>
  <si>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</si>
  <si>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</si>
  <si>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</si>
  <si>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</si>
  <si>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</si>
  <si>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</si>
  <si>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</si>
  <si>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</si>
  <si>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</si>
  <si>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</si>
  <si>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</si>
  <si>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</si>
  <si>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</si>
  <si>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</si>
  <si>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</si>
  <si>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</si>
  <si>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</si>
  <si>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</si>
  <si>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</si>
  <si>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</si>
  <si>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</si>
  <si>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</si>
  <si>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</si>
  <si>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</si>
  <si>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</si>
  <si>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</si>
  <si>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</si>
  <si>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</si>
  <si>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</si>
  <si>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</si>
  <si>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</si>
  <si>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</si>
  <si>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</si>
  <si>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</si>
  <si>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</si>
  <si>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</si>
  <si>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</si>
  <si>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</si>
  <si>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</si>
  <si>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</si>
  <si>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</si>
  <si>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</si>
  <si>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</si>
  <si>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</si>
  <si>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</si>
  <si>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</si>
  <si>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</si>
  <si>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</si>
  <si>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</si>
  <si>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</si>
  <si>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</si>
  <si>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</si>
  <si>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</si>
  <si>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</si>
  <si>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</si>
  <si>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</si>
  <si>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</si>
  <si>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</si>
  <si>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</si>
  <si>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</si>
  <si>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</si>
  <si>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</si>
  <si>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</si>
  <si>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</si>
  <si>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</si>
  <si>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</si>
  <si>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</si>
  <si>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</si>
  <si>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</si>
  <si>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</si>
  <si>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</si>
  <si>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</si>
  <si>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</si>
  <si>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</si>
  <si>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</si>
  <si>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</si>
  <si>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</si>
  <si>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</si>
  <si>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</si>
  <si>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</si>
  <si>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</si>
  <si>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</si>
  <si>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</si>
  <si>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</si>
  <si>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</si>
  <si>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</si>
  <si>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</si>
  <si>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</si>
  <si>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</si>
  <si>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</si>
  <si>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</si>
  <si>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</si>
  <si>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</si>
  <si>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</si>
  <si>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</si>
  <si>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</si>
  <si>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</si>
  <si>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</si>
  <si>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</si>
  <si>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</si>
  <si>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</si>
  <si>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</si>
  <si>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</si>
  <si>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</si>
  <si>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</si>
  <si>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</si>
  <si>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</si>
  <si>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</si>
  <si>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</si>
  <si>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</si>
  <si>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</si>
  <si>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</si>
  <si>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</si>
  <si>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</si>
  <si>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</si>
  <si>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</si>
  <si>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</si>
  <si>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</si>
  <si>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</si>
  <si>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</si>
  <si>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</si>
  <si>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</si>
  <si>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</si>
  <si>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</si>
  <si>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</si>
  <si>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</si>
  <si>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</si>
  <si>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</si>
  <si>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</si>
  <si>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</si>
  <si>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</si>
  <si>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</si>
  <si>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</si>
  <si>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</si>
  <si>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</si>
  <si>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</si>
  <si>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</si>
  <si>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</si>
  <si>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王鹏</t>
  </si>
  <si>
    <t>郑燚</t>
  </si>
  <si>
    <t>中信信托有限责任公司</t>
    <phoneticPr fontId="6" type="noConversion"/>
  </si>
  <si>
    <t>镇江新区城市建设投资有限公司</t>
    <phoneticPr fontId="6" type="noConversion"/>
  </si>
  <si>
    <t>企业</t>
  </si>
  <si>
    <t>其他：</t>
  </si>
  <si>
    <t>工业厂房、服务楼</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</si>
  <si>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镇国用（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7893</t>
    </r>
    <r>
      <rPr>
        <sz val="12"/>
        <color theme="9" tint="-0.249977111117893"/>
        <rFont val="宋体"/>
        <family val="3"/>
        <charset val="134"/>
      </rPr>
      <t>号</t>
    </r>
    <r>
      <rPr>
        <sz val="12"/>
        <color theme="9" tint="-0.249977111117893"/>
        <rFont val="Arial"/>
        <family val="2"/>
      </rPr>
      <t>]</t>
    </r>
    <phoneticPr fontId="6" type="noConversion"/>
  </si>
  <si>
    <t>《房屋所有权证》[镇房权证字第041010451100110号]</t>
    <phoneticPr fontId="6" type="noConversion"/>
  </si>
  <si>
    <t>否</t>
  </si>
  <si>
    <t>复印件</t>
  </si>
  <si>
    <t>工业项目</t>
  </si>
  <si>
    <t>无</t>
  </si>
  <si>
    <t>通路</t>
  </si>
  <si>
    <t>通电</t>
  </si>
  <si>
    <t>通讯</t>
  </si>
  <si>
    <t>通上水</t>
  </si>
  <si>
    <t>通下水</t>
  </si>
  <si>
    <t>办公楼</t>
  </si>
  <si>
    <t>双面临街</t>
  </si>
  <si>
    <t>主干道</t>
  </si>
  <si>
    <t>次干道</t>
  </si>
  <si>
    <t>新区（工）18-6-1</t>
    <phoneticPr fontId="3" type="noConversion"/>
  </si>
  <si>
    <t>新区（工）18-4-1</t>
    <phoneticPr fontId="3" type="noConversion"/>
  </si>
  <si>
    <t>DT1246G</t>
    <phoneticPr fontId="3" type="noConversion"/>
  </si>
  <si>
    <t>次干道</t>
    <phoneticPr fontId="33" type="noConversion"/>
  </si>
  <si>
    <t>成本法</t>
  </si>
  <si>
    <t>成本比率</t>
  </si>
  <si>
    <t>抵押</t>
  </si>
  <si>
    <t>房地产抵押价值</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</si>
  <si>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</si>
  <si>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</si>
  <si>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</si>
  <si>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</si>
  <si>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江苏省镇江市</t>
    <phoneticPr fontId="6" type="noConversion"/>
  </si>
  <si>
    <r>
      <rPr>
        <sz val="12"/>
        <color theme="9" tint="-0.249977111117893"/>
        <rFont val="宋体"/>
        <family val="3"/>
        <charset val="134"/>
      </rPr>
      <t>京口区镇江新区丁卯经十五路</t>
    </r>
    <r>
      <rPr>
        <sz val="12"/>
        <color theme="9" tint="-0.249977111117893"/>
        <rFont val="Arial"/>
        <family val="2"/>
      </rPr>
      <t>99</t>
    </r>
    <r>
      <rPr>
        <sz val="12"/>
        <color theme="9" tint="-0.249977111117893"/>
        <rFont val="宋体"/>
        <family val="3"/>
        <charset val="134"/>
      </rPr>
      <t>号</t>
    </r>
    <r>
      <rPr>
        <sz val="12"/>
        <color theme="9" tint="-0.249977111117893"/>
        <rFont val="Arial"/>
        <family val="2"/>
      </rPr>
      <t>17</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幢工业厂房、服务楼用房</t>
    </r>
    <phoneticPr fontId="6" type="noConversion"/>
  </si>
  <si>
    <t>六通</t>
  </si>
  <si>
    <t>工业厂房</t>
  </si>
  <si>
    <t>工业厂房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</si>
</sst>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98" fillId="2"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江苏省镇江市京口区镇江新区丁卯经十五路99号17幢等5幢工业厂房、服务楼用房房地产抵押价值预评估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受贵公司委托，我公司对江苏省镇江市京口区镇江新区丁卯经十五路99号17幢等5幢工业厂房、服务楼用房房地产抵押价值进行了预评估。</v>
      </c>
    </row>
    <row r="7" spans="1:2" s="1593" customFormat="1">
      <c r="A7" s="1591" t="s">
        <v>1260</v>
      </c>
      <c r="B7" s="1592" t="str">
        <f>'预评函-1'!A7</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2019年4月29日（评估专业人员实地查勘之日）</v>
      </c>
    </row>
    <row r="13" spans="1:2" s="1593" customFormat="1">
      <c r="A13" s="1591" t="s">
        <v>1223</v>
      </c>
      <c r="B13" s="1592" t="str">
        <f>'预评函-1'!A18</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4" spans="1:2" s="1593" customFormat="1">
      <c r="A14" s="1591" t="s">
        <v>1224</v>
      </c>
      <c r="B14" s="1592" t="str">
        <f>'预评函-1'!A19</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10152</v>
      </c>
    </row>
    <row r="21" spans="1:2" s="1593" customFormat="1">
      <c r="A21" s="1591" t="s">
        <v>1231</v>
      </c>
      <c r="B21" s="1592">
        <f ca="1">'预评函-2'!D7</f>
        <v>5504</v>
      </c>
    </row>
    <row r="22" spans="1:2" s="1593" customFormat="1">
      <c r="A22" s="1591" t="s">
        <v>1232</v>
      </c>
      <c r="B22" s="1592" t="str">
        <f ca="1">'预评函-2'!D6</f>
        <v>壹亿零壹佰伍拾贰万元整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10152</v>
      </c>
    </row>
    <row r="31" spans="1:2" s="1593" customFormat="1">
      <c r="A31" s="1591" t="s">
        <v>1270</v>
      </c>
      <c r="B31" s="1592">
        <f ca="1">'预评函-2'!D15</f>
        <v>5504</v>
      </c>
    </row>
    <row r="32" spans="1:2" s="1593" customFormat="1">
      <c r="A32" s="1591" t="s">
        <v>1237</v>
      </c>
      <c r="B32" s="1592" t="str">
        <f ca="1">'预评函-2'!D14</f>
        <v>壹亿零壹佰伍拾贰万元整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江苏省镇江市京口区镇江新区丁卯经十五路99号17幢等5幢工业厂房、服务楼用房房地产</v>
      </c>
    </row>
    <row r="42" spans="1:2" s="1593" customFormat="1">
      <c r="A42" s="1591" t="s">
        <v>1284</v>
      </c>
      <c r="B42" s="1592" t="str">
        <f>'预评函-3'!B2</f>
        <v>建筑面积</v>
      </c>
    </row>
    <row r="43" spans="1:2" s="1593" customFormat="1">
      <c r="A43" s="1591" t="s">
        <v>1285</v>
      </c>
      <c r="B43" s="1592">
        <f>'预评函-3'!B4</f>
        <v>18444.57</v>
      </c>
    </row>
    <row r="44" spans="1:2" s="1593" customFormat="1">
      <c r="A44" s="1591" t="s">
        <v>1269</v>
      </c>
      <c r="B44" s="1592" t="str">
        <f>'预评函-3'!C2</f>
        <v>(分摊)土地面积</v>
      </c>
    </row>
    <row r="45" spans="1:2" s="1593" customFormat="1">
      <c r="A45" s="1591" t="s">
        <v>1241</v>
      </c>
      <c r="B45" s="1592">
        <f>'预评函-3'!C4</f>
        <v>7338.5</v>
      </c>
    </row>
    <row r="46" spans="1:2" s="1593" customFormat="1">
      <c r="A46" s="1591" t="s">
        <v>1267</v>
      </c>
      <c r="B46" s="1592" t="str">
        <f>'预评函-3'!D2</f>
        <v>出让国有建设用地使用权价值</v>
      </c>
    </row>
    <row r="47" spans="1:2" s="1593" customFormat="1">
      <c r="A47" s="1591" t="s">
        <v>1242</v>
      </c>
      <c r="B47" s="1592">
        <f ca="1">'预评函-3'!D4</f>
        <v>1401</v>
      </c>
    </row>
    <row r="48" spans="1:2" s="1593" customFormat="1">
      <c r="A48" s="1591" t="s">
        <v>1243</v>
      </c>
      <c r="B48" s="1592">
        <f ca="1">'预评函-3'!E4</f>
        <v>760</v>
      </c>
    </row>
    <row r="49" spans="1:2" s="1593" customFormat="1">
      <c r="A49" s="1591" t="s">
        <v>1244</v>
      </c>
      <c r="B49" s="1592" t="str">
        <f ca="1">'预评函-3'!D5</f>
        <v>壹仟肆佰零壹万元整</v>
      </c>
    </row>
    <row r="50" spans="1:2" s="1593" customFormat="1">
      <c r="A50" s="1591" t="s">
        <v>1268</v>
      </c>
      <c r="B50" s="1592" t="str">
        <f>'预评函-3'!F2</f>
        <v>在建建筑物价值</v>
      </c>
    </row>
    <row r="51" spans="1:2" s="1593" customFormat="1">
      <c r="A51" s="1591" t="s">
        <v>1245</v>
      </c>
      <c r="B51" s="1592">
        <f ca="1">'预评函-3'!F4</f>
        <v>8751</v>
      </c>
    </row>
    <row r="52" spans="1:2" s="1593" customFormat="1">
      <c r="A52" s="1591" t="s">
        <v>1246</v>
      </c>
      <c r="B52" s="1592">
        <f ca="1">'预评函-3'!G4</f>
        <v>4744</v>
      </c>
    </row>
    <row r="53" spans="1:2" s="1593" customFormat="1">
      <c r="A53" s="1591" t="s">
        <v>1274</v>
      </c>
      <c r="B53" s="1592" t="str">
        <f ca="1">'预评函-3'!F5</f>
        <v>捌仟柒佰伍拾壹万元整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XX年(多用途剩余年限尾数不同时，可只体现小数点后一位)，假定未设立法定优先受偿款下的房地产市场价值。</v>
      </c>
    </row>
    <row r="54" spans="1:4">
      <c r="A54" s="3002"/>
      <c r="B54" s="2022" t="s">
        <v>861</v>
      </c>
      <c r="C54" s="2019" t="s">
        <v>1277</v>
      </c>
    </row>
    <row r="55" spans="1:4">
      <c r="A55" s="3002"/>
      <c r="B55" s="2022" t="s">
        <v>862</v>
      </c>
      <c r="C55" s="2019" t="s">
        <v>1278</v>
      </c>
    </row>
    <row r="56" spans="1:4">
      <c r="A56" s="3002"/>
      <c r="B56" s="2022" t="s">
        <v>863</v>
      </c>
      <c r="C56" s="2019" t="s">
        <v>1282</v>
      </c>
    </row>
    <row r="57" spans="1:4">
      <c r="A57" s="300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7" sqref="J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03" t="str">
        <f>IF(B10="北京市","北京市",C10)&amp;F10&amp;IF(结果表!G1="在建","出让国有建设用地使用权及在建建筑物",IF(结果表!G1="土地","出让国有建设用地使用权",))&amp;B9&amp;"预评估"</f>
        <v>江苏省镇江市京口区镇江新区丁卯经十五路99号17幢等5幢工业厂房、服务楼用房房地产抵押价值预评估</v>
      </c>
      <c r="C1" s="3004"/>
      <c r="D1" s="3004"/>
      <c r="E1" s="3004"/>
      <c r="F1" s="3004"/>
      <c r="G1" s="3004"/>
      <c r="H1" s="3004"/>
      <c r="I1" s="300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江苏省镇江市京口区镇江新区丁卯经十五路99号17幢等5幢工业厂房、服务楼用房房地产抵押价值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江苏省镇江市京口区镇江新区丁卯经十五路99号17幢等5幢工业厂房、服务楼用房房地产</v>
      </c>
    </row>
    <row r="3" spans="1:19" ht="18" customHeight="1">
      <c r="A3" s="2035" t="s">
        <v>1774</v>
      </c>
      <c r="B3" s="2036">
        <v>43584</v>
      </c>
      <c r="C3" s="2037" t="s">
        <v>1775</v>
      </c>
      <c r="D3" s="2036">
        <v>43584</v>
      </c>
      <c r="E3" s="2026"/>
      <c r="F3" s="2026"/>
      <c r="G3" s="2026"/>
      <c r="H3" s="2026"/>
      <c r="I3" s="2026"/>
      <c r="J3" s="2026"/>
      <c r="K3" s="2027"/>
      <c r="L3" s="2028"/>
      <c r="M3" s="2028"/>
      <c r="N3" s="2029"/>
      <c r="O3" s="2030"/>
      <c r="P3" s="2029"/>
      <c r="Q3" s="2029"/>
      <c r="R3" s="2029"/>
      <c r="S3" s="2031"/>
    </row>
    <row r="4" spans="1:19" ht="18" customHeight="1" thickBot="1">
      <c r="A4" s="2038" t="s">
        <v>1776</v>
      </c>
      <c r="B4" s="2039" t="s">
        <v>3164</v>
      </c>
      <c r="C4" s="1037">
        <f ca="1">SUMIF(注册房地产估价师,B4,估价师及机构信息!B3:B24)</f>
        <v>1120050019</v>
      </c>
      <c r="D4" s="2039" t="s">
        <v>3165</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55" t="s">
        <v>3166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55" t="s">
        <v>3166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6" t="s">
        <v>3167</v>
      </c>
      <c r="C7" s="2048"/>
      <c r="D7" s="2049"/>
      <c r="E7" s="2034"/>
      <c r="F7" s="2042"/>
      <c r="G7" s="2042"/>
      <c r="H7" s="2042"/>
      <c r="I7" s="2042"/>
      <c r="J7" s="2042"/>
      <c r="K7" s="2051"/>
      <c r="L7" s="2028"/>
      <c r="M7" s="2028"/>
      <c r="N7" s="2029"/>
      <c r="O7" s="2030"/>
      <c r="P7" s="2029"/>
      <c r="Q7" s="2029"/>
      <c r="R7" s="2029"/>
    </row>
    <row r="8" spans="1:19" ht="18" customHeight="1">
      <c r="A8" s="2047" t="s">
        <v>1780</v>
      </c>
      <c r="B8" s="2052" t="s">
        <v>3192</v>
      </c>
      <c r="C8" s="2053"/>
      <c r="D8" s="3006" t="s">
        <v>1781</v>
      </c>
      <c r="E8" s="2054" t="s">
        <v>3193</v>
      </c>
      <c r="F8" s="2055"/>
      <c r="G8" s="2026"/>
      <c r="H8" s="2026"/>
      <c r="I8" s="2026"/>
      <c r="J8" s="2042"/>
      <c r="K8" s="2043"/>
      <c r="L8" s="2028"/>
      <c r="M8" s="2028"/>
      <c r="N8" s="2029"/>
      <c r="O8" s="2030"/>
      <c r="P8" s="2029"/>
      <c r="Q8" s="2029"/>
      <c r="R8" s="2029"/>
    </row>
    <row r="9" spans="1:19" ht="18" customHeight="1" thickBot="1">
      <c r="A9" s="2040" t="s">
        <v>1782</v>
      </c>
      <c r="B9" s="2056" t="s">
        <v>3193</v>
      </c>
      <c r="C9" s="2057"/>
      <c r="D9" s="3007"/>
      <c r="E9" s="2056" t="s">
        <v>70</v>
      </c>
      <c r="F9" s="2058"/>
      <c r="G9" s="2059"/>
      <c r="H9" s="2059"/>
      <c r="I9" s="2059"/>
      <c r="J9" s="2042"/>
      <c r="K9" s="2051"/>
      <c r="L9" s="2028"/>
      <c r="M9" s="2028"/>
      <c r="N9" s="2029"/>
      <c r="O9" s="2030"/>
      <c r="P9" s="2029"/>
      <c r="Q9" s="2029"/>
      <c r="R9" s="2029"/>
    </row>
    <row r="10" spans="1:19" ht="18" customHeight="1" thickTop="1">
      <c r="A10" s="2060" t="s">
        <v>1783</v>
      </c>
      <c r="B10" s="2061" t="s">
        <v>3169</v>
      </c>
      <c r="C10" s="2957" t="s">
        <v>3198</v>
      </c>
      <c r="D10" s="2046"/>
      <c r="E10" s="2062" t="s">
        <v>1784</v>
      </c>
      <c r="F10" s="2063" t="s">
        <v>3199</v>
      </c>
      <c r="G10" s="2064"/>
      <c r="H10" s="2065"/>
      <c r="I10" s="2046"/>
      <c r="J10" s="2042"/>
      <c r="K10" s="2051"/>
      <c r="L10" s="2028"/>
      <c r="M10" s="2028"/>
      <c r="N10" s="2029"/>
      <c r="O10" s="2030"/>
      <c r="P10" s="2029"/>
      <c r="Q10" s="2029"/>
      <c r="R10" s="2029"/>
    </row>
    <row r="11" spans="1:19" ht="18" customHeight="1">
      <c r="A11" s="2066" t="s">
        <v>1785</v>
      </c>
      <c r="B11" s="2067" t="s">
        <v>3168</v>
      </c>
      <c r="C11" s="2956" t="s">
        <v>3167</v>
      </c>
      <c r="D11" s="2068"/>
      <c r="E11" s="2042"/>
      <c r="F11" s="2042"/>
      <c r="G11" s="2042"/>
      <c r="H11" s="2042"/>
      <c r="I11" s="2042"/>
      <c r="J11" s="2042"/>
      <c r="K11" s="2051"/>
      <c r="L11" s="2028"/>
      <c r="M11" s="2028"/>
      <c r="N11" s="2029"/>
      <c r="O11" s="2030"/>
      <c r="P11" s="2029"/>
      <c r="Q11" s="2029"/>
      <c r="R11" s="2029"/>
    </row>
    <row r="12" spans="1:19" ht="18" customHeight="1">
      <c r="A12" s="2069" t="s">
        <v>1786</v>
      </c>
      <c r="B12" s="2067" t="s">
        <v>3039</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58585</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41.09</v>
      </c>
      <c r="J15" s="2042"/>
      <c r="K15" s="2078"/>
      <c r="L15" s="2079"/>
      <c r="M15" s="2079"/>
      <c r="N15" s="2080"/>
      <c r="O15" s="2079"/>
      <c r="P15" s="2080"/>
      <c r="Q15" s="2029"/>
      <c r="R15" s="2029"/>
    </row>
    <row r="16" spans="1:19" ht="30.75" customHeight="1">
      <c r="A16" s="2062" t="s">
        <v>1797</v>
      </c>
      <c r="B16" s="3013" t="s">
        <v>3170</v>
      </c>
      <c r="C16" s="3014"/>
      <c r="D16" s="3015"/>
      <c r="E16" s="2081" t="s">
        <v>1798</v>
      </c>
      <c r="F16" s="3016">
        <v>41.09</v>
      </c>
      <c r="G16" s="3017"/>
      <c r="H16" s="3017"/>
      <c r="I16" s="3018"/>
      <c r="J16" s="2029"/>
      <c r="K16" s="2078"/>
      <c r="L16" s="2079"/>
      <c r="M16" s="2079"/>
      <c r="N16" s="2080"/>
      <c r="O16" s="2079"/>
      <c r="P16" s="2080"/>
      <c r="Q16" s="2029"/>
      <c r="R16" s="2029"/>
    </row>
    <row r="17" spans="1:22" ht="18" customHeight="1">
      <c r="A17" s="2082" t="s">
        <v>1799</v>
      </c>
      <c r="B17" s="2035" t="s">
        <v>1800</v>
      </c>
      <c r="C17" s="1054">
        <f>'数据-汇总表'!E3</f>
        <v>18444.57</v>
      </c>
      <c r="D17" s="2083" t="s">
        <v>1801</v>
      </c>
      <c r="E17" s="3019" t="s">
        <v>3172</v>
      </c>
      <c r="F17" s="3020"/>
      <c r="G17" s="3020"/>
      <c r="H17" s="3020"/>
      <c r="I17" s="3021"/>
      <c r="J17" s="2029"/>
      <c r="K17" s="2084"/>
      <c r="L17" s="2079"/>
      <c r="M17" s="2079"/>
      <c r="N17" s="2080"/>
      <c r="O17" s="2079"/>
      <c r="P17" s="2080"/>
      <c r="Q17" s="2029"/>
      <c r="R17" s="2029"/>
      <c r="S17" s="2029"/>
      <c r="T17" s="2029"/>
      <c r="U17" s="2029"/>
      <c r="V17" s="2029"/>
    </row>
    <row r="18" spans="1:22" ht="36" customHeight="1" thickBot="1">
      <c r="A18" s="2085" t="s">
        <v>70</v>
      </c>
      <c r="B18" s="2038" t="s">
        <v>1802</v>
      </c>
      <c r="C18" s="1444">
        <f>'数据-汇总表'!D3</f>
        <v>7338.5</v>
      </c>
      <c r="D18" s="2086" t="s">
        <v>1801</v>
      </c>
      <c r="E18" s="3022" t="s">
        <v>3171</v>
      </c>
      <c r="F18" s="3023"/>
      <c r="G18" s="3023"/>
      <c r="H18" s="3023"/>
      <c r="I18" s="3024"/>
      <c r="J18" s="2029"/>
      <c r="K18" s="2084"/>
      <c r="L18" s="2079"/>
      <c r="M18" s="2079"/>
      <c r="N18" s="2080"/>
      <c r="O18" s="2079"/>
      <c r="P18" s="2080"/>
      <c r="Q18" s="2029"/>
      <c r="R18" s="2029"/>
      <c r="S18" s="2029"/>
      <c r="T18" s="2029"/>
      <c r="U18" s="2029"/>
      <c r="V18" s="2029"/>
    </row>
    <row r="19" spans="1:22" ht="37.5" customHeight="1" thickTop="1" thickBot="1">
      <c r="A19" s="373" t="s">
        <v>1803</v>
      </c>
      <c r="B19" s="352" t="s">
        <v>1804</v>
      </c>
      <c r="C19" s="2087" t="s">
        <v>3173</v>
      </c>
      <c r="D19" s="2088" t="s">
        <v>1805</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1806</v>
      </c>
      <c r="B20" s="3009" t="s">
        <v>1807</v>
      </c>
      <c r="C20" s="3010"/>
      <c r="D20" s="3011" t="s">
        <v>1808</v>
      </c>
      <c r="E20" s="3012"/>
      <c r="F20" s="2093" t="s">
        <v>1809</v>
      </c>
      <c r="G20" s="2042"/>
      <c r="H20" s="2042"/>
      <c r="I20" s="2042"/>
      <c r="J20" s="2042"/>
      <c r="K20" s="3008"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0"/>
      <c r="O20" s="2079"/>
      <c r="P20" s="2080"/>
      <c r="Q20" s="2029"/>
      <c r="R20" s="2029"/>
      <c r="S20" s="2029"/>
      <c r="T20" s="2029"/>
      <c r="U20" s="2029"/>
      <c r="V20" s="2029"/>
    </row>
    <row r="21" spans="1:22" ht="24.75" customHeight="1">
      <c r="A21" s="2092"/>
      <c r="B21" s="2094" t="s">
        <v>1811</v>
      </c>
      <c r="C21" s="2095" t="s">
        <v>3174</v>
      </c>
      <c r="D21" s="2096"/>
      <c r="E21" s="2097"/>
      <c r="F21" s="2098"/>
      <c r="G21" s="2042"/>
      <c r="H21" s="2042"/>
      <c r="I21" s="2042"/>
      <c r="J21" s="2042"/>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c r="C22" s="2095"/>
      <c r="D22" s="2026"/>
      <c r="E22" s="2026"/>
      <c r="F22" s="2100"/>
      <c r="G22" s="2042"/>
      <c r="H22" s="2042"/>
      <c r="I22" s="2042"/>
      <c r="J22" s="2042"/>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1816</v>
      </c>
      <c r="C26" s="2111"/>
      <c r="D26" s="2112" t="s">
        <v>1817</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26" t="s">
        <v>1818</v>
      </c>
      <c r="B27" s="2060" t="s">
        <v>1819</v>
      </c>
      <c r="C27" s="2115" t="s">
        <v>3175</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26"/>
      <c r="B28" s="2035" t="s">
        <v>1820</v>
      </c>
      <c r="C28" s="2117" t="s">
        <v>3176</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26"/>
      <c r="B29" s="2035" t="s">
        <v>1821</v>
      </c>
      <c r="C29" s="2120" t="s">
        <v>3173</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27"/>
      <c r="B30" s="2035" t="s">
        <v>1822</v>
      </c>
      <c r="C30" s="3028"/>
      <c r="D30" s="3029"/>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0" t="s">
        <v>1823</v>
      </c>
      <c r="B31" s="2122" t="s">
        <v>3162</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31"/>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1"/>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29" t="s">
        <v>3177</v>
      </c>
      <c r="C34" s="2129" t="s">
        <v>3178</v>
      </c>
      <c r="D34" s="2129" t="s">
        <v>3179</v>
      </c>
      <c r="E34" s="2129" t="s">
        <v>3180</v>
      </c>
      <c r="F34" s="2129" t="s">
        <v>3181</v>
      </c>
      <c r="G34" s="2129" t="s">
        <v>70</v>
      </c>
      <c r="H34" s="2129" t="s">
        <v>70</v>
      </c>
      <c r="I34" s="2042"/>
      <c r="J34" s="2042"/>
      <c r="K34" s="1795">
        <f>COUNTIF(B34:H34,"——")</f>
        <v>2</v>
      </c>
      <c r="L34" s="2070" t="s">
        <v>1825</v>
      </c>
      <c r="M34" s="2070" t="s">
        <v>1826</v>
      </c>
      <c r="N34" s="2070" t="s">
        <v>1827</v>
      </c>
      <c r="O34" s="2070" t="s">
        <v>1828</v>
      </c>
      <c r="P34" s="2070" t="s">
        <v>1829</v>
      </c>
      <c r="Q34" s="2070" t="s">
        <v>1830</v>
      </c>
      <c r="R34" s="2070" t="s">
        <v>1831</v>
      </c>
      <c r="S34" s="3025" t="s">
        <v>1832</v>
      </c>
      <c r="T34" s="2130" t="str">
        <f>NUMBERSTRING(7-K34,1)&amp;"通"</f>
        <v>五通</v>
      </c>
      <c r="U34" s="2029"/>
      <c r="V34" s="2029"/>
    </row>
    <row r="35" spans="1:22" ht="18" customHeight="1">
      <c r="A35" s="2131"/>
      <c r="B35" s="3032" t="s">
        <v>1833</v>
      </c>
      <c r="C35" s="3032"/>
      <c r="D35" s="3032"/>
      <c r="E35" s="3032"/>
      <c r="F35" s="2132" t="str">
        <f>C10</f>
        <v>江苏省镇江市</v>
      </c>
      <c r="G35" s="2042"/>
      <c r="H35" s="2042"/>
      <c r="I35" s="2042"/>
      <c r="J35" s="2042"/>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29"/>
      <c r="V35" s="2029"/>
    </row>
    <row r="36" spans="1:22" ht="18" customHeight="1">
      <c r="A36" s="2133"/>
      <c r="B36" s="2132" t="s">
        <v>1834</v>
      </c>
      <c r="C36" s="2132" t="s">
        <v>1835</v>
      </c>
      <c r="D36" s="2132" t="s">
        <v>1836</v>
      </c>
      <c r="E36" s="2132" t="s">
        <v>1837</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1838</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1839</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1304.4+1304.4+1312.8+1312.8+2104.1</f>
        <v>7338.5</v>
      </c>
      <c r="B3" s="14">
        <f>IF(C3="否",G5-AT5,G5)</f>
        <v>18444.57</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18444.57</v>
      </c>
      <c r="H5" s="16">
        <f t="shared" ref="H5:AT5" si="0">SUM(H13:H656)</f>
        <v>18444.57</v>
      </c>
      <c r="I5" s="16">
        <f t="shared" si="0"/>
        <v>18444.57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18444.57</v>
      </c>
      <c r="BA5" s="18">
        <f t="shared" si="1"/>
        <v>18444.57</v>
      </c>
      <c r="BB5" s="18">
        <f t="shared" si="1"/>
        <v>18444.57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7338.5</v>
      </c>
      <c r="F6" s="16" t="s">
        <v>1</v>
      </c>
      <c r="G6" s="16" t="s">
        <v>2</v>
      </c>
      <c r="H6" s="20">
        <f>SUMIF(I$12:AB$12,"总值",I6:AB6)</f>
        <v>7338.5</v>
      </c>
      <c r="I6" s="16">
        <f t="shared" ref="I6:AB6" si="2">ROUND($A$3*I5/$B$3,2)</f>
        <v>7338.5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7338.5</v>
      </c>
      <c r="AZ6" s="16" t="s">
        <v>3</v>
      </c>
      <c r="BA6" s="16">
        <f>ROUND($AY$6*BA5/$AZ$5,2)</f>
        <v>7338.5</v>
      </c>
      <c r="BB6" s="16">
        <f>ROUND($AY$6*BB5/$AZ$5,2)</f>
        <v>7338.5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3041</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3182</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3291" t="s">
        <v>3202</v>
      </c>
      <c r="D13" s="2209" t="s">
        <v>3040</v>
      </c>
      <c r="E13" s="16">
        <f>IF($C$3="是",ROUND($A$3*G13/$B$3,2),ROUND($A$3*(G13-AT13)/$B$3,2))</f>
        <v>7338.5</v>
      </c>
      <c r="F13" s="32"/>
      <c r="G13" s="33">
        <f>H13+AC13+AT13</f>
        <v>18444.57</v>
      </c>
      <c r="H13" s="20">
        <f>SUMIF(I$12:AB$12,"总值",I13:AB13)</f>
        <v>18444.57</v>
      </c>
      <c r="I13" s="2210">
        <f>3689.44+3689.44+3689.44+3689.44+3686.81</f>
        <v>18444.57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工业厂房</v>
      </c>
      <c r="AY13" s="1806">
        <f>ROUND($AY$6*AZ13/$AZ$5,2)</f>
        <v>7338.5</v>
      </c>
      <c r="AZ13" s="16">
        <f>BA13+BL13</f>
        <v>18444.57</v>
      </c>
      <c r="BA13" s="16">
        <f>SUM(BB13:BK13)</f>
        <v>18444.57</v>
      </c>
      <c r="BB13" s="16">
        <f>IF($D13="是",I13-J13,0)</f>
        <v>18444.57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7" sqref="K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44" t="s">
        <v>1929</v>
      </c>
      <c r="B2" s="3044"/>
      <c r="C2" s="3044"/>
      <c r="D2" s="967" t="s">
        <v>1905</v>
      </c>
      <c r="E2" s="2223" t="s">
        <v>1906</v>
      </c>
      <c r="F2" s="1392"/>
      <c r="G2" s="2224"/>
      <c r="H2" s="2225"/>
      <c r="I2" s="2226" t="s">
        <v>1930</v>
      </c>
      <c r="J2" s="1392"/>
      <c r="K2" s="1392"/>
      <c r="L2" s="1392"/>
      <c r="M2" s="1392"/>
      <c r="N2" s="1427"/>
      <c r="O2" s="1392"/>
      <c r="P2" s="1392"/>
    </row>
    <row r="3" spans="1:16" ht="15.75" thickBot="1">
      <c r="A3" s="3045" t="s">
        <v>1903</v>
      </c>
      <c r="B3" s="3045"/>
      <c r="C3" s="3045"/>
      <c r="D3" s="46">
        <f>'数据-基础表'!AY6</f>
        <v>7338.5</v>
      </c>
      <c r="E3" s="46">
        <f>'数据-基础表'!AZ5</f>
        <v>18444.57</v>
      </c>
      <c r="F3" s="1392"/>
      <c r="G3" s="1399"/>
      <c r="H3" s="1247" t="s">
        <v>1904</v>
      </c>
      <c r="I3" s="55">
        <f>ROUND('数据-基础表'!B3/'数据-基础表'!A3,2)</f>
        <v>2.5099999999999998</v>
      </c>
      <c r="J3" s="1392"/>
      <c r="K3" s="1392"/>
      <c r="L3" s="1392"/>
      <c r="M3" s="1392"/>
      <c r="N3" s="1427"/>
      <c r="O3" s="1392"/>
      <c r="P3" s="1392"/>
    </row>
    <row r="4" spans="1:16" ht="15">
      <c r="A4" s="3046"/>
      <c r="B4" s="3047"/>
      <c r="C4" s="3048"/>
      <c r="D4" s="2227" t="s">
        <v>1905</v>
      </c>
      <c r="E4" s="2228" t="s">
        <v>1906</v>
      </c>
      <c r="F4" s="1392"/>
      <c r="G4" s="2229" t="s">
        <v>1931</v>
      </c>
      <c r="H4" s="1247" t="s">
        <v>1911</v>
      </c>
      <c r="I4" s="55">
        <f>ROUND(SUMIF('数据-基础表'!I9:AS9,"地上",'数据-基础表'!I5:AS5)/'数据-基础表'!A3,2)</f>
        <v>2.5099999999999998</v>
      </c>
      <c r="J4" s="1392"/>
      <c r="K4" s="1392"/>
      <c r="L4" s="1392"/>
      <c r="M4" s="1392"/>
      <c r="N4" s="1427"/>
      <c r="O4" s="1392"/>
      <c r="P4" s="1392"/>
    </row>
    <row r="5" spans="1:16">
      <c r="A5" s="47" t="s">
        <v>1907</v>
      </c>
      <c r="B5" s="3049" t="s">
        <v>1908</v>
      </c>
      <c r="C5" s="3049"/>
      <c r="D5" s="48">
        <f>ROUND($D$3*E5/$E$3,2)</f>
        <v>0</v>
      </c>
      <c r="E5" s="49">
        <f>SUMIF('数据-基础表'!$11:$11,"住宅",'数据-基础表'!$5:$5)</f>
        <v>0</v>
      </c>
      <c r="F5" s="1392"/>
      <c r="G5" s="1399"/>
      <c r="H5" s="1247" t="s">
        <v>1904</v>
      </c>
      <c r="I5" s="55">
        <f>ROUND(E31/D31,2)</f>
        <v>2.5099999999999998</v>
      </c>
      <c r="J5" s="1392"/>
      <c r="K5" s="1392"/>
      <c r="L5" s="1392"/>
      <c r="M5" s="1392"/>
      <c r="N5" s="1392"/>
      <c r="O5" s="1392"/>
      <c r="P5" s="1392"/>
    </row>
    <row r="6" spans="1:16" ht="15" thickBot="1">
      <c r="A6" s="2230"/>
      <c r="B6" s="3049" t="s">
        <v>1909</v>
      </c>
      <c r="C6" s="3049"/>
      <c r="D6" s="48">
        <f>ROUND($D$3*E6/$E$3,2)</f>
        <v>7338.5</v>
      </c>
      <c r="E6" s="49">
        <f>E3-E5</f>
        <v>18444.57</v>
      </c>
      <c r="F6" s="1392"/>
      <c r="G6" s="2231" t="s">
        <v>1910</v>
      </c>
      <c r="H6" s="1399" t="s">
        <v>1911</v>
      </c>
      <c r="I6" s="939">
        <f>ROUND(F31/D31,2)</f>
        <v>2.5099999999999998</v>
      </c>
      <c r="J6" s="1392"/>
      <c r="K6" s="1392"/>
      <c r="L6" s="1392"/>
      <c r="M6" s="1392"/>
      <c r="N6" s="1392"/>
      <c r="O6" s="1392"/>
      <c r="P6" s="1392"/>
    </row>
    <row r="7" spans="1:16" ht="15">
      <c r="A7" s="3041"/>
      <c r="B7" s="3042"/>
      <c r="C7" s="3043"/>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7338.5</v>
      </c>
      <c r="E8" s="51">
        <f>SUMIF('数据-基础表'!BB10:BK10,"地上",'数据-基础表'!BB5:BK5)</f>
        <v>18444.57</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7338.5</v>
      </c>
      <c r="E16" s="53">
        <f>SUM(E8:E15)</f>
        <v>18444.57</v>
      </c>
      <c r="F16" s="1392"/>
      <c r="G16" s="2233"/>
      <c r="H16" s="2236" t="s">
        <v>1933</v>
      </c>
      <c r="I16" s="2237"/>
      <c r="J16" s="1392"/>
      <c r="K16" s="3038" t="s">
        <v>1933</v>
      </c>
      <c r="L16" s="3039"/>
      <c r="M16" s="3039"/>
      <c r="N16" s="3039"/>
      <c r="O16" s="3039"/>
      <c r="P16" s="3040"/>
    </row>
    <row r="17" spans="1:19" ht="15">
      <c r="A17" s="2238" t="s">
        <v>1934</v>
      </c>
      <c r="B17" s="2239" t="s">
        <v>1935</v>
      </c>
      <c r="C17" s="2240" t="s">
        <v>1936</v>
      </c>
      <c r="D17" s="2241" t="s">
        <v>1924</v>
      </c>
      <c r="E17" s="2242" t="s">
        <v>1925</v>
      </c>
      <c r="F17" s="2243"/>
      <c r="G17" s="2244"/>
      <c r="H17" s="2245" t="s">
        <v>1937</v>
      </c>
      <c r="I17" s="2246" t="s">
        <v>1922</v>
      </c>
      <c r="J17" s="1392"/>
      <c r="K17" s="3035" t="s">
        <v>1938</v>
      </c>
      <c r="L17" s="3036"/>
      <c r="M17" s="3037"/>
      <c r="N17" s="3035" t="s">
        <v>1939</v>
      </c>
      <c r="O17" s="3036"/>
      <c r="P17" s="3037"/>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256" t="str">
        <f>'数据-基础表'!C13</f>
        <v>工业厂房</v>
      </c>
      <c r="D19" s="48">
        <f>ROUND($D$3*E19/$E$3,2)</f>
        <v>7338.5</v>
      </c>
      <c r="E19" s="56">
        <f t="shared" ref="E19:E26" si="1">SUM(F19:G19)</f>
        <v>18444.57</v>
      </c>
      <c r="F19" s="57">
        <f>'数据-基础表'!I13</f>
        <v>18444.57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7338.5</v>
      </c>
      <c r="S19" s="1248">
        <f t="shared" si="5"/>
        <v>18444.57</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7338.5</v>
      </c>
      <c r="E27" s="1394">
        <f>IF(SUM(E19:E26)='数据-基础表'!BA5,SUM(E19:E26),IF(F27="地上面积有误","面积有误","地下面积有误"))</f>
        <v>18444.57</v>
      </c>
      <c r="F27" s="1393">
        <f>IF(SUM(F19:F26)=E8,SUM(F19:F26),"地上面积有误")</f>
        <v>18444.57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7338.5</v>
      </c>
      <c r="S27" s="1247">
        <f>IF(SUM(S19:S26)=$E$3,SUM(S19:S26),SUM(S19:S26)&amp;"误差"&amp;ROUND(SUM(S19:S26)-E3,2))</f>
        <v>18444.57</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7338.5</v>
      </c>
      <c r="E31" s="729">
        <f>E27+E30</f>
        <v>18444.57</v>
      </c>
      <c r="F31" s="730">
        <f>F27+F30</f>
        <v>18444.57</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9" style="2270"/>
    <col min="68" max="16384" width="9"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43584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3042</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工业厂房</v>
      </c>
      <c r="B6" s="2303" t="str">
        <f>IF(A6=0,"","经营性")</f>
        <v>经营性</v>
      </c>
      <c r="C6" s="2304" t="s">
        <v>6</v>
      </c>
      <c r="D6" s="1051">
        <f>SUMIF(项目基本情况!D$12:I$12,C6,项目基本情况!D$14:I$14)</f>
        <v>50</v>
      </c>
      <c r="E6" s="1048">
        <f>IF(B6="","",SUMIF(项目基本情况!D$12:I$12,C6,项目基本情况!D$13:I$13))</f>
        <v>58585</v>
      </c>
      <c r="F6" s="72">
        <f>SUMIF(项目基本情况!D$12:I$12,C6,项目基本情况!D$15:I$15)</f>
        <v>41.09</v>
      </c>
      <c r="G6" s="73">
        <f>IF(ISERROR(ROUND(POWER(1+H6,D6-F6)*(POWER(1+H6,F6)-1)/(POWER(1+H6,D6)-1),3)),0,ROUND(POWER(1+H6,D6-F6)*(POWER(1+H6,F6)-1)/(POWER(1+H6,D6)-1),3))</f>
        <v>0.93200000000000005</v>
      </c>
      <c r="H6" s="802">
        <v>0.04</v>
      </c>
      <c r="I6" s="802">
        <v>4.4999999999999998E-2</v>
      </c>
      <c r="J6" s="74">
        <v>8.5000000000000006E-2</v>
      </c>
      <c r="K6" s="1251">
        <f>SUMIF('数据-汇总表'!C$19:C$33,A6,'数据-汇总表'!E$19:E$33)</f>
        <v>18444.57</v>
      </c>
      <c r="L6" s="803">
        <v>2500</v>
      </c>
      <c r="M6" s="75">
        <f t="shared" ref="M6:M14" si="0">ROUND(K6*L6/10000,0)</f>
        <v>4611</v>
      </c>
      <c r="N6" s="801">
        <f>ROUND(1-(2019-2011)/60,2)</f>
        <v>0.87</v>
      </c>
      <c r="O6" s="75" t="str">
        <f>IF($N$5="成新度","——",ROUND(M6*N6,0))</f>
        <v>——</v>
      </c>
      <c r="P6" s="76" t="str">
        <f>IF($N$5="成新度","——",M6-O6)</f>
        <v>——</v>
      </c>
      <c r="Q6" s="804">
        <v>0.2</v>
      </c>
      <c r="R6" s="77">
        <f ca="1">SUMIF('数据-汇总表'!C$19:C$33,A6,'数据-汇总表'!R$19:R$27)</f>
        <v>7338.5</v>
      </c>
      <c r="S6" s="54">
        <f>IF('数据-汇总表'!$I$17="按面积比例",SUMIF('数据-汇总表'!C$19:C$33,A6,'数据-汇总表'!K$19:K$33),SUMIF('数据-汇总表'!C$19:C$33,A6,'数据-汇总表'!N$19:N$33))</f>
        <v>0</v>
      </c>
      <c r="T6" s="1443">
        <f>ROUND($L$14*S6/10000,0)</f>
        <v>0</v>
      </c>
      <c r="U6" s="78">
        <v>1.2</v>
      </c>
      <c r="V6" s="79">
        <v>0.02</v>
      </c>
      <c r="W6" s="79">
        <v>0.1</v>
      </c>
      <c r="X6" s="1261"/>
      <c r="Y6" s="80">
        <f>N6</f>
        <v>0.87</v>
      </c>
      <c r="Z6" s="81"/>
      <c r="AA6" s="74"/>
      <c r="AB6" s="74"/>
      <c r="AC6" s="1261"/>
      <c r="AD6" s="82"/>
      <c r="AE6" s="1262">
        <f ca="1">IF(AN6="",0,SUMIF(INDIRECT("'"&amp;AN6&amp;"'"&amp;"!E:E"),$AE$5,INDIRECT("'"&amp;AN6&amp;"'"&amp;"!F:F")))</f>
        <v>41.09</v>
      </c>
      <c r="AF6" s="1804"/>
      <c r="AG6" s="147">
        <f>IF(AF6="",0,AE6-AF6)</f>
        <v>0</v>
      </c>
      <c r="AH6" s="83"/>
      <c r="AI6" s="85">
        <v>365</v>
      </c>
      <c r="AJ6" s="86"/>
      <c r="AK6" s="87">
        <v>1.4999999999999999E-2</v>
      </c>
      <c r="AL6" s="88">
        <v>1.5E-3</v>
      </c>
      <c r="AM6" s="89">
        <v>0.01</v>
      </c>
      <c r="AN6" s="2305" t="s">
        <v>3043</v>
      </c>
      <c r="AO6" s="55">
        <f ca="1">SUMIF(INDIRECT("'"&amp;AN6&amp;"'"&amp;"!A:A"),"总价",INDIRECT("'"&amp;AN6&amp;"'"&amp;"!B:B"))</f>
        <v>11960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0.93200000000000005</v>
      </c>
      <c r="H16" s="99">
        <f>ROUND(SUMPRODUCT(H6:H13,K6:K13)/SUMPRODUCT((H6:H13&gt;0)*(K6:K13)),3)</f>
        <v>0.04</v>
      </c>
      <c r="I16" s="100"/>
      <c r="J16" s="100"/>
      <c r="K16" s="101">
        <f>SUM(K6:K15)</f>
        <v>18444.57</v>
      </c>
      <c r="L16" s="102">
        <f>ROUND(M16*10000/SUM(K6:K14),0)</f>
        <v>2500</v>
      </c>
      <c r="M16" s="102">
        <f>SUM(M6:M14)</f>
        <v>4611</v>
      </c>
      <c r="N16" s="103">
        <f>ROUND(SUMPRODUCT(M6:M14,N6:N14)/M16,3)</f>
        <v>0.87</v>
      </c>
      <c r="O16" s="102">
        <f>SUM(O6:O14)</f>
        <v>0</v>
      </c>
      <c r="P16" s="102">
        <f>SUM(P6:P14)</f>
        <v>0</v>
      </c>
      <c r="Q16" s="104">
        <f>ROUND(SUMPRODUCT(Q6:Q13,K6:K13)/SUMPRODUCT((Q6:Q13&gt;0)*(K6:K13)),2)</f>
        <v>0.2</v>
      </c>
      <c r="R16" s="1255">
        <f ca="1">SUM(R6:R13)</f>
        <v>7338.5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2</v>
      </c>
      <c r="C20" s="2273" t="s">
        <v>2012</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105</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105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194</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0.05</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2.5000000000000001E-2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2.5000000000000001E-2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4.7500000000000001E-2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2954">
        <v>16</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295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295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295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2954">
        <v>4</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2954">
        <v>3</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0" t="s">
        <v>2074</v>
      </c>
      <c r="B1" s="3051"/>
      <c r="C1" s="3051"/>
      <c r="D1" s="3051"/>
      <c r="E1" s="3051"/>
      <c r="F1" s="3051"/>
      <c r="G1" s="305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27">
      <c r="A3" s="415" t="s">
        <v>2077</v>
      </c>
      <c r="B3" s="1268" t="s">
        <v>2078</v>
      </c>
      <c r="C3" s="2366"/>
      <c r="D3" s="2367"/>
      <c r="E3" s="431" t="s">
        <v>2077</v>
      </c>
      <c r="F3" s="2368" t="s">
        <v>2079</v>
      </c>
      <c r="G3" s="2369"/>
      <c r="H3" s="2364"/>
      <c r="I3" s="2364"/>
      <c r="J3" s="2364"/>
      <c r="K3" s="2364"/>
      <c r="L3" s="2364"/>
      <c r="M3" s="2364"/>
      <c r="N3" s="2364"/>
      <c r="O3" s="2364"/>
      <c r="P3" s="2364"/>
      <c r="Q3" s="2364"/>
      <c r="R3" s="2364"/>
    </row>
    <row r="4" spans="1:29" ht="15">
      <c r="A4" s="431"/>
      <c r="B4" s="1795" t="s">
        <v>2080</v>
      </c>
      <c r="C4" s="2370"/>
      <c r="D4" s="2367"/>
      <c r="E4" s="2371"/>
      <c r="F4" s="42" t="s">
        <v>2081</v>
      </c>
      <c r="G4" s="2372"/>
      <c r="H4" s="2364"/>
      <c r="I4" s="2364"/>
      <c r="J4" s="2364"/>
      <c r="K4" s="2364"/>
      <c r="L4" s="2364"/>
      <c r="M4" s="2364"/>
      <c r="N4" s="2364"/>
      <c r="O4" s="2364"/>
      <c r="P4" s="2364"/>
      <c r="Q4" s="2364"/>
      <c r="R4" s="2364"/>
    </row>
    <row r="5" spans="1:29" ht="15">
      <c r="A5" s="431"/>
      <c r="B5" s="1795" t="s">
        <v>2082</v>
      </c>
      <c r="C5" s="2370"/>
      <c r="D5" s="2367"/>
      <c r="E5" s="2371"/>
      <c r="F5" s="1795" t="s">
        <v>2083</v>
      </c>
      <c r="G5" s="2372"/>
      <c r="H5" s="2364"/>
      <c r="I5" s="2364"/>
      <c r="J5" s="2364"/>
      <c r="K5" s="2364"/>
      <c r="L5" s="2364"/>
      <c r="M5" s="2364"/>
      <c r="N5" s="2364"/>
      <c r="O5" s="2364"/>
      <c r="P5" s="2364"/>
      <c r="Q5" s="2364"/>
      <c r="R5" s="2364"/>
    </row>
    <row r="6" spans="1:29" ht="15">
      <c r="A6" s="431"/>
      <c r="B6" s="1795" t="s">
        <v>2084</v>
      </c>
      <c r="C6" s="2372"/>
      <c r="D6" s="2367"/>
      <c r="E6" s="2371"/>
      <c r="F6" s="1795" t="s">
        <v>2085</v>
      </c>
      <c r="G6" s="2372"/>
      <c r="H6" s="2364"/>
      <c r="I6" s="2364"/>
      <c r="J6" s="2364"/>
      <c r="K6" s="2364"/>
      <c r="L6" s="2364"/>
      <c r="M6" s="2364"/>
      <c r="N6" s="2364"/>
      <c r="O6" s="2364"/>
      <c r="P6" s="2364"/>
      <c r="Q6" s="2364"/>
      <c r="R6" s="2364"/>
    </row>
    <row r="7" spans="1:29" ht="15.75" thickBot="1">
      <c r="A7" s="431"/>
      <c r="B7" s="1795" t="s">
        <v>2083</v>
      </c>
      <c r="C7" s="2372"/>
      <c r="D7" s="2373"/>
      <c r="E7" s="2374"/>
      <c r="F7" s="2375" t="s">
        <v>2086</v>
      </c>
      <c r="G7" s="2376"/>
      <c r="H7" s="2364"/>
      <c r="I7" s="2364"/>
      <c r="J7" s="2364"/>
      <c r="K7" s="2364"/>
      <c r="L7" s="2364"/>
      <c r="M7" s="2364"/>
      <c r="N7" s="2364"/>
      <c r="O7" s="2364"/>
      <c r="P7" s="2364"/>
      <c r="Q7" s="2364"/>
      <c r="R7" s="2364"/>
    </row>
    <row r="8" spans="1:29" ht="15">
      <c r="A8" s="431"/>
      <c r="B8" s="1795" t="s">
        <v>2085</v>
      </c>
      <c r="C8" s="2372"/>
      <c r="D8" s="2373"/>
      <c r="E8" s="2373"/>
      <c r="F8" s="1133"/>
      <c r="G8" s="1133"/>
      <c r="H8" s="2364"/>
      <c r="I8" s="2364"/>
      <c r="J8" s="2364"/>
      <c r="K8" s="2364"/>
      <c r="L8" s="2364"/>
      <c r="M8" s="2364"/>
      <c r="N8" s="2364"/>
      <c r="O8" s="2364"/>
      <c r="P8" s="2364"/>
      <c r="Q8" s="2364"/>
      <c r="R8" s="2364"/>
    </row>
    <row r="9" spans="1:29" ht="15">
      <c r="A9" s="431"/>
      <c r="B9" s="1795" t="s">
        <v>2087</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2089</v>
      </c>
      <c r="B13" s="2384"/>
      <c r="C13" s="2384"/>
      <c r="D13" s="2391"/>
      <c r="E13" s="2384"/>
      <c r="F13" s="2384"/>
      <c r="G13" s="2384"/>
    </row>
    <row r="14" spans="1:29" ht="15.75" thickBot="1">
      <c r="A14" s="2395"/>
      <c r="B14" s="2396"/>
      <c r="C14" s="2397" t="s">
        <v>2090</v>
      </c>
      <c r="D14" s="2367"/>
      <c r="E14" s="2398"/>
      <c r="F14" s="2398"/>
      <c r="G14" s="2361" t="s">
        <v>2091</v>
      </c>
    </row>
    <row r="15" spans="1:29" ht="27">
      <c r="A15" s="68" t="s">
        <v>2092</v>
      </c>
      <c r="B15" s="1267" t="s">
        <v>2078</v>
      </c>
      <c r="C15" s="2399">
        <f>C3</f>
        <v>0</v>
      </c>
      <c r="D15" s="2367"/>
      <c r="E15" s="2400" t="s">
        <v>2093</v>
      </c>
      <c r="F15" s="1267" t="s">
        <v>2094</v>
      </c>
      <c r="G15" s="135">
        <f>G3</f>
        <v>0</v>
      </c>
    </row>
    <row r="16" spans="1:29" ht="15">
      <c r="A16" s="645"/>
      <c r="B16" s="2401" t="s">
        <v>2080</v>
      </c>
      <c r="C16" s="2402">
        <f>C4</f>
        <v>0</v>
      </c>
      <c r="D16" s="2367"/>
      <c r="E16" s="2403"/>
      <c r="F16" s="2404" t="s">
        <v>2081</v>
      </c>
      <c r="G16" s="136">
        <f>G4</f>
        <v>0</v>
      </c>
    </row>
    <row r="17" spans="1:18" ht="15">
      <c r="A17" s="645"/>
      <c r="B17" s="2401" t="s">
        <v>2082</v>
      </c>
      <c r="C17" s="2402">
        <f>C5</f>
        <v>0</v>
      </c>
      <c r="D17" s="2373"/>
      <c r="E17" s="2403"/>
      <c r="F17" s="2404" t="s">
        <v>2095</v>
      </c>
      <c r="G17" s="1569"/>
    </row>
    <row r="18" spans="1:18" ht="15">
      <c r="A18" s="645"/>
      <c r="B18" s="2404" t="s">
        <v>2084</v>
      </c>
      <c r="C18" s="136">
        <f>C6</f>
        <v>0</v>
      </c>
      <c r="D18" s="2373"/>
      <c r="E18" s="2403"/>
      <c r="F18" s="2404" t="s">
        <v>2086</v>
      </c>
      <c r="G18" s="136">
        <f>G7</f>
        <v>0</v>
      </c>
    </row>
    <row r="19" spans="1:18" ht="15">
      <c r="A19" s="645"/>
      <c r="B19" s="2404" t="s">
        <v>2096</v>
      </c>
      <c r="C19" s="1569"/>
      <c r="D19" s="2367"/>
      <c r="E19" s="2403"/>
      <c r="F19" s="1795" t="s">
        <v>2083</v>
      </c>
      <c r="G19" s="136">
        <f>G5</f>
        <v>0</v>
      </c>
    </row>
    <row r="20" spans="1:18" ht="15">
      <c r="A20" s="645"/>
      <c r="B20" s="2404" t="s">
        <v>2097</v>
      </c>
      <c r="C20" s="2402">
        <f>C9</f>
        <v>0</v>
      </c>
      <c r="D20" s="2373"/>
      <c r="E20" s="2403"/>
      <c r="F20" s="1795" t="s">
        <v>2098</v>
      </c>
      <c r="G20" s="136">
        <f>G6</f>
        <v>0</v>
      </c>
    </row>
    <row r="21" spans="1:18" ht="15">
      <c r="A21" s="645"/>
      <c r="B21" s="1795" t="s">
        <v>2083</v>
      </c>
      <c r="C21" s="136">
        <f>C7</f>
        <v>0</v>
      </c>
      <c r="D21" s="2367"/>
      <c r="E21" s="2403"/>
      <c r="F21" s="2404" t="s">
        <v>2099</v>
      </c>
      <c r="G21" s="2405"/>
    </row>
    <row r="22" spans="1:18" ht="13.5" customHeight="1">
      <c r="A22" s="645"/>
      <c r="B22" s="1795" t="s">
        <v>2085</v>
      </c>
      <c r="C22" s="136">
        <f>C8</f>
        <v>0</v>
      </c>
      <c r="D22" s="2367"/>
      <c r="E22" s="2403"/>
      <c r="F22" s="2404" t="s">
        <v>2088</v>
      </c>
      <c r="G22" s="1569"/>
    </row>
    <row r="23" spans="1:18" s="2364" customFormat="1" ht="15.75" thickBot="1">
      <c r="A23" s="645"/>
      <c r="B23" s="2404" t="s">
        <v>2099</v>
      </c>
      <c r="C23" s="2405"/>
      <c r="D23" s="2392"/>
      <c r="E23" s="2406"/>
      <c r="F23" s="2407" t="s">
        <v>2100</v>
      </c>
      <c r="G23" s="2408"/>
      <c r="H23" s="2392"/>
      <c r="I23" s="2393"/>
      <c r="J23" s="2392"/>
      <c r="K23" s="2392"/>
      <c r="L23" s="2393"/>
      <c r="M23" s="2392"/>
      <c r="N23" s="2392"/>
      <c r="O23" s="2393"/>
      <c r="P23" s="2392"/>
      <c r="Q23" s="2392"/>
      <c r="R23" s="2394"/>
    </row>
    <row r="24" spans="1:18" s="2364" customFormat="1" ht="15.75" thickBot="1">
      <c r="A24" s="2409"/>
      <c r="B24" s="2407" t="s">
        <v>2101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18444.57</v>
      </c>
      <c r="C1" s="1742"/>
      <c r="D1" s="1742"/>
      <c r="E1" s="1742"/>
      <c r="F1" s="1742"/>
      <c r="G1" s="1740"/>
    </row>
    <row r="2" spans="1:10" ht="16.5">
      <c r="A2" s="1743" t="s">
        <v>1349</v>
      </c>
      <c r="B2" s="1743">
        <f>SUM(C14:C23)</f>
        <v>7338.5</v>
      </c>
      <c r="C2" s="1742"/>
      <c r="D2" s="1742"/>
      <c r="E2" s="1742"/>
      <c r="F2" s="1742"/>
      <c r="G2" s="1740"/>
    </row>
    <row r="3" spans="1:10" ht="16.5">
      <c r="A3" s="1743" t="s">
        <v>1358</v>
      </c>
      <c r="B3" s="1744">
        <f>项目基本情况!D3</f>
        <v>43584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10152</v>
      </c>
      <c r="C5" s="1743">
        <f ca="1">ROUND(B5*10000/$B$1,0)</f>
        <v>5504</v>
      </c>
      <c r="D5" s="1743">
        <f ca="1">ROUND(B5*10000/$B$2,0)</f>
        <v>13834</v>
      </c>
      <c r="E5" s="1742"/>
      <c r="F5" s="1740"/>
      <c r="G5" s="1740"/>
    </row>
    <row r="6" spans="1:10" ht="16.5">
      <c r="A6" s="1743" t="s">
        <v>1352</v>
      </c>
      <c r="B6" s="1743">
        <f ca="1">SUM(G14:G23)</f>
        <v>10152</v>
      </c>
      <c r="C6" s="1743">
        <f ca="1">ROUND(B6*10000/$B$1,0)</f>
        <v>5504</v>
      </c>
      <c r="D6" s="1743">
        <f ca="1">ROUND(B6*10000/$B$2,0)</f>
        <v>13834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18444.57</v>
      </c>
      <c r="C14" s="1741">
        <f>结果表!C118</f>
        <v>7338.5</v>
      </c>
      <c r="D14" s="1741">
        <f ca="1">结果表!H118</f>
        <v>10152</v>
      </c>
      <c r="E14" s="1741">
        <f ca="1">ROUND(D14*10000/B14,0)</f>
        <v>5504</v>
      </c>
      <c r="F14" s="1741">
        <f ca="1">ROUND(D14*10000/C14,0)</f>
        <v>13834</v>
      </c>
      <c r="G14" s="1741">
        <f ca="1">结果表!D122</f>
        <v>10152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1" sqref="G3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2102</v>
      </c>
      <c r="B1" s="2415"/>
      <c r="C1" s="2416"/>
      <c r="D1" s="2415"/>
      <c r="E1" s="2415"/>
      <c r="F1" s="2417" t="s">
        <v>2103</v>
      </c>
      <c r="G1" s="2067" t="s">
        <v>3162</v>
      </c>
      <c r="H1" s="2418" t="str">
        <f>IF(G1="现房","——","估价对象范围")</f>
        <v>——</v>
      </c>
      <c r="I1" s="2419" t="s">
        <v>3163</v>
      </c>
    </row>
    <row r="2" spans="1:12" ht="21.75" customHeight="1" thickBot="1">
      <c r="A2" s="3124" t="str">
        <f>项目基本情况!S2</f>
        <v>江苏省镇江市京口区镇江新区丁卯经十五路99号17幢等5幢工业厂房、服务楼用房房地产</v>
      </c>
      <c r="B2" s="3125"/>
      <c r="C2" s="3125"/>
      <c r="D2" s="3125"/>
      <c r="E2" s="3125"/>
      <c r="F2" s="3125"/>
      <c r="G2" s="3125"/>
      <c r="H2" s="3125"/>
      <c r="I2" s="3126"/>
    </row>
    <row r="3" spans="1:12" ht="12.75">
      <c r="A3" s="3127" t="s">
        <v>2104</v>
      </c>
      <c r="B3" s="3128"/>
      <c r="C3" s="3128"/>
      <c r="D3" s="3128"/>
      <c r="E3" s="3128"/>
      <c r="F3" s="3128"/>
      <c r="G3" s="3128"/>
      <c r="H3" s="3128"/>
      <c r="I3" s="3128"/>
    </row>
    <row r="4" spans="1:12" ht="14.25">
      <c r="A4" s="2422" t="s">
        <v>2105</v>
      </c>
      <c r="B4" s="2423" t="s">
        <v>2106</v>
      </c>
      <c r="C4" s="2424" t="s">
        <v>3190</v>
      </c>
      <c r="D4" s="2424" t="s">
        <v>3043</v>
      </c>
      <c r="E4" s="3108" t="s">
        <v>2107</v>
      </c>
      <c r="F4" s="3121"/>
      <c r="G4" s="3121"/>
      <c r="H4" s="3121"/>
      <c r="I4" s="310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9" t="s">
        <v>2108</v>
      </c>
      <c r="B5" s="3025">
        <v>25</v>
      </c>
      <c r="C5" s="3129"/>
      <c r="D5" s="3117"/>
      <c r="E5" s="140" t="s">
        <v>2109</v>
      </c>
      <c r="F5" s="2426"/>
      <c r="G5" s="2426"/>
      <c r="H5" s="2426"/>
      <c r="I5" s="1831"/>
    </row>
    <row r="6" spans="1:12" ht="12.75">
      <c r="A6" s="3099"/>
      <c r="B6" s="3025"/>
      <c r="C6" s="3131"/>
      <c r="D6" s="3117"/>
      <c r="E6" s="140" t="s">
        <v>2110</v>
      </c>
      <c r="F6" s="2426"/>
      <c r="G6" s="2426"/>
      <c r="H6" s="2426"/>
      <c r="I6" s="1831"/>
    </row>
    <row r="7" spans="1:12" ht="12.75">
      <c r="A7" s="3099"/>
      <c r="B7" s="3025"/>
      <c r="C7" s="3130"/>
      <c r="D7" s="3117"/>
      <c r="E7" s="140" t="s">
        <v>2111</v>
      </c>
      <c r="F7" s="2426"/>
      <c r="G7" s="2426"/>
      <c r="H7" s="2426"/>
      <c r="I7" s="1831"/>
    </row>
    <row r="8" spans="1:12" ht="12.75">
      <c r="A8" s="3099" t="s">
        <v>2112</v>
      </c>
      <c r="B8" s="3025">
        <v>15</v>
      </c>
      <c r="C8" s="3129"/>
      <c r="D8" s="3117"/>
      <c r="E8" s="140" t="s">
        <v>2113</v>
      </c>
      <c r="F8" s="2426"/>
      <c r="G8" s="2426"/>
      <c r="H8" s="2426"/>
      <c r="I8" s="1831"/>
    </row>
    <row r="9" spans="1:12" ht="12.75">
      <c r="A9" s="3099"/>
      <c r="B9" s="3025"/>
      <c r="C9" s="3130"/>
      <c r="D9" s="3117"/>
      <c r="E9" s="140" t="s">
        <v>2114</v>
      </c>
      <c r="F9" s="2426"/>
      <c r="G9" s="2426"/>
      <c r="H9" s="2426"/>
      <c r="I9" s="1831"/>
    </row>
    <row r="10" spans="1:12" ht="12.75">
      <c r="A10" s="3099" t="s">
        <v>2115</v>
      </c>
      <c r="B10" s="3025">
        <v>15</v>
      </c>
      <c r="C10" s="3129"/>
      <c r="D10" s="3117"/>
      <c r="E10" s="140" t="s">
        <v>2116</v>
      </c>
      <c r="F10" s="2426"/>
      <c r="G10" s="2426"/>
      <c r="H10" s="2426"/>
      <c r="I10" s="1831"/>
    </row>
    <row r="11" spans="1:12" ht="12.75">
      <c r="A11" s="3099"/>
      <c r="B11" s="3025"/>
      <c r="C11" s="3130"/>
      <c r="D11" s="3117"/>
      <c r="E11" s="140" t="s">
        <v>2117</v>
      </c>
      <c r="F11" s="2426"/>
      <c r="G11" s="2426"/>
      <c r="H11" s="2426"/>
      <c r="I11" s="1831"/>
    </row>
    <row r="12" spans="1:12" ht="12.75">
      <c r="A12" s="3099" t="s">
        <v>2118</v>
      </c>
      <c r="B12" s="3025">
        <v>15</v>
      </c>
      <c r="C12" s="3129"/>
      <c r="D12" s="3117"/>
      <c r="E12" s="140" t="s">
        <v>2119</v>
      </c>
      <c r="F12" s="2426"/>
      <c r="G12" s="2426"/>
      <c r="H12" s="2426"/>
      <c r="I12" s="1831"/>
    </row>
    <row r="13" spans="1:12" ht="12.75">
      <c r="A13" s="3099"/>
      <c r="B13" s="3025"/>
      <c r="C13" s="3130"/>
      <c r="D13" s="3117"/>
      <c r="E13" s="140" t="s">
        <v>2120</v>
      </c>
      <c r="F13" s="2426"/>
      <c r="G13" s="2426"/>
      <c r="H13" s="2426"/>
      <c r="I13" s="1831"/>
    </row>
    <row r="14" spans="1:12" ht="12.75">
      <c r="A14" s="3099" t="s">
        <v>2121</v>
      </c>
      <c r="B14" s="3025">
        <v>30</v>
      </c>
      <c r="C14" s="3129">
        <v>40</v>
      </c>
      <c r="D14" s="3117">
        <v>60</v>
      </c>
      <c r="E14" s="140" t="s">
        <v>2122</v>
      </c>
      <c r="F14" s="2426"/>
      <c r="G14" s="2426"/>
      <c r="H14" s="2426"/>
      <c r="I14" s="1831"/>
    </row>
    <row r="15" spans="1:12" ht="12.75">
      <c r="A15" s="3099"/>
      <c r="B15" s="3025"/>
      <c r="C15" s="3131"/>
      <c r="D15" s="3117"/>
      <c r="E15" s="140" t="s">
        <v>2123</v>
      </c>
      <c r="F15" s="2426"/>
      <c r="G15" s="2426"/>
      <c r="H15" s="2426"/>
      <c r="I15" s="1831"/>
    </row>
    <row r="16" spans="1:12" ht="12.75">
      <c r="A16" s="3099"/>
      <c r="B16" s="3025"/>
      <c r="C16" s="3130"/>
      <c r="D16" s="3117"/>
      <c r="E16" s="140" t="s">
        <v>2124</v>
      </c>
      <c r="F16" s="2426"/>
      <c r="G16" s="2426"/>
      <c r="H16" s="2426"/>
      <c r="I16" s="1831"/>
    </row>
    <row r="17" spans="1:35" ht="15">
      <c r="A17" s="2427" t="s">
        <v>2125</v>
      </c>
      <c r="B17" s="64"/>
      <c r="C17" s="141">
        <f>SUM(C5:C16)</f>
        <v>40</v>
      </c>
      <c r="D17" s="141">
        <f>SUM(D5:D16)</f>
        <v>60</v>
      </c>
      <c r="E17" s="138"/>
      <c r="F17" s="138"/>
      <c r="G17" s="138"/>
      <c r="H17" s="138"/>
      <c r="I17" s="138"/>
      <c r="K17" s="2425"/>
      <c r="L17" s="2428" t="s">
        <v>2126</v>
      </c>
      <c r="M17" s="2428" t="s">
        <v>2127</v>
      </c>
    </row>
    <row r="18" spans="1:35" ht="15.75" thickBot="1">
      <c r="A18" s="2429" t="s">
        <v>2128</v>
      </c>
      <c r="B18" s="2430"/>
      <c r="C18" s="142">
        <f>ROUND(C17/SUM(C17:D17),2)</f>
        <v>0.4</v>
      </c>
      <c r="D18" s="142">
        <f>1-C18</f>
        <v>0.6</v>
      </c>
      <c r="E18" s="138"/>
      <c r="F18" s="138"/>
      <c r="G18" s="138"/>
      <c r="H18" s="138"/>
      <c r="I18" s="138"/>
      <c r="K18" s="2425" t="s">
        <v>2129</v>
      </c>
      <c r="L18" s="2425">
        <f>IF(C1="",'数据-汇总表'!E3,SUMIF(项目类型,C1,'数据-汇总表'!E17:E26)+SUMIF(项目类型,C1,'数据-汇总表'!I17:I26))</f>
        <v>18444.57</v>
      </c>
      <c r="M18" s="2425">
        <f>IF(C1="",'数据-汇总表'!E3,SUMIF(项目类型,C1,'数据-汇总表'!E17:E26))</f>
        <v>18444.57</v>
      </c>
    </row>
    <row r="19" spans="1:35" ht="15">
      <c r="A19" s="2431" t="s">
        <v>2130</v>
      </c>
      <c r="B19" s="2432" t="s">
        <v>2131</v>
      </c>
      <c r="C19" s="143">
        <f ca="1">SUMIF(INDIRECT("'"&amp;C4&amp;"'"&amp;"!A:A"),结果表!B19,INDIRECT("'"&amp;C4&amp;"'"&amp;"!B:B"))</f>
        <v>7440</v>
      </c>
      <c r="D19" s="144">
        <f ca="1">SUMIF(INDIRECT("'"&amp;D4&amp;"'"&amp;"!A:A"),结果表!B19,INDIRECT("'"&amp;D4&amp;"'"&amp;"!B:B"))</f>
        <v>11960</v>
      </c>
      <c r="E19" s="2431" t="s">
        <v>2132</v>
      </c>
      <c r="F19" s="2432" t="s">
        <v>2131</v>
      </c>
      <c r="G19" s="145">
        <f ca="1">ROUND(C19*$C$18+D19*$D$18,0)</f>
        <v>10152</v>
      </c>
      <c r="H19" s="2433" t="s">
        <v>2133</v>
      </c>
      <c r="I19" s="138"/>
      <c r="K19" s="2425" t="s">
        <v>2134</v>
      </c>
      <c r="L19" s="2425">
        <f>IF(C1="",'数据-汇总表'!D3,SUMIF(项目类型,C1,'数据-汇总表'!D17:D26)+SUMIF(项目类型,C1,'数据-汇总表'!H17:H27))</f>
        <v>7338.5</v>
      </c>
      <c r="M19" s="2425">
        <f>IF(C1="",'数据-汇总表'!D3,SUMIF(项目类型,C1,'数据-汇总表'!D17:D26))</f>
        <v>7338.5</v>
      </c>
    </row>
    <row r="20" spans="1:35" ht="15">
      <c r="A20" s="2434"/>
      <c r="B20" s="1247" t="s">
        <v>2135</v>
      </c>
      <c r="C20" s="146">
        <f ca="1">SUMIF(INDIRECT("'"&amp;C4&amp;"'"&amp;"!A:A"),结果表!B20,INDIRECT("'"&amp;C4&amp;"'"&amp;"!B:B"))</f>
        <v>4034</v>
      </c>
      <c r="D20" s="147">
        <f ca="1">SUMIF(INDIRECT("'"&amp;D4&amp;"'"&amp;"!A:A"),结果表!B20,INDIRECT("'"&amp;D4&amp;"'"&amp;"!B:B"))</f>
        <v>6484</v>
      </c>
      <c r="E20" s="2434"/>
      <c r="F20" s="1247" t="s">
        <v>2135</v>
      </c>
      <c r="G20" s="148">
        <f ca="1">ROUND(C20*$C$18+D20*$D$18,0)</f>
        <v>5504</v>
      </c>
      <c r="H20" s="980" t="s">
        <v>2136</v>
      </c>
      <c r="I20" s="138"/>
    </row>
    <row r="21" spans="1:35" ht="15" customHeight="1" thickBot="1">
      <c r="A21" s="1000"/>
      <c r="B21" s="2435" t="s">
        <v>2137</v>
      </c>
      <c r="C21" s="789">
        <f ca="1">ROUND(C19*10000/L19,0)</f>
        <v>10138</v>
      </c>
      <c r="D21" s="790">
        <f ca="1">ROUND(D19*10000/L19,0)</f>
        <v>16298</v>
      </c>
      <c r="E21" s="1000"/>
      <c r="F21" s="2435" t="s">
        <v>2137</v>
      </c>
      <c r="G21" s="149">
        <f ca="1">ROUND(G19*10000/L19,0)</f>
        <v>13834</v>
      </c>
      <c r="H21" s="2436" t="s">
        <v>2136</v>
      </c>
      <c r="I21" s="138"/>
    </row>
    <row r="22" spans="1:35" ht="15" thickBot="1">
      <c r="A22" s="2277" t="s">
        <v>2138</v>
      </c>
      <c r="B22" s="2437"/>
      <c r="C22" s="2438"/>
      <c r="D22" s="791">
        <f ca="1">IF(C19&lt;D19,D19/C19-1,C19/D19-1)</f>
        <v>0.60752688172043001</v>
      </c>
      <c r="E22" s="138"/>
      <c r="F22" s="138"/>
      <c r="G22" s="138"/>
      <c r="H22" s="138"/>
      <c r="I22" s="138"/>
    </row>
    <row r="23" spans="1:35" ht="13.5" thickBot="1">
      <c r="A23" s="2415"/>
      <c r="B23" s="2415"/>
      <c r="C23" s="2415"/>
      <c r="D23" s="2415"/>
      <c r="E23" s="138"/>
      <c r="F23" s="138"/>
      <c r="G23" s="138"/>
      <c r="H23" s="138"/>
      <c r="I23" s="138"/>
    </row>
    <row r="24" spans="1:35" ht="14.25">
      <c r="A24" s="3138" t="s">
        <v>2139</v>
      </c>
      <c r="B24" s="2432" t="s">
        <v>2131</v>
      </c>
      <c r="C24" s="145">
        <f>IF(B30=0,0,D30)</f>
        <v>0</v>
      </c>
      <c r="D24" s="2439"/>
      <c r="E24" s="138"/>
      <c r="F24" s="138"/>
      <c r="G24" s="138"/>
      <c r="H24" s="138"/>
      <c r="I24" s="138"/>
    </row>
    <row r="25" spans="1:35" ht="14.25">
      <c r="A25" s="3139"/>
      <c r="B25" s="1247" t="s">
        <v>2135</v>
      </c>
      <c r="C25" s="150">
        <f>IF(B30=0,0,C30)</f>
        <v>0</v>
      </c>
      <c r="D25" s="2440"/>
      <c r="E25" s="138"/>
      <c r="F25" s="138"/>
      <c r="G25" s="138"/>
      <c r="H25" s="138"/>
      <c r="I25" s="138"/>
    </row>
    <row r="26" spans="1:35" ht="13.5" customHeight="1">
      <c r="A26" s="2441" t="s">
        <v>2140</v>
      </c>
      <c r="B26" s="151" t="s">
        <v>2141</v>
      </c>
      <c r="C26" s="151" t="s">
        <v>2142</v>
      </c>
      <c r="D26" s="152" t="s">
        <v>2143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2144</v>
      </c>
      <c r="B30" s="151"/>
      <c r="C30" s="151"/>
      <c r="D30" s="151"/>
      <c r="E30" s="2914" t="s">
        <v>3020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2145</v>
      </c>
      <c r="B32" s="2445"/>
      <c r="C32" s="153">
        <f ca="1">IF(D32="总价",G19-C24,G20-C25)</f>
        <v>10152</v>
      </c>
      <c r="D32" s="2446" t="s">
        <v>2146</v>
      </c>
      <c r="E32" s="138"/>
      <c r="F32" s="138"/>
      <c r="G32" s="138"/>
      <c r="H32" s="138"/>
      <c r="I32" s="138"/>
    </row>
    <row r="33" spans="1:15" ht="15">
      <c r="A33" s="957" t="s">
        <v>2147</v>
      </c>
      <c r="B33" s="2447"/>
      <c r="C33" s="2448" t="s">
        <v>3191</v>
      </c>
      <c r="D33" s="2449" t="s">
        <v>3190</v>
      </c>
      <c r="E33" s="2450" t="s">
        <v>2148</v>
      </c>
      <c r="F33" s="2451" t="str">
        <f>IF(D32="楼面单价","取值（单价）","取值（总价）")</f>
        <v>取值（总价）</v>
      </c>
      <c r="G33" s="138"/>
      <c r="H33" s="138"/>
      <c r="I33" s="138"/>
    </row>
    <row r="34" spans="1:15" ht="15">
      <c r="A34" s="2452"/>
      <c r="B34" s="2453" t="s">
        <v>2149</v>
      </c>
      <c r="C34" s="157">
        <f ca="1">IF(C33="自定义",F34,C32-C35)</f>
        <v>1401</v>
      </c>
      <c r="D34" s="1055">
        <f ca="1">IF(C33="自定义",ROUND(C34/C32,3),IF(C33="收益比率",SUMIF(INDIRECT("'"&amp;D33&amp;"'"&amp;"!b:b"),"土地收益比率",INDIRECT("'"&amp;D33&amp;"'"&amp;"!c:c")),SUMIF(INDIRECT("'"&amp;D33&amp;"'"&amp;"!b:b"),"土地成本比率",INDIRECT("'"&amp;D33&amp;"'"&amp;"!c:c"))))</f>
        <v>0.13800000000000001</v>
      </c>
      <c r="E34" s="2454" t="s">
        <v>2150</v>
      </c>
      <c r="F34" s="1736"/>
      <c r="G34" s="138"/>
      <c r="H34" s="138"/>
      <c r="I34" s="138"/>
    </row>
    <row r="35" spans="1:15" ht="15.75" thickBot="1">
      <c r="A35" s="2455"/>
      <c r="B35" s="2456" t="s">
        <v>2151</v>
      </c>
      <c r="C35" s="1441">
        <f ca="1">IF(C33="自定义",F35,ROUND(C32*D35,0))</f>
        <v>8751</v>
      </c>
      <c r="D35" s="1442">
        <f ca="1">IF(C33="自定义",ROUND(C35/C32,3),IF(C33="收益比率",SUMIF(INDIRECT("'"&amp;D33&amp;"'"&amp;"!b:b"),"建筑物收益比率",INDIRECT("'"&amp;D33&amp;"'"&amp;"!c:c")),SUMIF(INDIRECT("'"&amp;D33&amp;"'"&amp;"!b:b"),"建筑物成本比率",INDIRECT("'"&amp;D33&amp;"'"&amp;"!c:c"))))</f>
        <v>0.86199999999999999</v>
      </c>
      <c r="E35" s="2457" t="s">
        <v>2152</v>
      </c>
      <c r="F35" s="163"/>
      <c r="G35" s="138"/>
      <c r="H35" s="138"/>
      <c r="I35" s="138"/>
    </row>
    <row r="36" spans="1:15" ht="15.75" thickBot="1">
      <c r="A36" s="3118" t="s">
        <v>2153</v>
      </c>
      <c r="B36" s="2458" t="s">
        <v>2154</v>
      </c>
      <c r="C36" s="154"/>
      <c r="D36" s="2459"/>
      <c r="E36" s="2460"/>
      <c r="F36" s="2461"/>
      <c r="G36" s="138"/>
      <c r="H36" s="138"/>
      <c r="I36" s="138"/>
    </row>
    <row r="37" spans="1:15" ht="15.75" thickBot="1">
      <c r="A37" s="3119"/>
      <c r="B37" s="2263" t="s">
        <v>2155</v>
      </c>
      <c r="C37" s="156"/>
      <c r="D37" s="1392"/>
      <c r="E37" s="1392"/>
      <c r="F37" s="2461"/>
      <c r="G37" s="138"/>
      <c r="H37" s="138"/>
      <c r="I37" s="138"/>
    </row>
    <row r="38" spans="1:15" ht="15.75" thickBot="1">
      <c r="A38" s="3120"/>
      <c r="B38" s="2462" t="s">
        <v>2156</v>
      </c>
      <c r="C38" s="727"/>
      <c r="D38" s="2463" t="s">
        <v>2157</v>
      </c>
      <c r="E38" s="1392"/>
      <c r="F38" s="2461"/>
      <c r="G38" s="138"/>
      <c r="H38" s="138"/>
      <c r="I38" s="138"/>
    </row>
    <row r="39" spans="1:15" ht="15">
      <c r="A39" s="2434" t="s">
        <v>2158</v>
      </c>
      <c r="B39" s="2464" t="s">
        <v>2159</v>
      </c>
      <c r="C39" s="2465" t="s">
        <v>2160</v>
      </c>
      <c r="D39" s="2465" t="s">
        <v>2161</v>
      </c>
      <c r="E39" s="2466" t="s">
        <v>2162</v>
      </c>
      <c r="F39" s="2461"/>
      <c r="G39" s="138"/>
      <c r="H39" s="138"/>
      <c r="I39" s="138"/>
    </row>
    <row r="40" spans="1:15" ht="14.25">
      <c r="A40" s="2467" t="s">
        <v>2163</v>
      </c>
      <c r="B40" s="158"/>
      <c r="C40" s="159"/>
      <c r="D40" s="159"/>
      <c r="E40" s="160"/>
      <c r="F40" s="2461"/>
      <c r="G40" s="138"/>
      <c r="H40" s="138"/>
      <c r="I40" s="138"/>
    </row>
    <row r="41" spans="1:15" ht="14.25">
      <c r="A41" s="2467" t="s">
        <v>2164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2165</v>
      </c>
      <c r="B44" s="2472"/>
      <c r="C44" s="2472"/>
      <c r="D44" s="2473"/>
      <c r="E44" s="2473"/>
      <c r="F44" s="2474"/>
      <c r="G44" s="2474"/>
      <c r="H44" s="2474"/>
      <c r="I44" s="2474"/>
      <c r="J44" s="2475" t="s">
        <v>2166</v>
      </c>
      <c r="K44" s="2476"/>
      <c r="L44" s="2476"/>
      <c r="M44" s="2476"/>
      <c r="N44" s="2476"/>
      <c r="O44" s="2476"/>
    </row>
    <row r="45" spans="1:15" ht="14.25" customHeight="1" thickBot="1">
      <c r="A45" s="3135" t="s">
        <v>2167</v>
      </c>
      <c r="B45" s="3136"/>
      <c r="C45" s="3137"/>
      <c r="D45" s="164">
        <f ca="1">ROUND(H101*F45,0)</f>
        <v>10152</v>
      </c>
      <c r="E45" s="165" t="s">
        <v>2168</v>
      </c>
      <c r="F45" s="166">
        <v>1</v>
      </c>
      <c r="G45" s="167" t="s">
        <v>2169</v>
      </c>
      <c r="H45" s="138"/>
      <c r="I45" s="138"/>
      <c r="J45" s="3054" t="s">
        <v>2170</v>
      </c>
      <c r="K45" s="3054"/>
      <c r="L45" s="3054"/>
      <c r="M45" s="3054"/>
      <c r="N45" s="3054"/>
      <c r="O45" s="3054"/>
    </row>
    <row r="46" spans="1:15" ht="14.25" customHeight="1">
      <c r="A46" s="3132" t="s">
        <v>2171</v>
      </c>
      <c r="B46" s="3133"/>
      <c r="C46" s="3133"/>
      <c r="D46" s="3133"/>
      <c r="E46" s="3133"/>
      <c r="F46" s="3133"/>
      <c r="G46" s="3134"/>
      <c r="H46" s="2477"/>
      <c r="I46" s="168"/>
      <c r="J46" s="1809">
        <v>1</v>
      </c>
      <c r="K46" s="3054" t="s">
        <v>2172</v>
      </c>
      <c r="L46" s="3054"/>
      <c r="M46" s="3055"/>
      <c r="N46" s="3055"/>
      <c r="O46" s="3055"/>
    </row>
    <row r="47" spans="1:15" ht="12" customHeight="1">
      <c r="A47" s="169" t="s">
        <v>2173</v>
      </c>
      <c r="B47" s="170"/>
      <c r="C47" s="171"/>
      <c r="D47" s="172" t="s">
        <v>2174</v>
      </c>
      <c r="E47" s="24" t="s">
        <v>2175</v>
      </c>
      <c r="F47" s="173" t="s">
        <v>2176</v>
      </c>
      <c r="G47" s="174" t="s">
        <v>2177</v>
      </c>
      <c r="H47" s="2477"/>
      <c r="I47" s="168"/>
      <c r="J47" s="1809">
        <v>2</v>
      </c>
      <c r="K47" s="3054" t="s">
        <v>2178</v>
      </c>
      <c r="L47" s="3054"/>
      <c r="M47" s="3056">
        <f>'数据-取费表'!B2</f>
        <v>43584</v>
      </c>
      <c r="N47" s="3056"/>
      <c r="O47" s="3056"/>
    </row>
    <row r="48" spans="1:15" ht="25.5">
      <c r="A48" s="3122" t="s">
        <v>2179</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8" t="s">
        <v>2180</v>
      </c>
      <c r="H48" s="2479" t="s">
        <v>2181</v>
      </c>
      <c r="I48" s="2477"/>
      <c r="J48" s="1809">
        <v>3</v>
      </c>
      <c r="K48" s="3054" t="s">
        <v>2182</v>
      </c>
      <c r="L48" s="3054"/>
      <c r="M48" s="3057">
        <f ca="1">H101</f>
        <v>10152</v>
      </c>
      <c r="N48" s="3057"/>
      <c r="O48" s="3057"/>
    </row>
    <row r="49" spans="1:35" ht="25.5" customHeight="1">
      <c r="A49" s="176" t="s">
        <v>2183</v>
      </c>
      <c r="B49" s="3102" t="s">
        <v>2184</v>
      </c>
      <c r="C49" s="3102"/>
      <c r="D49" s="177">
        <v>0</v>
      </c>
      <c r="E49" s="23" t="s">
        <v>2185</v>
      </c>
      <c r="F49" s="28" t="s">
        <v>34</v>
      </c>
      <c r="G49" s="3083"/>
      <c r="H49" s="138"/>
      <c r="I49" s="2480"/>
      <c r="J49" s="1809">
        <v>4</v>
      </c>
      <c r="K49" s="3054" t="str">
        <f>IF(项目基本情况!E8="房地产抵押价值","房地产抵押价值","抵押担保权已注销时的房地产抵押价值")</f>
        <v>房地产抵押价值</v>
      </c>
      <c r="L49" s="3054"/>
      <c r="M49" s="3057">
        <f ca="1">IF(项目基本情况!E8="房地产抵押价值",H107,H109)</f>
        <v>10152</v>
      </c>
      <c r="N49" s="3057"/>
      <c r="O49" s="3057"/>
    </row>
    <row r="50" spans="1:35" ht="25.5" customHeight="1">
      <c r="A50" s="178"/>
      <c r="B50" s="3102" t="s">
        <v>2186</v>
      </c>
      <c r="C50" s="3102"/>
      <c r="D50" s="179"/>
      <c r="E50" s="31"/>
      <c r="F50" s="180"/>
      <c r="G50" s="3084"/>
      <c r="H50" s="138"/>
      <c r="I50" s="2480"/>
      <c r="J50" s="3054" t="s">
        <v>2187</v>
      </c>
      <c r="K50" s="3054"/>
      <c r="L50" s="3054"/>
      <c r="M50" s="3054"/>
      <c r="N50" s="3054"/>
      <c r="O50" s="3054"/>
    </row>
    <row r="51" spans="1:35" ht="12" customHeight="1">
      <c r="A51" s="181"/>
      <c r="B51" s="3102" t="s">
        <v>2188</v>
      </c>
      <c r="C51" s="3102"/>
      <c r="D51" s="182"/>
      <c r="E51" s="30"/>
      <c r="F51" s="180"/>
      <c r="G51" s="3085"/>
      <c r="H51" s="138"/>
      <c r="I51" s="2480"/>
      <c r="J51" s="2481" t="s">
        <v>2189</v>
      </c>
      <c r="K51" s="3054" t="s">
        <v>2190</v>
      </c>
      <c r="L51" s="3054"/>
      <c r="M51" s="2481" t="s">
        <v>2191</v>
      </c>
      <c r="N51" s="2481" t="s">
        <v>2192</v>
      </c>
      <c r="O51" s="2481" t="s">
        <v>2193</v>
      </c>
    </row>
    <row r="52" spans="1:35" ht="24" customHeight="1">
      <c r="A52" s="183" t="s">
        <v>2194</v>
      </c>
      <c r="B52" s="3102" t="s">
        <v>2195</v>
      </c>
      <c r="C52" s="3102"/>
      <c r="D52" s="182">
        <f ca="1">ROUND(D45*'数据-取费表'!B41/(1+'数据-取费表'!C42),0)</f>
        <v>541</v>
      </c>
      <c r="E52" s="11" t="s">
        <v>2196</v>
      </c>
      <c r="F52" s="184">
        <f>'数据-取费表'!B41</f>
        <v>5.6000000000000001E-2</v>
      </c>
      <c r="G52" s="2482"/>
      <c r="H52" s="138"/>
      <c r="I52" s="2480"/>
      <c r="J52" s="1809">
        <v>1</v>
      </c>
      <c r="K52" s="3077" t="s">
        <v>2197</v>
      </c>
      <c r="L52" s="3077"/>
      <c r="M52" s="1751">
        <f>D48</f>
        <v>0</v>
      </c>
      <c r="N52" s="1809" t="str">
        <f>E48</f>
        <v>销售额×税（费）率</v>
      </c>
      <c r="O52" s="1752" t="str">
        <f>F48</f>
        <v>免征</v>
      </c>
    </row>
    <row r="53" spans="1:35" ht="12" customHeight="1">
      <c r="A53" s="183" t="s">
        <v>2198</v>
      </c>
      <c r="B53" s="3103" t="s">
        <v>2199</v>
      </c>
      <c r="C53" s="3104"/>
      <c r="D53" s="182">
        <f ca="1">ROUND(D45*'数据-取费表'!B41/(1+'数据-取费表'!C42),0)</f>
        <v>541</v>
      </c>
      <c r="E53" s="11" t="s">
        <v>2196</v>
      </c>
      <c r="F53" s="184">
        <f>'数据-取费表'!B41</f>
        <v>5.6000000000000001E-2</v>
      </c>
      <c r="G53" s="2482"/>
      <c r="H53" s="138"/>
      <c r="I53" s="2480"/>
      <c r="J53" s="1809">
        <v>2</v>
      </c>
      <c r="K53" s="3077" t="s">
        <v>2200</v>
      </c>
      <c r="L53" s="3077"/>
      <c r="M53" s="1751">
        <f t="shared" ref="M53:O54" ca="1" si="0">D55</f>
        <v>5</v>
      </c>
      <c r="N53" s="1809" t="str">
        <f t="shared" si="0"/>
        <v>销售额×税（费）率</v>
      </c>
      <c r="O53" s="1752">
        <f t="shared" si="0"/>
        <v>5.0000000000000001E-4</v>
      </c>
    </row>
    <row r="54" spans="1:35" ht="12" customHeight="1">
      <c r="A54" s="183" t="s">
        <v>2201</v>
      </c>
      <c r="B54" s="3103" t="s">
        <v>2202</v>
      </c>
      <c r="C54" s="3104"/>
      <c r="D54" s="182">
        <f ca="1">C68</f>
        <v>541</v>
      </c>
      <c r="E54" s="30" t="s">
        <v>2203</v>
      </c>
      <c r="F54" s="184">
        <f>'数据-取费表'!B41</f>
        <v>5.6000000000000001E-2</v>
      </c>
      <c r="G54" s="2482"/>
      <c r="H54" s="2483"/>
      <c r="I54" s="2480"/>
      <c r="J54" s="1809">
        <v>3</v>
      </c>
      <c r="K54" s="3077" t="s">
        <v>2204</v>
      </c>
      <c r="L54" s="3077"/>
      <c r="M54" s="1751">
        <f t="shared" ca="1" si="0"/>
        <v>5746</v>
      </c>
      <c r="N54" s="1809" t="str">
        <f t="shared" si="0"/>
        <v>增值额×税（费）率</v>
      </c>
      <c r="O54" s="1753" t="str">
        <f t="shared" si="0"/>
        <v>——</v>
      </c>
    </row>
    <row r="55" spans="1:35" ht="24" customHeight="1">
      <c r="A55" s="3141" t="s">
        <v>2205</v>
      </c>
      <c r="B55" s="3123"/>
      <c r="C55" s="3123"/>
      <c r="D55" s="185">
        <f ca="1">IF(H55="个人住宅",0,ROUND(D45*I55,0))</f>
        <v>5</v>
      </c>
      <c r="E55" s="11" t="s">
        <v>2206</v>
      </c>
      <c r="F55" s="184">
        <f>IF(H55="正常",I55,"免征")</f>
        <v>5.0000000000000001E-4</v>
      </c>
      <c r="G55" s="2482"/>
      <c r="H55" s="2479" t="s">
        <v>2207</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2208</v>
      </c>
      <c r="B56" s="3123"/>
      <c r="C56" s="3123"/>
      <c r="D56" s="185">
        <f ca="1">IF(H56="个人住宅",D57,D58)</f>
        <v>5746</v>
      </c>
      <c r="E56" s="11" t="s">
        <v>2209</v>
      </c>
      <c r="F56" s="184" t="str">
        <f>IF(H56="正常",F58,"免征")</f>
        <v>——</v>
      </c>
      <c r="G56" s="2484" t="s">
        <v>2210</v>
      </c>
      <c r="H56" s="2485" t="s">
        <v>2207</v>
      </c>
      <c r="I56" s="2486"/>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2183</v>
      </c>
      <c r="B57" s="3108" t="s">
        <v>2211</v>
      </c>
      <c r="C57" s="3109"/>
      <c r="D57" s="187">
        <v>0</v>
      </c>
      <c r="E57" s="23" t="s">
        <v>2185</v>
      </c>
      <c r="F57" s="155"/>
      <c r="G57" s="2482"/>
      <c r="H57" s="2486"/>
      <c r="I57" s="2486"/>
      <c r="J57" s="3077">
        <f>IF(AND(J55="",J56=""),4,IF(项目基本情况!K6="上海银行",结果表!J56+1,结果表!J55+1))</f>
        <v>4</v>
      </c>
      <c r="K57" s="3077" t="s">
        <v>2212</v>
      </c>
      <c r="L57" s="2487" t="s">
        <v>2213</v>
      </c>
      <c r="M57" s="1756"/>
      <c r="N57" s="1757">
        <f ca="1">SUMIF(M52:M56,"&lt;9e307")</f>
        <v>5751</v>
      </c>
      <c r="O57" s="2488"/>
      <c r="P57" s="1750">
        <f ca="1">N57/M49</f>
        <v>0.56648936170212771</v>
      </c>
    </row>
    <row r="58" spans="1:35" ht="24.75">
      <c r="A58" s="183" t="s">
        <v>2194</v>
      </c>
      <c r="B58" s="3108" t="s">
        <v>2214</v>
      </c>
      <c r="C58" s="3121"/>
      <c r="D58" s="185">
        <f ca="1">IF(H58="转让取得",C81,C97)</f>
        <v>5746</v>
      </c>
      <c r="E58" s="11" t="s">
        <v>2209</v>
      </c>
      <c r="F58" s="24" t="s">
        <v>34</v>
      </c>
      <c r="G58" s="2482"/>
      <c r="H58" s="2485" t="s">
        <v>2215</v>
      </c>
      <c r="I58" s="2486"/>
      <c r="J58" s="3077"/>
      <c r="K58" s="3077"/>
      <c r="L58" s="2487" t="s">
        <v>2216</v>
      </c>
      <c r="M58" s="1758"/>
      <c r="N58" s="2489" t="str">
        <f ca="1">NUMBERSTRING(INT(N57*10000),2)&amp;"元整"</f>
        <v>伍仟柒佰伍拾壹万元整</v>
      </c>
      <c r="O58" s="2490"/>
    </row>
    <row r="59" spans="1:35" ht="24.75" thickBot="1">
      <c r="A59" s="3081" t="s">
        <v>2217</v>
      </c>
      <c r="B59" s="3082"/>
      <c r="C59" s="3082"/>
      <c r="D59" s="188" t="str">
        <f>IF(H59="非个人房产","——",IF(H59="个人住宅",0,ROUND(D45*I59,0)))</f>
        <v>——</v>
      </c>
      <c r="E59" s="189" t="str">
        <f>IF(H59="非个人房产","——","销售额×税（费）率")</f>
        <v>——</v>
      </c>
      <c r="F59" s="190" t="str">
        <f>IF(H59="非个人房产","——",IF(H59="个人住宅","免征",I59))</f>
        <v>——</v>
      </c>
      <c r="G59" s="2491" t="s">
        <v>2210</v>
      </c>
      <c r="H59" s="2485" t="s">
        <v>2218</v>
      </c>
      <c r="I59" s="191">
        <v>0.01</v>
      </c>
      <c r="J59" s="3079">
        <f>J57+1</f>
        <v>5</v>
      </c>
      <c r="K59" s="3077" t="s">
        <v>2219</v>
      </c>
      <c r="L59" s="1809" t="s">
        <v>2213</v>
      </c>
      <c r="M59" s="1759"/>
      <c r="N59" s="1760">
        <f ca="1">M49-N57</f>
        <v>4401</v>
      </c>
      <c r="O59" s="2492"/>
    </row>
    <row r="60" spans="1:35" ht="12" customHeight="1">
      <c r="A60" s="2493"/>
      <c r="B60" s="2415"/>
      <c r="C60" s="2415"/>
      <c r="D60" s="2415"/>
      <c r="E60" s="2162"/>
      <c r="F60" s="2486"/>
      <c r="G60" s="2486"/>
      <c r="H60" s="2494"/>
      <c r="I60" s="138"/>
      <c r="J60" s="3080"/>
      <c r="K60" s="3077"/>
      <c r="L60" s="2487" t="s">
        <v>2216</v>
      </c>
      <c r="M60" s="1758"/>
      <c r="N60" s="2489" t="str">
        <f ca="1">NUMBERSTRING(INT(N59*10000),2)&amp;"元整"</f>
        <v>肆仟肆佰零壹万元整</v>
      </c>
      <c r="O60" s="2490"/>
    </row>
    <row r="61" spans="1:35" ht="13.5" thickBot="1">
      <c r="A61" s="3140" t="s">
        <v>2220</v>
      </c>
      <c r="B61" s="3140"/>
      <c r="C61" s="3140"/>
      <c r="D61" s="3140"/>
      <c r="E61" s="3140"/>
      <c r="F61" s="2486"/>
      <c r="G61" s="2486"/>
      <c r="H61" s="2494"/>
      <c r="I61" s="138"/>
      <c r="J61" s="1809">
        <f>J59+1</f>
        <v>6</v>
      </c>
      <c r="K61" s="3077" t="s">
        <v>2221</v>
      </c>
      <c r="L61" s="3077"/>
      <c r="M61" s="1761"/>
      <c r="N61" s="1762">
        <f ca="1">ROUND(N59*10000/'数据-汇总表'!E3,0)</f>
        <v>2386</v>
      </c>
      <c r="O61" s="2495"/>
    </row>
    <row r="62" spans="1:35" ht="12.75">
      <c r="A62" s="3097" t="s">
        <v>2222</v>
      </c>
      <c r="B62" s="3098"/>
      <c r="C62" s="1801"/>
      <c r="D62" s="1801" t="s">
        <v>2223</v>
      </c>
      <c r="E62" s="192" t="s">
        <v>2224</v>
      </c>
      <c r="F62" s="2486"/>
      <c r="G62" s="2486"/>
      <c r="H62" s="2494"/>
      <c r="I62" s="138"/>
    </row>
    <row r="63" spans="1:35" ht="12.75">
      <c r="A63" s="203" t="s">
        <v>775</v>
      </c>
      <c r="B63" s="193" t="s">
        <v>2225</v>
      </c>
      <c r="C63" s="194">
        <f ca="1">ROUND((C64+C65)/(1+'数据-取费表'!C42),0)</f>
        <v>9669</v>
      </c>
      <c r="D63" s="195"/>
      <c r="E63" s="196"/>
      <c r="F63" s="2486"/>
      <c r="G63" s="2486"/>
      <c r="H63" s="2494"/>
      <c r="I63" s="138"/>
      <c r="J63" s="3062" t="s">
        <v>2226</v>
      </c>
      <c r="K63" s="2496" t="s">
        <v>2227</v>
      </c>
      <c r="L63" s="1749">
        <f ca="1">IF(M49&gt;10000,M49*0.5%,IF(AND(M49&gt;1000,M49&lt;=10000),M49*1%,IF(AND(M49&gt;100,M49&lt;=1000),M49*3%,IF(AND(M49&gt;10,M49&lt;=100),M49*5%,M49*8%))))</f>
        <v>50.76</v>
      </c>
      <c r="M63" s="24">
        <f ca="1">ROUND(L63,1)</f>
        <v>50.8</v>
      </c>
      <c r="Z63" s="2420"/>
      <c r="AI63" s="2421"/>
    </row>
    <row r="64" spans="1:35" ht="14.25" customHeight="1">
      <c r="A64" s="197" t="s">
        <v>770</v>
      </c>
      <c r="B64" s="198" t="s">
        <v>2228</v>
      </c>
      <c r="C64" s="199">
        <f ca="1">D45</f>
        <v>10152</v>
      </c>
      <c r="D64" s="200" t="s">
        <v>32</v>
      </c>
      <c r="E64" s="201"/>
      <c r="F64" s="2486"/>
      <c r="G64" s="2486"/>
      <c r="H64" s="2494"/>
      <c r="I64" s="138"/>
      <c r="J64" s="3062"/>
      <c r="K64" s="2496" t="s">
        <v>2229</v>
      </c>
      <c r="L64" s="1749">
        <f ca="1">IF(M49&gt;2000,M49*0.5%,IF(AND(M49&gt;1000,M49&lt;=2000),M49*0.6%,IF(AND(M49&gt;500,M49&lt;=1000),M49*0.7%,IF(AND(M49&gt;200,M49&lt;=500),M49*0.8%,IF(AND(M49&gt;100,M49&lt;=200),M49*0.9%,IF(AND(M49&gt;50,M49&lt;=100),M49*1%,IF(AND(M49&gt;20,M49&lt;=50),M49*1.5%,IF(AND(M49&gt;10,M49&lt;=20),M49*2%,IF(AND(M49&gt;1,M49&lt;=10),M49*2.5%)))))))))</f>
        <v>50.76</v>
      </c>
      <c r="M64" s="24">
        <f t="shared" ref="M64:M65" ca="1" si="1">ROUND(L64,1)</f>
        <v>50.8</v>
      </c>
      <c r="N64" s="138" t="s">
        <v>2230</v>
      </c>
      <c r="Z64" s="2420"/>
      <c r="AI64" s="2421"/>
    </row>
    <row r="65" spans="1:35" ht="14.25" customHeight="1">
      <c r="A65" s="197" t="s">
        <v>771</v>
      </c>
      <c r="B65" s="198" t="s">
        <v>2231</v>
      </c>
      <c r="C65" s="202"/>
      <c r="D65" s="200"/>
      <c r="E65" s="201"/>
      <c r="F65" s="2486"/>
      <c r="G65" s="2486"/>
      <c r="H65" s="2494"/>
      <c r="I65" s="138"/>
      <c r="J65" s="3062"/>
      <c r="K65" s="2496" t="s">
        <v>2232</v>
      </c>
      <c r="L65" s="1749">
        <f ca="1">IF(M49&gt;1000,M49*0.1%,IF(AND(M49&gt;500,M49&lt;=1000),M49*0.5%,IF(AND(M49&gt;50,M49&lt;=500),M49*1%,IF(AND(M49&gt;1,M49&lt;=50),M49*1.5%))))</f>
        <v>10.152000000000001</v>
      </c>
      <c r="M65" s="24">
        <f t="shared" ca="1" si="1"/>
        <v>10.199999999999999</v>
      </c>
      <c r="N65" s="138" t="s">
        <v>2230</v>
      </c>
      <c r="Z65" s="2420"/>
      <c r="AI65" s="2421"/>
    </row>
    <row r="66" spans="1:35" ht="14.25" customHeight="1">
      <c r="A66" s="203" t="s">
        <v>772</v>
      </c>
      <c r="B66" s="204" t="s">
        <v>2233</v>
      </c>
      <c r="C66" s="205"/>
      <c r="D66" s="206" t="s">
        <v>32</v>
      </c>
      <c r="E66" s="1773" t="s">
        <v>1367</v>
      </c>
      <c r="F66" s="2486"/>
      <c r="G66" s="2486"/>
      <c r="H66" s="2494"/>
      <c r="I66" s="138"/>
      <c r="J66" s="3062"/>
      <c r="K66" s="2496" t="s">
        <v>2234</v>
      </c>
      <c r="L66" s="1749">
        <f ca="1">M49*0.5%</f>
        <v>50.76</v>
      </c>
      <c r="M66" s="24">
        <f ca="1">IF(L66&gt;0.5,0.5,ROUND(L66,0))</f>
        <v>0.5</v>
      </c>
      <c r="N66" s="138" t="s">
        <v>2235</v>
      </c>
      <c r="Z66" s="2420"/>
      <c r="AI66" s="2421"/>
    </row>
    <row r="67" spans="1:35" ht="14.25" customHeight="1">
      <c r="A67" s="203" t="s">
        <v>773</v>
      </c>
      <c r="B67" s="204" t="s">
        <v>2236</v>
      </c>
      <c r="C67" s="207">
        <f ca="1">C63-C66</f>
        <v>9669</v>
      </c>
      <c r="D67" s="200" t="s">
        <v>32</v>
      </c>
      <c r="E67" s="201"/>
      <c r="F67" s="2486"/>
      <c r="G67" s="2486"/>
      <c r="H67" s="2494"/>
      <c r="I67" s="138"/>
      <c r="J67" s="3062"/>
      <c r="K67" s="2496" t="s">
        <v>2237</v>
      </c>
      <c r="L67" s="1749">
        <f ca="1">IF(M49&gt;=10000,(8.25+(M49-10000)*0.01%),IF(AND(M49&gt;=8000,M49&lt;10000),(7.85+(M49-8000)*0.02%),IF(AND(M49&gt;=5000,M49&lt;8000),(6.65+(M49-5000)*0.04%),IF(AND(M49&gt;=2000,M49&lt;5000),(4.25+(PM49-2000)*0.08%),IF(AND(M49&gt;=1000,M49&lt;2000),(2.75+(M49-1000)*0.15%),IF(AND(M49&gt;=100,M49&lt;1000),(0.5+(M49-100)*0.25%),IF(AND(M49&gt;0,M49&lt;100),M49*0.5%)))))))</f>
        <v>8.2652000000000001</v>
      </c>
      <c r="M67" s="24">
        <f ca="1">ROUND(L67*0.9,1)</f>
        <v>7.4</v>
      </c>
      <c r="Z67" s="2420"/>
      <c r="AI67" s="2421"/>
    </row>
    <row r="68" spans="1:35" ht="14.25" customHeight="1" thickBot="1">
      <c r="A68" s="208" t="s">
        <v>774</v>
      </c>
      <c r="B68" s="209" t="s">
        <v>2238</v>
      </c>
      <c r="C68" s="210">
        <f ca="1">IF(C67&lt;=0,0,ROUND(C67*D68,0))</f>
        <v>541</v>
      </c>
      <c r="D68" s="211">
        <f>'数据-取费表'!B41</f>
        <v>5.6000000000000001E-2</v>
      </c>
      <c r="E68" s="212"/>
      <c r="F68" s="2486"/>
      <c r="G68" s="2486"/>
      <c r="H68" s="2494"/>
      <c r="I68" s="138"/>
      <c r="J68" s="3062"/>
      <c r="K68" s="2496" t="s">
        <v>2239</v>
      </c>
      <c r="L68" s="1749">
        <f ca="1">IF(M49&gt;10000,M49*0.5%,IF(AND(M49&gt;5000,M49&lt;=10000),M49*1%,IF(AND(M49&gt;1000,M49&lt;=5000),M49*2%,IF(AND(M49&gt;200,M49&lt;=1000),M49*3%,M49*5%))))</f>
        <v>50.76</v>
      </c>
      <c r="M68" s="24">
        <f ca="1">ROUND(L68,1)</f>
        <v>50.8</v>
      </c>
      <c r="Z68" s="2420"/>
      <c r="AI68" s="2421"/>
    </row>
    <row r="69" spans="1:35" s="2443" customFormat="1" ht="16.5" customHeight="1">
      <c r="A69" s="2497"/>
      <c r="B69" s="2498"/>
      <c r="C69" s="2499"/>
      <c r="D69" s="2500"/>
      <c r="E69" s="2501"/>
      <c r="F69" s="2162"/>
      <c r="G69" s="2162"/>
      <c r="H69" s="2161"/>
      <c r="I69" s="2415"/>
      <c r="J69" s="3062"/>
      <c r="K69" s="2496" t="s">
        <v>2240</v>
      </c>
      <c r="L69" s="2502"/>
      <c r="M69" s="24">
        <f ca="1">ROUND(SUM(M63:M68),0)</f>
        <v>171</v>
      </c>
      <c r="N69" s="1750">
        <f ca="1">M69/M49</f>
        <v>1.6843971631205674E-2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6" t="s">
        <v>2241</v>
      </c>
      <c r="B70" s="3107"/>
      <c r="C70" s="3107"/>
      <c r="D70" s="3107"/>
      <c r="E70" s="3107"/>
      <c r="F70" s="3107"/>
      <c r="G70" s="3107"/>
      <c r="H70" s="310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7" t="s">
        <v>2222</v>
      </c>
      <c r="B71" s="3098"/>
      <c r="C71" s="1801"/>
      <c r="D71" s="1801" t="s">
        <v>2223</v>
      </c>
      <c r="E71" s="213" t="s">
        <v>2224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2242</v>
      </c>
      <c r="C72" s="207">
        <f ca="1">ROUND(D45/(1+'数据-取费表'!C42),0)</f>
        <v>9669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2243</v>
      </c>
      <c r="C73" s="207">
        <f ca="1">C74+C78</f>
        <v>58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2245</v>
      </c>
      <c r="C75" s="218"/>
      <c r="D75" s="200" t="s">
        <v>32</v>
      </c>
      <c r="E75" s="219" t="s">
        <v>2246</v>
      </c>
      <c r="F75" s="2508" t="s">
        <v>2247</v>
      </c>
      <c r="G75" s="219" t="s">
        <v>2248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2249</v>
      </c>
      <c r="C76" s="200">
        <f>IF(F75="购房发票",ROUND(C75*H75*D76,0),0)</f>
        <v>0</v>
      </c>
      <c r="D76" s="222">
        <v>0.05</v>
      </c>
      <c r="E76" s="3103" t="s">
        <v>2250</v>
      </c>
      <c r="F76" s="3102"/>
      <c r="G76" s="3102"/>
      <c r="H76" s="310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0" t="s">
        <v>2253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2254</v>
      </c>
      <c r="C78" s="225">
        <f ca="1">ROUND(D45*D78/(1+'数据-取费表'!C42),0)</f>
        <v>58</v>
      </c>
      <c r="D78" s="226">
        <f>'数据-取费表'!B43</f>
        <v>6.000000000000001E-3</v>
      </c>
      <c r="E78" s="3094" t="s">
        <v>2255</v>
      </c>
      <c r="F78" s="3095"/>
      <c r="G78" s="3095"/>
      <c r="H78" s="309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2256</v>
      </c>
      <c r="C79" s="207">
        <f ca="1">C72-C73</f>
        <v>9611</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2257</v>
      </c>
      <c r="C80" s="227">
        <f ca="1">IF(C79&lt;=0,0,C79/C73)</f>
        <v>165.70689655172413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2258</v>
      </c>
      <c r="C81" s="228">
        <f ca="1">ROUND(IF(C79&lt;=0,0,IF(C80&gt;=200%,C79*60%-C73*35%,IF(C80&gt;=100%,C79*50%-C73*15%,IF(C80&gt;=50%,C79*40%-C73*5%,IF(C80&lt;50%,C79*30%,0))))),0)</f>
        <v>5746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6" t="s">
        <v>2259</v>
      </c>
      <c r="B83" s="3107"/>
      <c r="C83" s="3107"/>
      <c r="D83" s="3107"/>
      <c r="E83" s="3107"/>
      <c r="F83" s="3107"/>
      <c r="G83" s="3107"/>
      <c r="H83" s="310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7" t="s">
        <v>2222</v>
      </c>
      <c r="B84" s="3098"/>
      <c r="C84" s="1801"/>
      <c r="D84" s="1801" t="s">
        <v>2223</v>
      </c>
      <c r="E84" s="213" t="s">
        <v>2224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2242</v>
      </c>
      <c r="C85" s="207">
        <f ca="1">ROUND(D45/(1+'数据-取费表'!C42),0)</f>
        <v>9669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2243</v>
      </c>
      <c r="C86" s="207">
        <f ca="1">IF(H88="仅含出让金",C87+C90+C91+C92+C93+C94,C87+C91+C92+C93+C94)</f>
        <v>58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2261</v>
      </c>
      <c r="C88" s="236"/>
      <c r="D88" s="226"/>
      <c r="E88" s="237" t="s">
        <v>2262</v>
      </c>
      <c r="F88" s="1797"/>
      <c r="G88" s="238" t="s">
        <v>2263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2251</v>
      </c>
      <c r="C89" s="225">
        <f>ROUND(C88*D89,0)</f>
        <v>0</v>
      </c>
      <c r="D89" s="226">
        <f>'数据-取费表'!B48+'数据-取费表'!B49</f>
        <v>3.0499999999999999E-2</v>
      </c>
      <c r="E89" s="237" t="s">
        <v>2264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2266</v>
      </c>
      <c r="B91" s="198" t="s">
        <v>2267</v>
      </c>
      <c r="C91" s="225">
        <f>IF(H91="——",成本法!C33,I91)</f>
        <v>0</v>
      </c>
      <c r="D91" s="226"/>
      <c r="E91" s="3094" t="s">
        <v>2268</v>
      </c>
      <c r="F91" s="3095"/>
      <c r="G91" s="3095"/>
      <c r="H91" s="2515" t="s">
        <v>2269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2270</v>
      </c>
      <c r="B92" s="198" t="s">
        <v>2271</v>
      </c>
      <c r="C92" s="225">
        <f>ROUND((C87+C90+C91)*D92,0)</f>
        <v>0</v>
      </c>
      <c r="D92" s="226">
        <v>0.1</v>
      </c>
      <c r="E92" s="3094" t="s">
        <v>2272</v>
      </c>
      <c r="F92" s="3095"/>
      <c r="G92" s="3095"/>
      <c r="H92" s="309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2273</v>
      </c>
      <c r="B93" s="198" t="s">
        <v>2254</v>
      </c>
      <c r="C93" s="225">
        <f ca="1">ROUND(D45*D93/(1+'数据-取费表'!C42),0)</f>
        <v>58</v>
      </c>
      <c r="D93" s="226">
        <f>'数据-取费表'!B43</f>
        <v>6.000000000000001E-3</v>
      </c>
      <c r="E93" s="3094" t="s">
        <v>2255</v>
      </c>
      <c r="F93" s="3095"/>
      <c r="G93" s="3095"/>
      <c r="H93" s="309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2274</v>
      </c>
      <c r="B94" s="198" t="s">
        <v>2275</v>
      </c>
      <c r="C94" s="236">
        <f>ROUND((C87+C90+C91)*D94,0)</f>
        <v>0</v>
      </c>
      <c r="D94" s="226">
        <v>0.2</v>
      </c>
      <c r="E94" s="3142" t="s">
        <v>2276</v>
      </c>
      <c r="F94" s="3143"/>
      <c r="G94" s="3143"/>
      <c r="H94" s="314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2256</v>
      </c>
      <c r="C95" s="207">
        <f ca="1">ROUND(C85-C86,0)</f>
        <v>9611</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2257</v>
      </c>
      <c r="C96" s="227">
        <f ca="1">IF(C95&lt;=0,0,C95/C86)</f>
        <v>165.70689655172413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2258</v>
      </c>
      <c r="C97" s="228">
        <f ca="1">ROUND(IF(C95&lt;=0,0,IF(C96&gt;=200%,C95*60%-C86*35%,IF(C96&gt;=100%,C95*50%-C86*15%,IF(C96&gt;=50%,C95*40%-C86*5%,IF(C96&lt;50%,C95*30%,0))))),0)</f>
        <v>5746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2277</v>
      </c>
      <c r="B99" s="2415"/>
      <c r="C99" s="2415"/>
      <c r="D99" s="2415"/>
      <c r="E99" s="2162"/>
      <c r="F99" s="2162"/>
      <c r="G99" s="2162"/>
      <c r="H99" s="2161"/>
      <c r="I99" s="138"/>
    </row>
    <row r="100" spans="1:35" ht="18.75" customHeight="1">
      <c r="A100" s="3046" t="s">
        <v>2278</v>
      </c>
      <c r="B100" s="3047"/>
      <c r="C100" s="3047"/>
      <c r="D100" s="3078"/>
      <c r="E100" s="3047" t="s">
        <v>2279</v>
      </c>
      <c r="F100" s="3047"/>
      <c r="G100" s="3047"/>
      <c r="H100" s="3078"/>
      <c r="I100" s="138"/>
    </row>
    <row r="101" spans="1:35" ht="18.75" customHeight="1">
      <c r="A101" s="3086" t="s">
        <v>2280</v>
      </c>
      <c r="B101" s="3087"/>
      <c r="C101" s="736" t="str">
        <f>C4</f>
        <v>成本法</v>
      </c>
      <c r="D101" s="737" t="str">
        <f>D4</f>
        <v>收益法</v>
      </c>
      <c r="E101" s="3058" t="s">
        <v>2281</v>
      </c>
      <c r="F101" s="3059"/>
      <c r="G101" s="2517" t="s">
        <v>2282</v>
      </c>
      <c r="H101" s="1045">
        <f ca="1">H118</f>
        <v>10152</v>
      </c>
      <c r="I101" s="138"/>
    </row>
    <row r="102" spans="1:35" ht="18.75" customHeight="1">
      <c r="A102" s="3088" t="s">
        <v>2283</v>
      </c>
      <c r="B102" s="2517" t="s">
        <v>2282</v>
      </c>
      <c r="C102" s="736">
        <f ca="1">C19</f>
        <v>7440</v>
      </c>
      <c r="D102" s="737">
        <f ca="1">D19</f>
        <v>11960</v>
      </c>
      <c r="E102" s="3058"/>
      <c r="F102" s="3059"/>
      <c r="G102" s="2517" t="s">
        <v>2284</v>
      </c>
      <c r="H102" s="371">
        <f ca="1">I118</f>
        <v>5504</v>
      </c>
      <c r="I102" s="138"/>
    </row>
    <row r="103" spans="1:35" ht="42.75" customHeight="1">
      <c r="A103" s="3088"/>
      <c r="B103" s="2517" t="s">
        <v>2284</v>
      </c>
      <c r="C103" s="738">
        <f ca="1">C20</f>
        <v>4034</v>
      </c>
      <c r="D103" s="739">
        <f ca="1">D20</f>
        <v>6484</v>
      </c>
      <c r="E103" s="3052" t="s">
        <v>2285</v>
      </c>
      <c r="F103" s="3053"/>
      <c r="G103" s="2518" t="s">
        <v>2286</v>
      </c>
      <c r="H103" s="1045">
        <f>IF(D36="正常操作",H104+H105+H106,H105+H106)</f>
        <v>0</v>
      </c>
      <c r="I103" s="138"/>
    </row>
    <row r="104" spans="1:35" ht="18.75" customHeight="1">
      <c r="A104" s="3088" t="s">
        <v>2287</v>
      </c>
      <c r="B104" s="2519" t="s">
        <v>2282</v>
      </c>
      <c r="C104" s="740">
        <f ca="1">H118</f>
        <v>10152</v>
      </c>
      <c r="D104" s="741"/>
      <c r="E104" s="2263" t="s">
        <v>2288</v>
      </c>
      <c r="F104" s="2254"/>
      <c r="G104" s="2518" t="s">
        <v>2286</v>
      </c>
      <c r="H104" s="1046">
        <f>IF(D36="同一抵押权人同一抵押物续贷",C36&amp;"（未扣减，详见特别提示）",C36)</f>
        <v>0</v>
      </c>
      <c r="I104" s="138"/>
    </row>
    <row r="105" spans="1:35" ht="18.75" customHeight="1" thickBot="1">
      <c r="A105" s="3100"/>
      <c r="B105" s="2520" t="s">
        <v>2284</v>
      </c>
      <c r="C105" s="742">
        <f ca="1">I118</f>
        <v>5504</v>
      </c>
      <c r="D105" s="743"/>
      <c r="E105" s="2263" t="s">
        <v>2289</v>
      </c>
      <c r="F105" s="2254"/>
      <c r="G105" s="2518" t="s">
        <v>2286</v>
      </c>
      <c r="H105" s="1046">
        <f>C37</f>
        <v>0</v>
      </c>
      <c r="I105" s="138"/>
    </row>
    <row r="106" spans="1:35" ht="18.75" customHeight="1">
      <c r="A106" s="2415" t="s">
        <v>2290</v>
      </c>
      <c r="B106" s="2415"/>
      <c r="C106" s="2415"/>
      <c r="D106" s="2415"/>
      <c r="E106" s="2521" t="s">
        <v>2291</v>
      </c>
      <c r="F106" s="2254"/>
      <c r="G106" s="2518" t="s">
        <v>2286</v>
      </c>
      <c r="H106" s="1046">
        <f>C38</f>
        <v>0</v>
      </c>
      <c r="I106" s="138"/>
    </row>
    <row r="107" spans="1:35" ht="18.75" customHeight="1">
      <c r="A107" s="138"/>
      <c r="B107" s="138"/>
      <c r="C107" s="138"/>
      <c r="D107" s="138"/>
      <c r="E107" s="3089" t="str">
        <f>IF(项目基本情况!E8="已注销","——","3.房地产抵押价值")</f>
        <v>3.房地产抵押价值</v>
      </c>
      <c r="F107" s="3059"/>
      <c r="G107" s="2517" t="s">
        <v>2282</v>
      </c>
      <c r="H107" s="1045">
        <f ca="1">IF(E107="——","——",H101-H103)</f>
        <v>10152</v>
      </c>
      <c r="I107" s="138"/>
    </row>
    <row r="108" spans="1:35" ht="18.75" customHeight="1">
      <c r="A108" s="138"/>
      <c r="B108" s="138"/>
      <c r="C108" s="138"/>
      <c r="D108" s="138"/>
      <c r="E108" s="3089"/>
      <c r="F108" s="3059"/>
      <c r="G108" s="2517" t="s">
        <v>2284</v>
      </c>
      <c r="H108" s="371">
        <f ca="1">ROUND(H107*10000/'数据-汇总表'!E3,0)</f>
        <v>5504</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7" t="s">
        <v>2282</v>
      </c>
      <c r="H109" s="348" t="str">
        <f>IF(E109="——","——",H101-H105-H106)</f>
        <v>——</v>
      </c>
      <c r="I109" s="138"/>
    </row>
    <row r="110" spans="1:35" ht="18.75" customHeight="1">
      <c r="A110" s="138"/>
      <c r="B110" s="138"/>
      <c r="C110" s="138"/>
      <c r="D110" s="138"/>
      <c r="E110" s="3089"/>
      <c r="F110" s="3059"/>
      <c r="G110" s="2517" t="s">
        <v>2284</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7" t="s">
        <v>2282</v>
      </c>
      <c r="H111" s="1045" t="str">
        <f>IF(E111="——","——",N59)</f>
        <v>——</v>
      </c>
      <c r="I111" s="138"/>
    </row>
    <row r="112" spans="1:35" ht="18.75" customHeight="1" thickBot="1">
      <c r="A112" s="138"/>
      <c r="B112" s="138"/>
      <c r="C112" s="138"/>
      <c r="D112" s="138"/>
      <c r="E112" s="3092"/>
      <c r="F112" s="3093"/>
      <c r="G112" s="2522" t="s">
        <v>2284</v>
      </c>
      <c r="H112" s="790" t="str">
        <f>IF(E111="——","——",N61)</f>
        <v>——</v>
      </c>
      <c r="I112" s="138"/>
    </row>
    <row r="113" spans="1:11" ht="18.75" customHeight="1">
      <c r="A113" s="138"/>
      <c r="B113" s="138"/>
      <c r="C113" s="138"/>
      <c r="D113" s="138"/>
      <c r="E113" s="3101" t="s">
        <v>2290</v>
      </c>
      <c r="F113" s="3101"/>
      <c r="G113" s="3101"/>
      <c r="H113" s="3101"/>
      <c r="I113" s="138"/>
    </row>
    <row r="114" spans="1:11" ht="3.75" customHeight="1">
      <c r="A114" s="2415"/>
      <c r="B114" s="2415"/>
      <c r="C114" s="2415"/>
      <c r="D114" s="2415"/>
      <c r="E114" s="2493"/>
      <c r="F114" s="2493"/>
      <c r="G114" s="2493"/>
      <c r="H114" s="2493"/>
      <c r="I114" s="2415"/>
    </row>
    <row r="115" spans="1:11" ht="18.75" customHeight="1">
      <c r="A115" s="3114" t="s">
        <v>2292</v>
      </c>
      <c r="B115" s="3115"/>
      <c r="C115" s="3115"/>
      <c r="D115" s="3115"/>
      <c r="E115" s="3115"/>
      <c r="F115" s="3115"/>
      <c r="G115" s="3115"/>
      <c r="H115" s="3115"/>
      <c r="I115" s="3116"/>
    </row>
    <row r="116" spans="1:11" ht="27" customHeight="1">
      <c r="A116" s="3025" t="s">
        <v>2293</v>
      </c>
      <c r="B116" s="3068" t="s">
        <v>2294</v>
      </c>
      <c r="C116" s="3068" t="s">
        <v>2295</v>
      </c>
      <c r="D116" s="3074" t="s">
        <v>2296</v>
      </c>
      <c r="E116" s="3075"/>
      <c r="F116" s="3110" t="s">
        <v>2297</v>
      </c>
      <c r="G116" s="3110"/>
      <c r="H116" s="3025" t="s">
        <v>2298</v>
      </c>
      <c r="I116" s="3025"/>
    </row>
    <row r="117" spans="1:11" ht="18.75" customHeight="1">
      <c r="A117" s="3025"/>
      <c r="B117" s="3069"/>
      <c r="C117" s="3069"/>
      <c r="D117" s="1795" t="s">
        <v>2299</v>
      </c>
      <c r="E117" s="1795" t="s">
        <v>2300</v>
      </c>
      <c r="F117" s="1795" t="s">
        <v>2299</v>
      </c>
      <c r="G117" s="1795" t="s">
        <v>2301</v>
      </c>
      <c r="H117" s="1795" t="s">
        <v>2299</v>
      </c>
      <c r="I117" s="1795" t="s">
        <v>2301</v>
      </c>
    </row>
    <row r="118" spans="1:11" ht="24.75" customHeight="1">
      <c r="A118" s="2523" t="str">
        <f>项目基本情况!S2</f>
        <v>江苏省镇江市京口区镇江新区丁卯经十五路99号17幢等5幢工业厂房、服务楼用房房地产</v>
      </c>
      <c r="B118" s="1795">
        <f>M18</f>
        <v>18444.57</v>
      </c>
      <c r="C118" s="1795">
        <f>M19</f>
        <v>7338.5</v>
      </c>
      <c r="D118" s="1795">
        <f ca="1">ROUND(IF(D32="总价",C34,E118*B118/10000),0)</f>
        <v>1401</v>
      </c>
      <c r="E118" s="1795">
        <f ca="1">ROUND(IF(C33="自定义",IF(D32="楼面单价",C34,D118*10000/B118),I118-G118),0)</f>
        <v>760</v>
      </c>
      <c r="F118" s="1795">
        <f ca="1">ROUND(IF(D32="总价",C35,G118*B118/10000),0)</f>
        <v>8751</v>
      </c>
      <c r="G118" s="1795">
        <f ca="1">ROUND(IF(D32="楼面单价",C35,F118*10000/B118),0)</f>
        <v>4744</v>
      </c>
      <c r="H118" s="1795">
        <f ca="1">ROUND(IF(D32="总价",C32,I118*B118/10000),0)</f>
        <v>10152</v>
      </c>
      <c r="I118" s="1795">
        <f ca="1">ROUND(IF(D32="楼面单价",C32,H118*10000/B118),0)</f>
        <v>5504</v>
      </c>
    </row>
    <row r="119" spans="1:11" ht="18.75" customHeight="1">
      <c r="A119" s="3025" t="s">
        <v>2302</v>
      </c>
      <c r="B119" s="3025"/>
      <c r="C119" s="3025"/>
      <c r="D119" s="3070" t="str">
        <f ca="1">NUMBERSTRING(INT(D118*10000),2)&amp;"元整"</f>
        <v>壹仟肆佰零壹万元整</v>
      </c>
      <c r="E119" s="3071"/>
      <c r="F119" s="3070" t="str">
        <f ca="1">NUMBERSTRING(INT(F118*10000),2)&amp;"元整"</f>
        <v>捌仟柒佰伍拾壹万元整</v>
      </c>
      <c r="G119" s="3071"/>
      <c r="H119" s="3070" t="str">
        <f ca="1">NUMBERSTRING(INT(H118*10000),2)&amp;"元整"</f>
        <v>壹亿零壹佰伍拾贰万元整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0" t="str">
        <f>IF(D120=0,"故，本次评估不存在"&amp;A120,"故，本次评估"&amp;A120&amp;"为人民币"&amp;D120&amp;"万元整。")</f>
        <v>故，本次评估不存在估价师知悉的法定优先受偿款</v>
      </c>
    </row>
    <row r="121" spans="1:11" ht="18.75" customHeight="1">
      <c r="A121" s="3111" t="s">
        <v>2302</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10152</v>
      </c>
      <c r="E122" s="3066"/>
      <c r="F122" s="3066"/>
      <c r="G122" s="3066"/>
      <c r="H122" s="3066"/>
      <c r="I122" s="3067"/>
    </row>
    <row r="123" spans="1:11" ht="18.75" customHeight="1">
      <c r="A123" s="3025" t="s">
        <v>2302</v>
      </c>
      <c r="B123" s="3025"/>
      <c r="C123" s="3025"/>
      <c r="D123" s="3070" t="str">
        <f ca="1">NUMBERSTRING(INT(D122*10000),2)&amp;"元整"</f>
        <v>壹亿零壹佰伍拾贰万元整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2302</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2302</v>
      </c>
      <c r="B127" s="3025"/>
      <c r="C127" s="3025"/>
      <c r="D127" s="3070" t="e">
        <f>NUMBERSTRING(INT(D126*10000),2)&amp;"元整"</f>
        <v>#VALUE!</v>
      </c>
      <c r="E127" s="3072"/>
      <c r="F127" s="3072"/>
      <c r="G127" s="3072"/>
      <c r="H127" s="3072"/>
      <c r="I127" s="3071"/>
    </row>
    <row r="128" spans="1:11" ht="21.75" customHeight="1">
      <c r="A128" s="3073" t="s">
        <v>2303</v>
      </c>
      <c r="B128" s="3073"/>
      <c r="C128" s="3073"/>
      <c r="D128" s="3073"/>
      <c r="E128" s="3073"/>
      <c r="F128" s="3073"/>
      <c r="G128" s="3073"/>
      <c r="H128" s="3073"/>
      <c r="I128" s="3073"/>
    </row>
    <row r="129" spans="1:35" ht="21.75" customHeight="1">
      <c r="A129" s="2524" t="s">
        <v>2304</v>
      </c>
      <c r="B129" s="2525"/>
      <c r="C129" s="2526" t="s">
        <v>2305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2306</v>
      </c>
      <c r="G135" s="2541"/>
      <c r="H135" s="2541"/>
      <c r="I135" s="2542" t="s">
        <v>2307</v>
      </c>
    </row>
    <row r="136" spans="1:35" ht="21.75" customHeight="1">
      <c r="A136" s="795"/>
      <c r="B136" s="2543"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2309</v>
      </c>
    </row>
    <row r="139" spans="1:35" ht="21.75" customHeight="1">
      <c r="A139" s="795"/>
      <c r="B139" s="2543" t="s">
        <v>2310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2309</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7"/>
      <c r="C1" s="242"/>
      <c r="D1" s="242"/>
      <c r="E1" s="242"/>
      <c r="F1" s="242"/>
      <c r="G1" s="1379">
        <f>MATCH(B1,'数据-取费表'!A6:A16,0)+5</f>
        <v>7</v>
      </c>
    </row>
    <row r="2" spans="1:9" s="244" customFormat="1" ht="18" customHeight="1">
      <c r="A2" s="245" t="s">
        <v>2312</v>
      </c>
      <c r="B2" s="246">
        <f ca="1">IF(D2="——",C52,C52-E2)</f>
        <v>7440</v>
      </c>
      <c r="C2" s="243" t="s">
        <v>2313</v>
      </c>
      <c r="D2" s="2546" t="s">
        <v>70</v>
      </c>
      <c r="E2" s="1440" t="e">
        <f ca="1">SUMIF(INDIRECT("'"&amp;G2&amp;"'"&amp;"!A:A"),"承租人权益价值",INDIRECT("'"&amp;G2&amp;"'"&amp;"!c:c"))</f>
        <v>#REF!</v>
      </c>
      <c r="F2" s="2547" t="s">
        <v>2313</v>
      </c>
      <c r="G2" s="2548"/>
    </row>
    <row r="3" spans="1:9" s="244" customFormat="1" ht="18" customHeight="1" thickBot="1">
      <c r="A3" s="247" t="s">
        <v>2314</v>
      </c>
      <c r="B3" s="248">
        <f ca="1">ROUND(B2*10000/(IF(B1="",'数据-汇总表'!E3,INDIRECT("'数据-取费表'!k"&amp;$G$1))),0)</f>
        <v>4034</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705</v>
      </c>
      <c r="D5" s="255" t="s">
        <v>2319</v>
      </c>
      <c r="E5" s="256" t="s">
        <v>2320</v>
      </c>
      <c r="F5" s="256" t="s">
        <v>2321</v>
      </c>
      <c r="G5" s="257"/>
    </row>
    <row r="6" spans="1:9" s="258" customFormat="1" ht="13.5" customHeight="1">
      <c r="A6" s="949" t="s">
        <v>2322</v>
      </c>
      <c r="B6" s="259" t="s">
        <v>2323</v>
      </c>
      <c r="C6" s="260">
        <f>'土地比较法-工业'!B2</f>
        <v>496</v>
      </c>
      <c r="D6" s="261"/>
      <c r="E6" s="262"/>
      <c r="F6" s="262"/>
      <c r="G6" s="263"/>
    </row>
    <row r="7" spans="1:9" s="258" customFormat="1" ht="13.5" customHeight="1">
      <c r="A7" s="949" t="s">
        <v>2324</v>
      </c>
      <c r="B7" s="259" t="s">
        <v>2325</v>
      </c>
      <c r="C7" s="264">
        <f>ROUND(C6*F7,0)</f>
        <v>15</v>
      </c>
      <c r="D7" s="264"/>
      <c r="E7" s="262"/>
      <c r="F7" s="265">
        <f>'数据-取费表'!B48+'数据-取费表'!B49</f>
        <v>3.0499999999999999E-2</v>
      </c>
      <c r="G7" s="263"/>
    </row>
    <row r="8" spans="1:9" s="267" customFormat="1">
      <c r="A8" s="949" t="s">
        <v>2326</v>
      </c>
      <c r="B8" s="259" t="s">
        <v>2327</v>
      </c>
      <c r="C8" s="264">
        <f>IF(G8="已包含在土地购买价格中","0",IF(B1="",'数据-取费表'!B29,IF(G9="全部缴纳",C9+C10,H9)))</f>
        <v>194</v>
      </c>
      <c r="D8" s="266"/>
      <c r="E8" s="264"/>
      <c r="F8" s="265"/>
      <c r="G8" s="2549" t="s">
        <v>3160</v>
      </c>
    </row>
    <row r="9" spans="1:9" s="258" customFormat="1" ht="13.5" customHeight="1">
      <c r="A9" s="950" t="s">
        <v>800</v>
      </c>
      <c r="B9" s="268" t="s">
        <v>2328</v>
      </c>
      <c r="C9" s="269">
        <f ca="1">ROUND(D9*E9/10000,0)</f>
        <v>0</v>
      </c>
      <c r="D9" s="1032">
        <f ca="1">IF(B1="",'数据-汇总表'!E5,IF(INDIRECT("'数据-取费表'!c"&amp;$G$1)="住宅",INDIRECT("'数据-取费表'!k"&amp;$G$1),0))</f>
        <v>0</v>
      </c>
      <c r="E9" s="269">
        <f>'数据-取费表'!B27</f>
        <v>105</v>
      </c>
      <c r="F9" s="265"/>
      <c r="G9" s="2550"/>
      <c r="H9" s="1390"/>
      <c r="I9" s="2551" t="s">
        <v>2329</v>
      </c>
    </row>
    <row r="10" spans="1:9" s="258" customFormat="1" ht="13.5" customHeight="1">
      <c r="A10" s="950" t="s">
        <v>801</v>
      </c>
      <c r="B10" s="268" t="s">
        <v>2330</v>
      </c>
      <c r="C10" s="269">
        <f ca="1">ROUND(D10*E10/10000,0)</f>
        <v>194</v>
      </c>
      <c r="D10" s="1032">
        <f ca="1">IF(B1="",'数据-汇总表'!E6,IF(INDIRECT("'数据-取费表'!c"&amp;$G$1)="住宅",INDIRECT("'数据-取费表'!s"&amp;$G$1),INDIRECT("'数据-取费表'!k"&amp;$G$1)+INDIRECT("'数据-取费表'!s"&amp;$G$1)))</f>
        <v>18444.57</v>
      </c>
      <c r="E10" s="269">
        <f>'数据-取费表'!B28</f>
        <v>105</v>
      </c>
      <c r="F10" s="265"/>
      <c r="G10" s="270"/>
    </row>
    <row r="11" spans="1:9" s="258" customFormat="1" ht="13.5" hidden="1" customHeight="1">
      <c r="A11" s="271" t="s">
        <v>7</v>
      </c>
      <c r="B11" s="259" t="s">
        <v>2331</v>
      </c>
      <c r="C11" s="255"/>
      <c r="D11" s="1034"/>
      <c r="E11" s="262"/>
      <c r="F11" s="262"/>
      <c r="G11" s="263"/>
    </row>
    <row r="12" spans="1:9" s="258" customFormat="1" ht="13.5" hidden="1" customHeight="1">
      <c r="A12" s="271" t="s">
        <v>8</v>
      </c>
      <c r="B12" s="259" t="s">
        <v>2332</v>
      </c>
      <c r="C12" s="255">
        <v>0</v>
      </c>
      <c r="D12" s="1034"/>
      <c r="E12" s="272"/>
      <c r="F12" s="265">
        <v>3.0499999999999999E-2</v>
      </c>
      <c r="G12" s="263"/>
    </row>
    <row r="13" spans="1:9" s="258" customFormat="1" ht="13.5" hidden="1" customHeight="1">
      <c r="A13" s="271" t="s">
        <v>9</v>
      </c>
      <c r="B13" s="259" t="s">
        <v>2333</v>
      </c>
      <c r="C13" s="255"/>
      <c r="D13" s="1034"/>
      <c r="E13" s="262"/>
      <c r="F13" s="262"/>
      <c r="G13" s="263"/>
    </row>
    <row r="14" spans="1:9" s="258" customFormat="1" ht="13.5" hidden="1" customHeight="1">
      <c r="A14" s="271" t="s">
        <v>10</v>
      </c>
      <c r="B14" s="259" t="s">
        <v>2334</v>
      </c>
      <c r="C14" s="255"/>
      <c r="D14" s="1034"/>
      <c r="E14" s="262"/>
      <c r="F14" s="262"/>
      <c r="G14" s="263" t="s">
        <v>2335</v>
      </c>
    </row>
    <row r="15" spans="1:9" s="258" customFormat="1" ht="13.5" hidden="1" customHeight="1">
      <c r="A15" s="271" t="s">
        <v>11</v>
      </c>
      <c r="B15" s="259" t="s">
        <v>2336</v>
      </c>
      <c r="C15" s="264"/>
      <c r="D15" s="1034"/>
      <c r="E15" s="262"/>
      <c r="F15" s="262"/>
      <c r="G15" s="263" t="s">
        <v>2337</v>
      </c>
    </row>
    <row r="16" spans="1:9" s="258" customFormat="1" ht="13.5" hidden="1" customHeight="1">
      <c r="A16" s="271" t="s">
        <v>12</v>
      </c>
      <c r="B16" s="259" t="s">
        <v>2334</v>
      </c>
      <c r="C16" s="264"/>
      <c r="D16" s="1034"/>
      <c r="E16" s="262"/>
      <c r="F16" s="262"/>
      <c r="G16" s="263"/>
    </row>
    <row r="17" spans="1:7" s="258" customFormat="1" ht="13.5" hidden="1" customHeight="1">
      <c r="A17" s="271" t="s">
        <v>13</v>
      </c>
      <c r="B17" s="259" t="s">
        <v>2338</v>
      </c>
      <c r="C17" s="273"/>
      <c r="D17" s="1035"/>
      <c r="E17" s="273"/>
      <c r="F17" s="273"/>
      <c r="G17" s="263" t="s">
        <v>2337</v>
      </c>
    </row>
    <row r="18" spans="1:7" s="258" customFormat="1" ht="13.5" hidden="1" customHeight="1">
      <c r="A18" s="271" t="s">
        <v>14</v>
      </c>
      <c r="B18" s="259" t="s">
        <v>2339</v>
      </c>
      <c r="C18" s="264">
        <v>0</v>
      </c>
      <c r="D18" s="1034"/>
      <c r="E18" s="262"/>
      <c r="F18" s="265">
        <v>3.0499999999999999E-2</v>
      </c>
      <c r="G18" s="263" t="s">
        <v>2340</v>
      </c>
    </row>
    <row r="19" spans="1:7" s="267" customFormat="1" ht="13.5" customHeight="1">
      <c r="A19" s="299" t="s">
        <v>2341</v>
      </c>
      <c r="B19" s="254" t="s">
        <v>2342</v>
      </c>
      <c r="C19" s="255" t="str">
        <f>IF(G19="已包含在土地取得成本中","0",ROUND(D19*E19/10000,0))</f>
        <v>0</v>
      </c>
      <c r="D19" s="1036">
        <f ca="1">D9+D10</f>
        <v>18444.57</v>
      </c>
      <c r="E19" s="255">
        <f>'数据-取费表'!B31</f>
        <v>200</v>
      </c>
      <c r="F19" s="275"/>
      <c r="G19" s="2549" t="s">
        <v>3161</v>
      </c>
    </row>
    <row r="20" spans="1:7" s="258" customFormat="1" ht="13.5" customHeight="1">
      <c r="A20" s="299" t="s">
        <v>2343</v>
      </c>
      <c r="B20" s="254" t="s">
        <v>2344</v>
      </c>
      <c r="C20" s="276">
        <f>ROUND((C5+C19)*F20,0)</f>
        <v>18</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4">
        <f ca="1">ROUND(SUM(C23:C25),0)</f>
        <v>70</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51" t="s">
        <v>2352</v>
      </c>
      <c r="B23" s="259" t="s">
        <v>2353</v>
      </c>
      <c r="C23" s="1355">
        <f ca="1">ROUND(IF('数据-取费表'!B22&lt;=1,C5*F22*'数据-取费表'!B23,C5*(POWER((1+F22),'数据-取费表'!B23)-1)),0)</f>
        <v>69</v>
      </c>
      <c r="D23" s="282"/>
      <c r="E23" s="282"/>
      <c r="F23" s="283"/>
      <c r="G23" s="284" t="s">
        <v>2354</v>
      </c>
    </row>
    <row r="24" spans="1:7" s="258" customFormat="1" ht="13.5" customHeight="1">
      <c r="A24" s="951" t="s">
        <v>2355</v>
      </c>
      <c r="B24" s="259" t="s">
        <v>2356</v>
      </c>
      <c r="C24" s="1355">
        <f ca="1">ROUND(IF('数据-取费表'!B22&lt;=1,C19*F22*('数据-取费表'!B19/2+'数据-取费表'!B21),C19*(POWER((1+F22),('数据-取费表'!B19/2+'数据-取费表'!B21))-1)),0)</f>
        <v>0</v>
      </c>
      <c r="D24" s="282"/>
      <c r="E24" s="282"/>
      <c r="F24" s="283"/>
      <c r="G24" s="284" t="s">
        <v>2357</v>
      </c>
    </row>
    <row r="25" spans="1:7" s="258" customFormat="1" ht="24">
      <c r="A25" s="951" t="s">
        <v>2358</v>
      </c>
      <c r="B25" s="259" t="s">
        <v>2359</v>
      </c>
      <c r="C25" s="1355">
        <f ca="1">ROUND(IF('数据-取费表'!B22&lt;=1,C20*F22*'数据-取费表'!B23/2,C20*(POWER((1+F22),'数据-取费表'!B23/2)-1)),0)</f>
        <v>1</v>
      </c>
      <c r="D25" s="282"/>
      <c r="E25" s="285"/>
      <c r="F25" s="283"/>
      <c r="G25" s="286" t="s">
        <v>2360</v>
      </c>
    </row>
    <row r="26" spans="1:7" s="258" customFormat="1">
      <c r="A26" s="951"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145</v>
      </c>
      <c r="D27" s="279">
        <f ca="1">C29</f>
        <v>5.0000000000000001E-3</v>
      </c>
      <c r="E27" s="280" t="s">
        <v>2364</v>
      </c>
      <c r="F27" s="290">
        <f ca="1">IF(B1="",'数据-取费表'!Q16,INDIRECT("'数据-取费表'!q"&amp;$G$1))</f>
        <v>0.2</v>
      </c>
      <c r="G27" s="291" t="s">
        <v>2365</v>
      </c>
    </row>
    <row r="28" spans="1:7" s="258" customFormat="1" ht="13.5" customHeight="1">
      <c r="A28" s="951" t="s">
        <v>791</v>
      </c>
      <c r="B28" s="292" t="s">
        <v>2366</v>
      </c>
      <c r="C28" s="293">
        <f ca="1">ROUND((C5+C19+C20)*F27*'数据-取费表'!B21/'数据-取费表'!B20,0)</f>
        <v>145</v>
      </c>
      <c r="D28" s="279"/>
      <c r="E28" s="280"/>
      <c r="F28" s="290"/>
      <c r="G28" s="291"/>
    </row>
    <row r="29" spans="1:7" s="258" customFormat="1" ht="13.5" customHeight="1">
      <c r="A29" s="951"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1025</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5280</v>
      </c>
      <c r="D33" s="276"/>
      <c r="E33" s="256"/>
      <c r="F33" s="285"/>
      <c r="G33" s="278"/>
    </row>
    <row r="34" spans="1:7" s="302" customFormat="1" ht="13.5" customHeight="1">
      <c r="A34" s="951" t="s">
        <v>791</v>
      </c>
      <c r="B34" s="259" t="s">
        <v>2375</v>
      </c>
      <c r="C34" s="264">
        <f ca="1">IF(B1="",IF(F34=100%,'数据-取费表'!M16,'数据-取费表'!O16),IF(F34=100%,INDIRECT("'数据-取费表'!m"&amp;$G$1)+INDIRECT("'数据-取费表'!t"&amp;$G$1),INDIRECT("'数据-取费表'!o"&amp;$G$1)+INDIRECT("'数据-取费表'!aq"&amp;$G$1)))</f>
        <v>4611</v>
      </c>
      <c r="D34" s="261"/>
      <c r="E34" s="264"/>
      <c r="F34" s="301">
        <f ca="1">IF('数据-取费表'!B24=0,1,IF(B1="",'数据-取费表'!N16,INDIRECT("'数据-取费表'!n"&amp;$G$1)))</f>
        <v>1</v>
      </c>
      <c r="G34" s="263" t="s">
        <v>2376</v>
      </c>
    </row>
    <row r="35" spans="1:7" ht="13.5" customHeight="1">
      <c r="A35" s="951" t="s">
        <v>796</v>
      </c>
      <c r="B35" s="259" t="s">
        <v>2377</v>
      </c>
      <c r="C35" s="264">
        <f ca="1">ROUND(C34*F35,0)</f>
        <v>231</v>
      </c>
      <c r="D35" s="264"/>
      <c r="E35" s="264"/>
      <c r="F35" s="303">
        <f>'数据-取费表'!B33</f>
        <v>0.05</v>
      </c>
      <c r="G35" s="263" t="s">
        <v>2378</v>
      </c>
    </row>
    <row r="36" spans="1:7" ht="24">
      <c r="A36" s="951"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1" t="s">
        <v>798</v>
      </c>
      <c r="B37" s="259" t="s">
        <v>2381</v>
      </c>
      <c r="C37" s="293">
        <f ca="1">ROUND(E37*D37*F34/10000,0)</f>
        <v>369</v>
      </c>
      <c r="D37" s="261">
        <f ca="1">D19</f>
        <v>18444.57</v>
      </c>
      <c r="E37" s="293">
        <f>'数据-取费表'!B35</f>
        <v>200</v>
      </c>
      <c r="F37" s="303"/>
      <c r="G37" s="305" t="s">
        <v>2382</v>
      </c>
    </row>
    <row r="38" spans="1:7" ht="13.5" customHeight="1">
      <c r="A38" s="951" t="s">
        <v>799</v>
      </c>
      <c r="B38" s="259" t="s">
        <v>2383</v>
      </c>
      <c r="C38" s="264">
        <f ca="1">ROUND(C34*F38,0)</f>
        <v>69</v>
      </c>
      <c r="D38" s="264"/>
      <c r="E38" s="264"/>
      <c r="F38" s="303">
        <f>'数据-取费表'!B36</f>
        <v>1.4999999999999999E-2</v>
      </c>
      <c r="G38" s="263" t="s">
        <v>2378</v>
      </c>
    </row>
    <row r="39" spans="1:7" s="258" customFormat="1" ht="13.5" customHeight="1">
      <c r="A39" s="299" t="s">
        <v>2384</v>
      </c>
      <c r="B39" s="254" t="s">
        <v>2385</v>
      </c>
      <c r="C39" s="276">
        <f ca="1">ROUND(C33*F20,0)</f>
        <v>132</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257</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ROUND(IF('数据-取费表'!B22&lt;=1,C33*F22*'数据-取费表'!B21/2,C33*(POWER((1+F22),'数据-取费表'!B21/2)-1)),0)</f>
        <v>251</v>
      </c>
      <c r="D42" s="282"/>
      <c r="E42" s="282"/>
      <c r="F42" s="283"/>
      <c r="G42" s="3145" t="s">
        <v>2394</v>
      </c>
    </row>
    <row r="43" spans="1:7" ht="13.5" customHeight="1">
      <c r="A43" s="951" t="s">
        <v>792</v>
      </c>
      <c r="B43" s="259" t="s">
        <v>2395</v>
      </c>
      <c r="C43" s="282">
        <f ca="1">ROUND(IF('数据-取费表'!B22&lt;=1,C39*F22*'数据-取费表'!B21/2,C39*(POWER((1+F22),'数据-取费表'!B21/2)-1)),0)</f>
        <v>6</v>
      </c>
      <c r="D43" s="282"/>
      <c r="E43" s="282"/>
      <c r="F43" s="283"/>
      <c r="G43" s="3146"/>
    </row>
    <row r="44" spans="1:7" ht="13.5" customHeight="1">
      <c r="A44" s="951" t="s">
        <v>793</v>
      </c>
      <c r="B44" s="259" t="s">
        <v>2396</v>
      </c>
      <c r="C44" s="282">
        <f ca="1">ROUND(IF('数据-取费表'!B22&lt;=1,C40*F22*'数据-取费表'!B21/2,C40*(POWER((1+F22),'数据-取费表'!B21/2)-1)),4)</f>
        <v>1.1999999999999999E-3</v>
      </c>
      <c r="D44" s="282"/>
      <c r="E44" s="282"/>
      <c r="F44" s="283"/>
      <c r="G44" s="3147"/>
    </row>
    <row r="45" spans="1:7" s="258" customFormat="1" ht="13.5" customHeight="1">
      <c r="A45" s="299" t="s">
        <v>2397</v>
      </c>
      <c r="B45" s="288" t="s">
        <v>2363</v>
      </c>
      <c r="C45" s="289">
        <f ca="1">C46</f>
        <v>1082</v>
      </c>
      <c r="D45" s="279">
        <f ca="1">C47</f>
        <v>5.0000000000000001E-3</v>
      </c>
      <c r="E45" s="280" t="s">
        <v>2389</v>
      </c>
      <c r="F45" s="290"/>
      <c r="G45" s="291" t="s">
        <v>2398</v>
      </c>
    </row>
    <row r="46" spans="1:7" s="258" customFormat="1" ht="13.5" customHeight="1">
      <c r="A46" s="951" t="s">
        <v>791</v>
      </c>
      <c r="B46" s="292" t="s">
        <v>2399</v>
      </c>
      <c r="C46" s="293">
        <f ca="1">ROUND((C33+C39)*F27,0)</f>
        <v>1082</v>
      </c>
      <c r="D46" s="307"/>
      <c r="E46" s="280"/>
      <c r="F46" s="290"/>
      <c r="G46" s="291"/>
    </row>
    <row r="47" spans="1:7" s="258" customFormat="1" ht="13.5" customHeight="1">
      <c r="A47" s="951" t="s">
        <v>792</v>
      </c>
      <c r="B47" s="292" t="s">
        <v>2400</v>
      </c>
      <c r="C47" s="282">
        <f ca="1">ROUND(C40*F27,4)</f>
        <v>5.0000000000000001E-3</v>
      </c>
      <c r="D47" s="307"/>
      <c r="E47" s="280"/>
      <c r="F47" s="290"/>
      <c r="G47" s="291"/>
    </row>
    <row r="48" spans="1:7" s="258" customFormat="1" ht="13.5" customHeight="1">
      <c r="A48" s="299" t="s">
        <v>2362</v>
      </c>
      <c r="B48" s="254" t="s">
        <v>2401</v>
      </c>
      <c r="C48" s="1728">
        <f>ROUND(F30/(1+'数据-取费表'!C42),4)</f>
        <v>5.33E-2</v>
      </c>
      <c r="D48" s="280" t="s">
        <v>2389</v>
      </c>
      <c r="E48" s="276"/>
      <c r="F48" s="281"/>
      <c r="G48" s="278" t="s">
        <v>2402</v>
      </c>
    </row>
    <row r="49" spans="1:7" ht="16.5" customHeight="1">
      <c r="A49" s="299" t="s">
        <v>2368</v>
      </c>
      <c r="B49" s="254" t="s">
        <v>2403</v>
      </c>
      <c r="C49" s="276">
        <f ca="1">ROUND((C33+C39+C41+C45)/(1-C40-D41-D45-C48),0)</f>
        <v>7374</v>
      </c>
      <c r="D49" s="276"/>
      <c r="E49" s="276"/>
      <c r="F49" s="308"/>
      <c r="G49" s="278" t="s">
        <v>2404</v>
      </c>
    </row>
    <row r="50" spans="1:7" s="302" customFormat="1" ht="24">
      <c r="A50" s="299" t="s">
        <v>2405</v>
      </c>
      <c r="B50" s="254" t="s">
        <v>2406</v>
      </c>
      <c r="C50" s="276"/>
      <c r="D50" s="276"/>
      <c r="E50" s="276"/>
      <c r="F50" s="308">
        <f>IF('数据-取费表'!B24=0,'数据-取费表'!N16,1)</f>
        <v>0.87</v>
      </c>
      <c r="G50" s="291" t="s">
        <v>2407</v>
      </c>
    </row>
    <row r="51" spans="1:7" ht="16.5" customHeight="1">
      <c r="A51" s="299" t="s">
        <v>2408</v>
      </c>
      <c r="B51" s="254" t="s">
        <v>2409</v>
      </c>
      <c r="C51" s="276">
        <f ca="1">ROUND(C49*F50,0)</f>
        <v>6415</v>
      </c>
      <c r="D51" s="276"/>
      <c r="E51" s="276"/>
      <c r="F51" s="308"/>
      <c r="G51" s="278" t="s">
        <v>2410</v>
      </c>
    </row>
    <row r="52" spans="1:7" s="252" customFormat="1" ht="16.5" thickBot="1">
      <c r="A52" s="309" t="s">
        <v>2411</v>
      </c>
      <c r="B52" s="310"/>
      <c r="C52" s="311">
        <f ca="1">C31+C51</f>
        <v>7440</v>
      </c>
      <c r="D52" s="310"/>
      <c r="E52" s="310"/>
      <c r="F52" s="310"/>
      <c r="G52" s="312"/>
    </row>
    <row r="55" spans="1:7" ht="15">
      <c r="B55" s="314" t="s">
        <v>2412</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江苏省镇江市京口区镇江新区丁卯经十五路99号17幢等5幢工业厂房、服务楼用房房地产抵押价值预评估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7"/>
      <c r="C1" s="2552"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7438</v>
      </c>
      <c r="C2" s="243" t="s">
        <v>2313</v>
      </c>
      <c r="D2" s="2546" t="s">
        <v>70</v>
      </c>
      <c r="E2" s="1440" t="e">
        <f ca="1">SUMIF(INDIRECT("'"&amp;G2&amp;"'"&amp;"!A:A"),"承租人权益价值",INDIRECT("'"&amp;G2&amp;"'"&amp;"!c:c"))</f>
        <v>#REF!</v>
      </c>
      <c r="F2" s="2547" t="s">
        <v>2313</v>
      </c>
      <c r="G2" s="2548"/>
    </row>
    <row r="3" spans="1:8" s="244" customFormat="1" ht="18" customHeight="1" thickBot="1">
      <c r="A3" s="247" t="s">
        <v>2314</v>
      </c>
      <c r="B3" s="248">
        <f ca="1">ROUND(B2*10000/(IF(B1="",'数据-汇总表'!E3,INDIRECT("'数据-取费表'!k"&amp;$G$1))),0)</f>
        <v>4033</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7047960</v>
      </c>
      <c r="D5" s="255" t="s">
        <v>2319</v>
      </c>
      <c r="E5" s="256" t="s">
        <v>2320</v>
      </c>
      <c r="F5" s="256" t="s">
        <v>2321</v>
      </c>
      <c r="G5" s="257"/>
    </row>
    <row r="6" spans="1:8" s="258" customFormat="1" ht="13.5" customHeight="1">
      <c r="A6" s="949" t="s">
        <v>2322</v>
      </c>
      <c r="B6" s="259" t="s">
        <v>2323</v>
      </c>
      <c r="C6" s="260">
        <f>'土地比较法-工业'!B2*10000</f>
        <v>4960000</v>
      </c>
      <c r="D6" s="261"/>
      <c r="E6" s="262"/>
      <c r="F6" s="262"/>
      <c r="G6" s="263"/>
    </row>
    <row r="7" spans="1:8" s="258" customFormat="1" ht="13.5" customHeight="1">
      <c r="A7" s="949" t="s">
        <v>2324</v>
      </c>
      <c r="B7" s="259" t="s">
        <v>2325</v>
      </c>
      <c r="C7" s="264">
        <f>ROUND(C6*F7,0)</f>
        <v>151280</v>
      </c>
      <c r="D7" s="264"/>
      <c r="E7" s="262"/>
      <c r="F7" s="265">
        <f>'数据-取费表'!B48+'数据-取费表'!B49</f>
        <v>3.0499999999999999E-2</v>
      </c>
      <c r="G7" s="263"/>
    </row>
    <row r="8" spans="1:8" s="267" customFormat="1">
      <c r="A8" s="949" t="s">
        <v>2326</v>
      </c>
      <c r="B8" s="259" t="s">
        <v>2327</v>
      </c>
      <c r="C8" s="264">
        <f ca="1">IF(G8="已包含在土地购买价格中",0,C9+C10)</f>
        <v>1936680</v>
      </c>
      <c r="D8" s="266"/>
      <c r="E8" s="264"/>
      <c r="F8" s="265"/>
      <c r="G8" s="2549" t="s">
        <v>3160</v>
      </c>
    </row>
    <row r="9" spans="1:8" s="258" customFormat="1" ht="13.5" customHeight="1">
      <c r="A9" s="950" t="s">
        <v>800</v>
      </c>
      <c r="B9" s="268" t="s">
        <v>2328</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2330</v>
      </c>
      <c r="C10" s="269">
        <f ca="1">ROUND(D10*E10,0)</f>
        <v>1936680</v>
      </c>
      <c r="D10" s="1032">
        <f ca="1">IF(B1="",'数据-汇总表'!E6,IF(INDIRECT("'数据-取费表'!c"&amp;$G$1)="住宅",INDIRECT("'数据-取费表'!s"&amp;$G$1),INDIRECT("'数据-取费表'!k"&amp;$G$1)+INDIRECT("'数据-取费表'!s"&amp;$G$1)))</f>
        <v>18444.57</v>
      </c>
      <c r="E10" s="269">
        <f>'数据-取费表'!B28</f>
        <v>105</v>
      </c>
      <c r="F10" s="265"/>
      <c r="G10" s="270"/>
    </row>
    <row r="11" spans="1:8" s="258" customFormat="1" ht="13.5" hidden="1" customHeight="1">
      <c r="A11" s="271" t="s">
        <v>7</v>
      </c>
      <c r="B11" s="259" t="s">
        <v>2331</v>
      </c>
      <c r="C11" s="255"/>
      <c r="D11" s="1034"/>
      <c r="E11" s="262"/>
      <c r="F11" s="262"/>
      <c r="G11" s="263"/>
    </row>
    <row r="12" spans="1:8" s="258" customFormat="1" ht="13.5" hidden="1" customHeight="1">
      <c r="A12" s="271" t="s">
        <v>8</v>
      </c>
      <c r="B12" s="259" t="s">
        <v>2414</v>
      </c>
      <c r="C12" s="255">
        <v>0</v>
      </c>
      <c r="D12" s="1034"/>
      <c r="E12" s="272"/>
      <c r="F12" s="265">
        <v>3.0499999999999999E-2</v>
      </c>
      <c r="G12" s="263"/>
    </row>
    <row r="13" spans="1:8" s="258" customFormat="1" ht="13.5" hidden="1" customHeight="1">
      <c r="A13" s="271" t="s">
        <v>9</v>
      </c>
      <c r="B13" s="259" t="s">
        <v>2415</v>
      </c>
      <c r="C13" s="255"/>
      <c r="D13" s="1034"/>
      <c r="E13" s="262"/>
      <c r="F13" s="262"/>
      <c r="G13" s="263"/>
    </row>
    <row r="14" spans="1:8" s="258" customFormat="1" ht="13.5" hidden="1" customHeight="1">
      <c r="A14" s="271" t="s">
        <v>10</v>
      </c>
      <c r="B14" s="259" t="s">
        <v>2327</v>
      </c>
      <c r="C14" s="255"/>
      <c r="D14" s="1034"/>
      <c r="E14" s="262"/>
      <c r="F14" s="262"/>
      <c r="G14" s="263" t="s">
        <v>2416</v>
      </c>
    </row>
    <row r="15" spans="1:8" s="258" customFormat="1" ht="13.5" hidden="1" customHeight="1">
      <c r="A15" s="271" t="s">
        <v>11</v>
      </c>
      <c r="B15" s="259" t="s">
        <v>2417</v>
      </c>
      <c r="C15" s="264"/>
      <c r="D15" s="1034"/>
      <c r="E15" s="262"/>
      <c r="F15" s="262"/>
      <c r="G15" s="263" t="s">
        <v>2418</v>
      </c>
    </row>
    <row r="16" spans="1:8" s="258" customFormat="1" ht="13.5" hidden="1" customHeight="1">
      <c r="A16" s="271" t="s">
        <v>12</v>
      </c>
      <c r="B16" s="259" t="s">
        <v>2327</v>
      </c>
      <c r="C16" s="264"/>
      <c r="D16" s="1034"/>
      <c r="E16" s="262"/>
      <c r="F16" s="262"/>
      <c r="G16" s="263"/>
    </row>
    <row r="17" spans="1:7" s="258" customFormat="1" ht="13.5" hidden="1" customHeight="1">
      <c r="A17" s="271" t="s">
        <v>13</v>
      </c>
      <c r="B17" s="259" t="s">
        <v>2419</v>
      </c>
      <c r="C17" s="273"/>
      <c r="D17" s="1035"/>
      <c r="E17" s="273"/>
      <c r="F17" s="273"/>
      <c r="G17" s="263" t="s">
        <v>2418</v>
      </c>
    </row>
    <row r="18" spans="1:7" s="258" customFormat="1" ht="13.5" hidden="1" customHeight="1">
      <c r="A18" s="271" t="s">
        <v>14</v>
      </c>
      <c r="B18" s="259" t="s">
        <v>2420</v>
      </c>
      <c r="C18" s="264">
        <v>0</v>
      </c>
      <c r="D18" s="1034"/>
      <c r="E18" s="262"/>
      <c r="F18" s="265">
        <v>3.0499999999999999E-2</v>
      </c>
      <c r="G18" s="263" t="s">
        <v>2421</v>
      </c>
    </row>
    <row r="19" spans="1:7" s="267" customFormat="1" ht="13.5" customHeight="1">
      <c r="A19" s="299" t="s">
        <v>2422</v>
      </c>
      <c r="B19" s="254" t="s">
        <v>2423</v>
      </c>
      <c r="C19" s="255" t="str">
        <f>IF(G19="已包含在土地取得成本中","0",ROUND(D19*E19,0))</f>
        <v>0</v>
      </c>
      <c r="D19" s="1036">
        <f ca="1">D9+D10</f>
        <v>18444.57</v>
      </c>
      <c r="E19" s="255">
        <f>'数据-取费表'!B31</f>
        <v>200</v>
      </c>
      <c r="F19" s="275"/>
      <c r="G19" s="2549" t="s">
        <v>3161</v>
      </c>
    </row>
    <row r="20" spans="1:7" s="258" customFormat="1" ht="13.5" customHeight="1">
      <c r="A20" s="299" t="s">
        <v>2424</v>
      </c>
      <c r="B20" s="254" t="s">
        <v>2425</v>
      </c>
      <c r="C20" s="276">
        <f ca="1">ROUND((C5+C19)*F20,0)</f>
        <v>176199</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80">
        <f ca="1">ROUND(SUM(C23:C25),0)</f>
        <v>693827</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51" t="s">
        <v>2322</v>
      </c>
      <c r="B23" s="259" t="s">
        <v>2433</v>
      </c>
      <c r="C23" s="1381">
        <f ca="1">ROUND(IF('数据-取费表'!B22&lt;=1,C5*F22*'数据-取费表'!B22,C5*(POWER((1+F22),'数据-取费表'!B22)-1)),0)</f>
        <v>685458</v>
      </c>
      <c r="D23" s="282"/>
      <c r="E23" s="282"/>
      <c r="F23" s="283"/>
      <c r="G23" s="284" t="s">
        <v>2434</v>
      </c>
    </row>
    <row r="24" spans="1:7" s="258" customFormat="1" ht="13.5" customHeight="1">
      <c r="A24" s="951" t="s">
        <v>2324</v>
      </c>
      <c r="B24" s="259" t="s">
        <v>2435</v>
      </c>
      <c r="C24" s="1381">
        <f ca="1">ROUND(IF('数据-取费表'!B22&lt;=1,C19*F22*('数据-取费表'!B19/2+'数据-取费表'!B20),C19*(POWER((1+F22),('数据-取费表'!B19/2+'数据-取费表'!B20))-1)),0)</f>
        <v>0</v>
      </c>
      <c r="D24" s="282"/>
      <c r="E24" s="282"/>
      <c r="F24" s="283"/>
      <c r="G24" s="284" t="s">
        <v>2436</v>
      </c>
    </row>
    <row r="25" spans="1:7" s="258" customFormat="1" ht="24">
      <c r="A25" s="951" t="s">
        <v>2326</v>
      </c>
      <c r="B25" s="259" t="s">
        <v>2437</v>
      </c>
      <c r="C25" s="1381">
        <f ca="1">ROUND(IF('数据-取费表'!B22&lt;=1,C20*F22*'数据-取费表'!B22/2,C20*(POWER((1+F22),'数据-取费表'!B22/2)-1)),0)</f>
        <v>8369</v>
      </c>
      <c r="D25" s="282"/>
      <c r="E25" s="285"/>
      <c r="F25" s="283"/>
      <c r="G25" s="286" t="s">
        <v>2438</v>
      </c>
    </row>
    <row r="26" spans="1:7" s="258" customFormat="1">
      <c r="A26" s="951"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1444832</v>
      </c>
      <c r="D27" s="279">
        <f ca="1">C29</f>
        <v>5.0000000000000001E-3</v>
      </c>
      <c r="E27" s="280" t="s">
        <v>2364</v>
      </c>
      <c r="F27" s="290">
        <f ca="1">IF(B1="",'数据-取费表'!Q16,INDIRECT("'数据-取费表'!q"&amp;$G$1))</f>
        <v>0.2</v>
      </c>
      <c r="G27" s="291" t="s">
        <v>2365</v>
      </c>
    </row>
    <row r="28" spans="1:7" s="258" customFormat="1" ht="13.5" customHeight="1">
      <c r="A28" s="951" t="s">
        <v>791</v>
      </c>
      <c r="B28" s="292" t="s">
        <v>2366</v>
      </c>
      <c r="C28" s="293">
        <f ca="1">ROUND((C5+C19+C20)*F27,0)</f>
        <v>1444832</v>
      </c>
      <c r="D28" s="279"/>
      <c r="E28" s="280"/>
      <c r="F28" s="290"/>
      <c r="G28" s="291"/>
    </row>
    <row r="29" spans="1:7" s="258" customFormat="1" ht="13.5" customHeight="1">
      <c r="A29" s="951"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10226999</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52797581</v>
      </c>
      <c r="D33" s="276"/>
      <c r="E33" s="256"/>
      <c r="F33" s="285"/>
      <c r="G33" s="278"/>
    </row>
    <row r="34" spans="1:7" s="302" customFormat="1" ht="13.5" customHeight="1">
      <c r="A34" s="951" t="s">
        <v>791</v>
      </c>
      <c r="B34" s="259" t="s">
        <v>2375</v>
      </c>
      <c r="C34" s="264">
        <f ca="1">ROUND(IF(B1="",SUMPRODUCT('数据-取费表'!K6:K14,'数据-取费表'!L6:L14),INDIRECT("'数据-取费表'!l"&amp;$G$1)*INDIRECT("'数据-取费表'!k"&amp;$G$1)+'数据-取费表'!L14*INDIRECT("'数据-取费表'!S"&amp;$G$1)),0)</f>
        <v>46111425</v>
      </c>
      <c r="D34" s="261"/>
      <c r="E34" s="264"/>
      <c r="F34" s="301"/>
      <c r="G34" s="263"/>
    </row>
    <row r="35" spans="1:7" ht="13.5" customHeight="1">
      <c r="A35" s="951" t="s">
        <v>796</v>
      </c>
      <c r="B35" s="259" t="s">
        <v>2377</v>
      </c>
      <c r="C35" s="264">
        <f ca="1">ROUND(C34*F35,0)</f>
        <v>2305571</v>
      </c>
      <c r="D35" s="264"/>
      <c r="E35" s="264"/>
      <c r="F35" s="303">
        <f>'数据-取费表'!B33</f>
        <v>0.05</v>
      </c>
      <c r="G35" s="263" t="s">
        <v>2378</v>
      </c>
    </row>
    <row r="36" spans="1:7" ht="24">
      <c r="A36" s="951"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1" t="s">
        <v>798</v>
      </c>
      <c r="B37" s="259" t="s">
        <v>2381</v>
      </c>
      <c r="C37" s="293">
        <f ca="1">ROUND(E37*D37,0)</f>
        <v>3688914</v>
      </c>
      <c r="D37" s="261">
        <f ca="1">D19</f>
        <v>18444.57</v>
      </c>
      <c r="E37" s="293">
        <f>'数据-取费表'!B35</f>
        <v>200</v>
      </c>
      <c r="F37" s="303"/>
      <c r="G37" s="305"/>
    </row>
    <row r="38" spans="1:7" ht="13.5" customHeight="1">
      <c r="A38" s="951" t="s">
        <v>799</v>
      </c>
      <c r="B38" s="259" t="s">
        <v>2383</v>
      </c>
      <c r="C38" s="264">
        <f ca="1">ROUND(C34*F38,0)</f>
        <v>691671</v>
      </c>
      <c r="D38" s="264"/>
      <c r="E38" s="264"/>
      <c r="F38" s="303">
        <f>'数据-取费表'!B36</f>
        <v>1.4999999999999999E-2</v>
      </c>
      <c r="G38" s="263" t="s">
        <v>2378</v>
      </c>
    </row>
    <row r="39" spans="1:7" s="258" customFormat="1" ht="13.5" customHeight="1">
      <c r="A39" s="299" t="s">
        <v>2384</v>
      </c>
      <c r="B39" s="254" t="s">
        <v>2385</v>
      </c>
      <c r="C39" s="276">
        <f ca="1">ROUND(C33*F20,0)</f>
        <v>1319940</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2570582</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ROUND(IF('数据-取费表'!B22&lt;=1,C33*F22*'数据-取费表'!B20/2,C33*(POWER((1+F22),'数据-取费表'!B20/2)-1)),0)</f>
        <v>2507885</v>
      </c>
      <c r="D42" s="282"/>
      <c r="E42" s="282"/>
      <c r="F42" s="283"/>
      <c r="G42" s="3145" t="s">
        <v>2441</v>
      </c>
    </row>
    <row r="43" spans="1:7" ht="13.5" customHeight="1">
      <c r="A43" s="951" t="s">
        <v>792</v>
      </c>
      <c r="B43" s="259" t="s">
        <v>2395</v>
      </c>
      <c r="C43" s="282">
        <f ca="1">ROUND(IF('数据-取费表'!B22&lt;=1,C39*F22*'数据-取费表'!B20/2,C39*(POWER((1+F22),'数据-取费表'!B20/2)-1)),0)</f>
        <v>62697</v>
      </c>
      <c r="D43" s="282"/>
      <c r="E43" s="282"/>
      <c r="F43" s="283"/>
      <c r="G43" s="3146"/>
    </row>
    <row r="44" spans="1:7" ht="13.5" customHeight="1">
      <c r="A44" s="951" t="s">
        <v>793</v>
      </c>
      <c r="B44" s="259" t="s">
        <v>2396</v>
      </c>
      <c r="C44" s="282">
        <f ca="1">ROUND(IF('数据-取费表'!B22&lt;=1,C40*F22*'数据-取费表'!B20/2,C40*(POWER((1+F22),'数据-取费表'!B20/2)-1)),4)</f>
        <v>1.1999999999999999E-3</v>
      </c>
      <c r="D44" s="282"/>
      <c r="E44" s="282"/>
      <c r="F44" s="283"/>
      <c r="G44" s="3147"/>
    </row>
    <row r="45" spans="1:7" s="258" customFormat="1" ht="13.5" customHeight="1">
      <c r="A45" s="299" t="s">
        <v>2397</v>
      </c>
      <c r="B45" s="288" t="s">
        <v>2363</v>
      </c>
      <c r="C45" s="289">
        <f ca="1">C46</f>
        <v>10823504</v>
      </c>
      <c r="D45" s="279">
        <f ca="1">C47</f>
        <v>5.0000000000000001E-3</v>
      </c>
      <c r="E45" s="280" t="s">
        <v>2389</v>
      </c>
      <c r="F45" s="290"/>
      <c r="G45" s="291" t="s">
        <v>2398</v>
      </c>
    </row>
    <row r="46" spans="1:7" s="258" customFormat="1" ht="13.5" customHeight="1">
      <c r="A46" s="951" t="s">
        <v>791</v>
      </c>
      <c r="B46" s="292" t="s">
        <v>2399</v>
      </c>
      <c r="C46" s="293">
        <f ca="1">ROUND((C33+C39)*F27,0)</f>
        <v>10823504</v>
      </c>
      <c r="D46" s="307"/>
      <c r="E46" s="280"/>
      <c r="F46" s="290"/>
      <c r="G46" s="291"/>
    </row>
    <row r="47" spans="1:7" s="258" customFormat="1" ht="13.5" customHeight="1">
      <c r="A47" s="951"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73742880</v>
      </c>
      <c r="D49" s="276"/>
      <c r="E49" s="276"/>
      <c r="F49" s="308"/>
      <c r="G49" s="278" t="s">
        <v>2404</v>
      </c>
    </row>
    <row r="50" spans="1:7" s="302" customFormat="1">
      <c r="A50" s="299" t="s">
        <v>2405</v>
      </c>
      <c r="B50" s="254" t="s">
        <v>2406</v>
      </c>
      <c r="C50" s="276"/>
      <c r="D50" s="276"/>
      <c r="E50" s="276"/>
      <c r="F50" s="308">
        <f>IF('数据-取费表'!B24=0,'数据-取费表'!N16,1)</f>
        <v>0.87</v>
      </c>
      <c r="G50" s="291"/>
    </row>
    <row r="51" spans="1:7" ht="16.5" customHeight="1">
      <c r="A51" s="299" t="s">
        <v>2408</v>
      </c>
      <c r="B51" s="254" t="s">
        <v>2443</v>
      </c>
      <c r="C51" s="276">
        <f ca="1">ROUND(C49*F50,0)</f>
        <v>64156306</v>
      </c>
      <c r="D51" s="276"/>
      <c r="E51" s="276"/>
      <c r="F51" s="308"/>
      <c r="G51" s="278" t="s">
        <v>2410</v>
      </c>
    </row>
    <row r="52" spans="1:7" s="252" customFormat="1" ht="16.5" thickBot="1">
      <c r="A52" s="309" t="s">
        <v>2411</v>
      </c>
      <c r="B52" s="310"/>
      <c r="C52" s="311">
        <f ca="1">C31+C51</f>
        <v>74383305</v>
      </c>
      <c r="D52" s="310"/>
      <c r="E52" s="310"/>
      <c r="F52" s="310"/>
      <c r="G52" s="312"/>
    </row>
    <row r="55" spans="1:7" ht="15">
      <c r="B55" s="314" t="s">
        <v>2412</v>
      </c>
      <c r="C55" s="315"/>
    </row>
    <row r="56" spans="1:7">
      <c r="B56" s="317" t="s">
        <v>1509</v>
      </c>
      <c r="C56" s="319">
        <f ca="1">1-C57</f>
        <v>0.13700000000000001</v>
      </c>
    </row>
    <row r="57" spans="1:7">
      <c r="B57" s="317" t="s">
        <v>1510</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2444</v>
      </c>
      <c r="B1" s="1581"/>
      <c r="C1" s="1582"/>
      <c r="D1" s="1580"/>
      <c r="E1" s="320"/>
      <c r="F1" s="320"/>
      <c r="G1" s="1581"/>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6" customFormat="1" ht="16.5" customHeight="1">
      <c r="A4" s="953" t="s">
        <v>2447</v>
      </c>
      <c r="B4" s="954"/>
      <c r="C4" s="996">
        <f>SUM(C8:K8)</f>
        <v>0</v>
      </c>
      <c r="D4" s="954"/>
      <c r="E4" s="954"/>
      <c r="F4" s="954"/>
      <c r="G4" s="954"/>
      <c r="H4" s="954"/>
      <c r="I4" s="954"/>
      <c r="J4" s="954"/>
      <c r="K4" s="955"/>
    </row>
    <row r="5" spans="1:33" s="960" customFormat="1" ht="24.75">
      <c r="A5" s="957" t="s">
        <v>2448</v>
      </c>
      <c r="B5" s="958" t="s">
        <v>2449</v>
      </c>
      <c r="C5" s="2553" t="s">
        <v>2450</v>
      </c>
      <c r="D5" s="2553" t="s">
        <v>2451</v>
      </c>
      <c r="E5" s="2553" t="s">
        <v>2452</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2456</v>
      </c>
      <c r="B8" s="177" t="s">
        <v>2457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1330</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2466</v>
      </c>
      <c r="C12" s="24">
        <f ca="1">ROUND(C11*F12,0)</f>
        <v>0</v>
      </c>
      <c r="D12" s="973"/>
      <c r="E12" s="375"/>
      <c r="F12" s="976">
        <f>'数据-取费表'!B33</f>
        <v>0.05</v>
      </c>
      <c r="G12" s="8" t="s">
        <v>2467</v>
      </c>
      <c r="H12" s="968"/>
      <c r="I12" s="968"/>
      <c r="J12" s="968"/>
      <c r="K12" s="969"/>
    </row>
    <row r="13" spans="1:33" s="975" customFormat="1" ht="13.5" customHeight="1">
      <c r="A13" s="971" t="s">
        <v>1332</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1333</v>
      </c>
      <c r="B14" s="972" t="s">
        <v>2470</v>
      </c>
      <c r="C14" s="24">
        <f ca="1">ROUND(D14*E14*F11/10000,0)</f>
        <v>0</v>
      </c>
      <c r="D14" s="1033">
        <f ca="1">IF(C1="",'数据-汇总表'!E3,INDIRECT("'数据-取费表'!K"&amp;$K$1)+INDIRECT("'数据-取费表'!S"&amp;$K$1))</f>
        <v>18444.57</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18444.57</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2477</v>
      </c>
      <c r="C18" s="24">
        <f ca="1">C19+C20-IF(C1="",'数据-取费表'!B29,IF(G18="已全部缴纳",C19+C20,H18))</f>
        <v>0</v>
      </c>
      <c r="D18" s="1033"/>
      <c r="E18" s="24"/>
      <c r="F18" s="976"/>
      <c r="G18" s="2555"/>
      <c r="H18" s="1577"/>
      <c r="I18" s="2556"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2480</v>
      </c>
      <c r="C20" s="24">
        <f ca="1">ROUND(D20*E20/10000,0)</f>
        <v>194</v>
      </c>
      <c r="D20" s="1033">
        <f ca="1">IF(C1="",'数据-汇总表'!E6,IF(INDIRECT("'数据-取费表'!c"&amp;$K$1)="住宅",INDIRECT("'数据-取费表'!s"&amp;$K$1),INDIRECT("'数据-取费表'!k"&amp;$K$1)+INDIRECT("'数据-取费表'!s"&amp;$K$1)))</f>
        <v>18444.57</v>
      </c>
      <c r="E20" s="24">
        <f>'数据-取费表'!B28</f>
        <v>105</v>
      </c>
      <c r="F20" s="976"/>
      <c r="G20" s="15"/>
      <c r="H20" s="981"/>
      <c r="I20" s="981"/>
      <c r="J20" s="981"/>
      <c r="K20" s="982"/>
    </row>
    <row r="21" spans="1:33" s="975" customFormat="1" ht="13.5" customHeight="1">
      <c r="A21" s="961" t="s">
        <v>802</v>
      </c>
      <c r="B21" s="985" t="s">
        <v>2481</v>
      </c>
      <c r="C21" s="986">
        <f ca="1">C16+C17+C18</f>
        <v>0</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'数据-取费表'!B48+'数据-取费表'!B49</f>
        <v>3.0499999999999999E-2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2494</v>
      </c>
      <c r="B28" s="2558" t="s">
        <v>2495</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0</v>
      </c>
      <c r="D30" s="328"/>
      <c r="E30" s="329"/>
      <c r="F30" s="334"/>
      <c r="G30" s="140"/>
      <c r="H30" s="979"/>
      <c r="I30" s="979"/>
      <c r="J30" s="979"/>
      <c r="K30" s="980"/>
    </row>
    <row r="31" spans="1:33" s="975" customFormat="1" ht="13.5" customHeight="1" thickBot="1">
      <c r="A31" s="2559"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0</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J36" sqref="J36"/>
    </sheetView>
  </sheetViews>
  <sheetFormatPr defaultRowHeight="12.75"/>
  <cols>
    <col min="1" max="1" width="33.625" style="2953" customWidth="1"/>
    <col min="2" max="2" width="6.25" style="2953" hidden="1" customWidth="1"/>
    <col min="3" max="3" width="7.875" style="2953" hidden="1" customWidth="1"/>
    <col min="4" max="4" width="10.25" style="2953" customWidth="1"/>
    <col min="5" max="5" width="9.75" style="2953" customWidth="1"/>
    <col min="6" max="6" width="13.75" style="2953" customWidth="1"/>
    <col min="7" max="7" width="7.875" style="2953" hidden="1" customWidth="1"/>
    <col min="8" max="8" width="9" style="2953" customWidth="1"/>
    <col min="9" max="10" width="10.625" style="2953" customWidth="1"/>
    <col min="11" max="11" width="14.375" style="2953" customWidth="1"/>
    <col min="12" max="12" width="6.25" style="2953" customWidth="1"/>
    <col min="13" max="13" width="30.375" style="2953" customWidth="1"/>
    <col min="14" max="14" width="7.875" style="2953" customWidth="1"/>
    <col min="15" max="256" width="9" style="2953"/>
    <col min="257" max="257" width="33.625" style="2953" customWidth="1"/>
    <col min="258" max="258" width="6.25" style="2953" customWidth="1"/>
    <col min="259" max="259" width="7.875" style="2953" customWidth="1"/>
    <col min="260" max="261" width="13.875" style="2953" customWidth="1"/>
    <col min="262" max="262" width="13.75"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30.375" style="2953" customWidth="1"/>
    <col min="270" max="270" width="7.875" style="2953" customWidth="1"/>
    <col min="271" max="512" width="9" style="2953"/>
    <col min="513" max="513" width="33.625" style="2953" customWidth="1"/>
    <col min="514" max="514" width="6.25" style="2953" customWidth="1"/>
    <col min="515" max="515" width="7.875" style="2953" customWidth="1"/>
    <col min="516" max="517" width="13.875" style="2953" customWidth="1"/>
    <col min="518" max="518" width="13.75"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30.375" style="2953" customWidth="1"/>
    <col min="526" max="526" width="7.875" style="2953" customWidth="1"/>
    <col min="527" max="768" width="9" style="2953"/>
    <col min="769" max="769" width="33.625" style="2953" customWidth="1"/>
    <col min="770" max="770" width="6.25" style="2953" customWidth="1"/>
    <col min="771" max="771" width="7.875" style="2953" customWidth="1"/>
    <col min="772" max="773" width="13.875" style="2953" customWidth="1"/>
    <col min="774" max="774" width="13.75"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30.375" style="2953" customWidth="1"/>
    <col min="782" max="782" width="7.875" style="2953" customWidth="1"/>
    <col min="783" max="1024" width="9" style="2953"/>
    <col min="1025" max="1025" width="33.625" style="2953" customWidth="1"/>
    <col min="1026" max="1026" width="6.25" style="2953" customWidth="1"/>
    <col min="1027" max="1027" width="7.875" style="2953" customWidth="1"/>
    <col min="1028" max="1029" width="13.875" style="2953" customWidth="1"/>
    <col min="1030" max="1030" width="13.75"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30.375" style="2953" customWidth="1"/>
    <col min="1038" max="1038" width="7.875" style="2953" customWidth="1"/>
    <col min="1039" max="1280" width="9" style="2953"/>
    <col min="1281" max="1281" width="33.625" style="2953" customWidth="1"/>
    <col min="1282" max="1282" width="6.25" style="2953" customWidth="1"/>
    <col min="1283" max="1283" width="7.875" style="2953" customWidth="1"/>
    <col min="1284" max="1285" width="13.875" style="2953" customWidth="1"/>
    <col min="1286" max="1286" width="13.75"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30.375" style="2953" customWidth="1"/>
    <col min="1294" max="1294" width="7.875" style="2953" customWidth="1"/>
    <col min="1295" max="1536" width="9" style="2953"/>
    <col min="1537" max="1537" width="33.625" style="2953" customWidth="1"/>
    <col min="1538" max="1538" width="6.25" style="2953" customWidth="1"/>
    <col min="1539" max="1539" width="7.875" style="2953" customWidth="1"/>
    <col min="1540" max="1541" width="13.875" style="2953" customWidth="1"/>
    <col min="1542" max="1542" width="13.75"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30.375" style="2953" customWidth="1"/>
    <col min="1550" max="1550" width="7.875" style="2953" customWidth="1"/>
    <col min="1551" max="1792" width="9" style="2953"/>
    <col min="1793" max="1793" width="33.625" style="2953" customWidth="1"/>
    <col min="1794" max="1794" width="6.25" style="2953" customWidth="1"/>
    <col min="1795" max="1795" width="7.875" style="2953" customWidth="1"/>
    <col min="1796" max="1797" width="13.875" style="2953" customWidth="1"/>
    <col min="1798" max="1798" width="13.75"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30.375" style="2953" customWidth="1"/>
    <col min="1806" max="1806" width="7.875" style="2953" customWidth="1"/>
    <col min="1807" max="2048" width="9" style="2953"/>
    <col min="2049" max="2049" width="33.625" style="2953" customWidth="1"/>
    <col min="2050" max="2050" width="6.25" style="2953" customWidth="1"/>
    <col min="2051" max="2051" width="7.875" style="2953" customWidth="1"/>
    <col min="2052" max="2053" width="13.875" style="2953" customWidth="1"/>
    <col min="2054" max="2054" width="13.75"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30.375" style="2953" customWidth="1"/>
    <col min="2062" max="2062" width="7.875" style="2953" customWidth="1"/>
    <col min="2063" max="2304" width="9" style="2953"/>
    <col min="2305" max="2305" width="33.625" style="2953" customWidth="1"/>
    <col min="2306" max="2306" width="6.25" style="2953" customWidth="1"/>
    <col min="2307" max="2307" width="7.875" style="2953" customWidth="1"/>
    <col min="2308" max="2309" width="13.875" style="2953" customWidth="1"/>
    <col min="2310" max="2310" width="13.75"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30.375" style="2953" customWidth="1"/>
    <col min="2318" max="2318" width="7.875" style="2953" customWidth="1"/>
    <col min="2319" max="2560" width="9" style="2953"/>
    <col min="2561" max="2561" width="33.625" style="2953" customWidth="1"/>
    <col min="2562" max="2562" width="6.25" style="2953" customWidth="1"/>
    <col min="2563" max="2563" width="7.875" style="2953" customWidth="1"/>
    <col min="2564" max="2565" width="13.875" style="2953" customWidth="1"/>
    <col min="2566" max="2566" width="13.75"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30.375" style="2953" customWidth="1"/>
    <col min="2574" max="2574" width="7.875" style="2953" customWidth="1"/>
    <col min="2575" max="2816" width="9" style="2953"/>
    <col min="2817" max="2817" width="33.625" style="2953" customWidth="1"/>
    <col min="2818" max="2818" width="6.25" style="2953" customWidth="1"/>
    <col min="2819" max="2819" width="7.875" style="2953" customWidth="1"/>
    <col min="2820" max="2821" width="13.875" style="2953" customWidth="1"/>
    <col min="2822" max="2822" width="13.75"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30.375" style="2953" customWidth="1"/>
    <col min="2830" max="2830" width="7.875" style="2953" customWidth="1"/>
    <col min="2831" max="3072" width="9" style="2953"/>
    <col min="3073" max="3073" width="33.625" style="2953" customWidth="1"/>
    <col min="3074" max="3074" width="6.25" style="2953" customWidth="1"/>
    <col min="3075" max="3075" width="7.875" style="2953" customWidth="1"/>
    <col min="3076" max="3077" width="13.875" style="2953" customWidth="1"/>
    <col min="3078" max="3078" width="13.75"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30.375" style="2953" customWidth="1"/>
    <col min="3086" max="3086" width="7.875" style="2953" customWidth="1"/>
    <col min="3087" max="3328" width="9" style="2953"/>
    <col min="3329" max="3329" width="33.625" style="2953" customWidth="1"/>
    <col min="3330" max="3330" width="6.25" style="2953" customWidth="1"/>
    <col min="3331" max="3331" width="7.875" style="2953" customWidth="1"/>
    <col min="3332" max="3333" width="13.875" style="2953" customWidth="1"/>
    <col min="3334" max="3334" width="13.75"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30.375" style="2953" customWidth="1"/>
    <col min="3342" max="3342" width="7.875" style="2953" customWidth="1"/>
    <col min="3343" max="3584" width="9" style="2953"/>
    <col min="3585" max="3585" width="33.625" style="2953" customWidth="1"/>
    <col min="3586" max="3586" width="6.25" style="2953" customWidth="1"/>
    <col min="3587" max="3587" width="7.875" style="2953" customWidth="1"/>
    <col min="3588" max="3589" width="13.875" style="2953" customWidth="1"/>
    <col min="3590" max="3590" width="13.75"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30.375" style="2953" customWidth="1"/>
    <col min="3598" max="3598" width="7.875" style="2953" customWidth="1"/>
    <col min="3599" max="3840" width="9" style="2953"/>
    <col min="3841" max="3841" width="33.625" style="2953" customWidth="1"/>
    <col min="3842" max="3842" width="6.25" style="2953" customWidth="1"/>
    <col min="3843" max="3843" width="7.875" style="2953" customWidth="1"/>
    <col min="3844" max="3845" width="13.875" style="2953" customWidth="1"/>
    <col min="3846" max="3846" width="13.75"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30.375" style="2953" customWidth="1"/>
    <col min="3854" max="3854" width="7.875" style="2953" customWidth="1"/>
    <col min="3855" max="4096" width="9" style="2953"/>
    <col min="4097" max="4097" width="33.625" style="2953" customWidth="1"/>
    <col min="4098" max="4098" width="6.25" style="2953" customWidth="1"/>
    <col min="4099" max="4099" width="7.875" style="2953" customWidth="1"/>
    <col min="4100" max="4101" width="13.875" style="2953" customWidth="1"/>
    <col min="4102" max="4102" width="13.75"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30.375" style="2953" customWidth="1"/>
    <col min="4110" max="4110" width="7.875" style="2953" customWidth="1"/>
    <col min="4111" max="4352" width="9" style="2953"/>
    <col min="4353" max="4353" width="33.625" style="2953" customWidth="1"/>
    <col min="4354" max="4354" width="6.25" style="2953" customWidth="1"/>
    <col min="4355" max="4355" width="7.875" style="2953" customWidth="1"/>
    <col min="4356" max="4357" width="13.875" style="2953" customWidth="1"/>
    <col min="4358" max="4358" width="13.75"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30.375" style="2953" customWidth="1"/>
    <col min="4366" max="4366" width="7.875" style="2953" customWidth="1"/>
    <col min="4367" max="4608" width="9" style="2953"/>
    <col min="4609" max="4609" width="33.625" style="2953" customWidth="1"/>
    <col min="4610" max="4610" width="6.25" style="2953" customWidth="1"/>
    <col min="4611" max="4611" width="7.875" style="2953" customWidth="1"/>
    <col min="4612" max="4613" width="13.875" style="2953" customWidth="1"/>
    <col min="4614" max="4614" width="13.75"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30.375" style="2953" customWidth="1"/>
    <col min="4622" max="4622" width="7.875" style="2953" customWidth="1"/>
    <col min="4623" max="4864" width="9" style="2953"/>
    <col min="4865" max="4865" width="33.625" style="2953" customWidth="1"/>
    <col min="4866" max="4866" width="6.25" style="2953" customWidth="1"/>
    <col min="4867" max="4867" width="7.875" style="2953" customWidth="1"/>
    <col min="4868" max="4869" width="13.875" style="2953" customWidth="1"/>
    <col min="4870" max="4870" width="13.75"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30.375" style="2953" customWidth="1"/>
    <col min="4878" max="4878" width="7.875" style="2953" customWidth="1"/>
    <col min="4879" max="5120" width="9" style="2953"/>
    <col min="5121" max="5121" width="33.625" style="2953" customWidth="1"/>
    <col min="5122" max="5122" width="6.25" style="2953" customWidth="1"/>
    <col min="5123" max="5123" width="7.875" style="2953" customWidth="1"/>
    <col min="5124" max="5125" width="13.875" style="2953" customWidth="1"/>
    <col min="5126" max="5126" width="13.75"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30.375" style="2953" customWidth="1"/>
    <col min="5134" max="5134" width="7.875" style="2953" customWidth="1"/>
    <col min="5135" max="5376" width="9" style="2953"/>
    <col min="5377" max="5377" width="33.625" style="2953" customWidth="1"/>
    <col min="5378" max="5378" width="6.25" style="2953" customWidth="1"/>
    <col min="5379" max="5379" width="7.875" style="2953" customWidth="1"/>
    <col min="5380" max="5381" width="13.875" style="2953" customWidth="1"/>
    <col min="5382" max="5382" width="13.75"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30.375" style="2953" customWidth="1"/>
    <col min="5390" max="5390" width="7.875" style="2953" customWidth="1"/>
    <col min="5391" max="5632" width="9" style="2953"/>
    <col min="5633" max="5633" width="33.625" style="2953" customWidth="1"/>
    <col min="5634" max="5634" width="6.25" style="2953" customWidth="1"/>
    <col min="5635" max="5635" width="7.875" style="2953" customWidth="1"/>
    <col min="5636" max="5637" width="13.875" style="2953" customWidth="1"/>
    <col min="5638" max="5638" width="13.75"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30.375" style="2953" customWidth="1"/>
    <col min="5646" max="5646" width="7.875" style="2953" customWidth="1"/>
    <col min="5647" max="5888" width="9" style="2953"/>
    <col min="5889" max="5889" width="33.625" style="2953" customWidth="1"/>
    <col min="5890" max="5890" width="6.25" style="2953" customWidth="1"/>
    <col min="5891" max="5891" width="7.875" style="2953" customWidth="1"/>
    <col min="5892" max="5893" width="13.875" style="2953" customWidth="1"/>
    <col min="5894" max="5894" width="13.75"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30.375" style="2953" customWidth="1"/>
    <col min="5902" max="5902" width="7.875" style="2953" customWidth="1"/>
    <col min="5903" max="6144" width="9" style="2953"/>
    <col min="6145" max="6145" width="33.625" style="2953" customWidth="1"/>
    <col min="6146" max="6146" width="6.25" style="2953" customWidth="1"/>
    <col min="6147" max="6147" width="7.875" style="2953" customWidth="1"/>
    <col min="6148" max="6149" width="13.875" style="2953" customWidth="1"/>
    <col min="6150" max="6150" width="13.75"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30.375" style="2953" customWidth="1"/>
    <col min="6158" max="6158" width="7.875" style="2953" customWidth="1"/>
    <col min="6159" max="6400" width="9" style="2953"/>
    <col min="6401" max="6401" width="33.625" style="2953" customWidth="1"/>
    <col min="6402" max="6402" width="6.25" style="2953" customWidth="1"/>
    <col min="6403" max="6403" width="7.875" style="2953" customWidth="1"/>
    <col min="6404" max="6405" width="13.875" style="2953" customWidth="1"/>
    <col min="6406" max="6406" width="13.75"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30.375" style="2953" customWidth="1"/>
    <col min="6414" max="6414" width="7.875" style="2953" customWidth="1"/>
    <col min="6415" max="6656" width="9" style="2953"/>
    <col min="6657" max="6657" width="33.625" style="2953" customWidth="1"/>
    <col min="6658" max="6658" width="6.25" style="2953" customWidth="1"/>
    <col min="6659" max="6659" width="7.875" style="2953" customWidth="1"/>
    <col min="6660" max="6661" width="13.875" style="2953" customWidth="1"/>
    <col min="6662" max="6662" width="13.75"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30.375" style="2953" customWidth="1"/>
    <col min="6670" max="6670" width="7.875" style="2953" customWidth="1"/>
    <col min="6671" max="6912" width="9" style="2953"/>
    <col min="6913" max="6913" width="33.625" style="2953" customWidth="1"/>
    <col min="6914" max="6914" width="6.25" style="2953" customWidth="1"/>
    <col min="6915" max="6915" width="7.875" style="2953" customWidth="1"/>
    <col min="6916" max="6917" width="13.875" style="2953" customWidth="1"/>
    <col min="6918" max="6918" width="13.75"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30.375" style="2953" customWidth="1"/>
    <col min="6926" max="6926" width="7.875" style="2953" customWidth="1"/>
    <col min="6927" max="7168" width="9" style="2953"/>
    <col min="7169" max="7169" width="33.625" style="2953" customWidth="1"/>
    <col min="7170" max="7170" width="6.25" style="2953" customWidth="1"/>
    <col min="7171" max="7171" width="7.875" style="2953" customWidth="1"/>
    <col min="7172" max="7173" width="13.875" style="2953" customWidth="1"/>
    <col min="7174" max="7174" width="13.75"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30.375" style="2953" customWidth="1"/>
    <col min="7182" max="7182" width="7.875" style="2953" customWidth="1"/>
    <col min="7183" max="7424" width="9" style="2953"/>
    <col min="7425" max="7425" width="33.625" style="2953" customWidth="1"/>
    <col min="7426" max="7426" width="6.25" style="2953" customWidth="1"/>
    <col min="7427" max="7427" width="7.875" style="2953" customWidth="1"/>
    <col min="7428" max="7429" width="13.875" style="2953" customWidth="1"/>
    <col min="7430" max="7430" width="13.75"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30.375" style="2953" customWidth="1"/>
    <col min="7438" max="7438" width="7.875" style="2953" customWidth="1"/>
    <col min="7439" max="7680" width="9" style="2953"/>
    <col min="7681" max="7681" width="33.625" style="2953" customWidth="1"/>
    <col min="7682" max="7682" width="6.25" style="2953" customWidth="1"/>
    <col min="7683" max="7683" width="7.875" style="2953" customWidth="1"/>
    <col min="7684" max="7685" width="13.875" style="2953" customWidth="1"/>
    <col min="7686" max="7686" width="13.75"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30.375" style="2953" customWidth="1"/>
    <col min="7694" max="7694" width="7.875" style="2953" customWidth="1"/>
    <col min="7695" max="7936" width="9" style="2953"/>
    <col min="7937" max="7937" width="33.625" style="2953" customWidth="1"/>
    <col min="7938" max="7938" width="6.25" style="2953" customWidth="1"/>
    <col min="7939" max="7939" width="7.875" style="2953" customWidth="1"/>
    <col min="7940" max="7941" width="13.875" style="2953" customWidth="1"/>
    <col min="7942" max="7942" width="13.75"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30.375" style="2953" customWidth="1"/>
    <col min="7950" max="7950" width="7.875" style="2953" customWidth="1"/>
    <col min="7951" max="8192" width="9" style="2953"/>
    <col min="8193" max="8193" width="33.625" style="2953" customWidth="1"/>
    <col min="8194" max="8194" width="6.25" style="2953" customWidth="1"/>
    <col min="8195" max="8195" width="7.875" style="2953" customWidth="1"/>
    <col min="8196" max="8197" width="13.875" style="2953" customWidth="1"/>
    <col min="8198" max="8198" width="13.75"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30.375" style="2953" customWidth="1"/>
    <col min="8206" max="8206" width="7.875" style="2953" customWidth="1"/>
    <col min="8207" max="8448" width="9" style="2953"/>
    <col min="8449" max="8449" width="33.625" style="2953" customWidth="1"/>
    <col min="8450" max="8450" width="6.25" style="2953" customWidth="1"/>
    <col min="8451" max="8451" width="7.875" style="2953" customWidth="1"/>
    <col min="8452" max="8453" width="13.875" style="2953" customWidth="1"/>
    <col min="8454" max="8454" width="13.75"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30.375" style="2953" customWidth="1"/>
    <col min="8462" max="8462" width="7.875" style="2953" customWidth="1"/>
    <col min="8463" max="8704" width="9" style="2953"/>
    <col min="8705" max="8705" width="33.625" style="2953" customWidth="1"/>
    <col min="8706" max="8706" width="6.25" style="2953" customWidth="1"/>
    <col min="8707" max="8707" width="7.875" style="2953" customWidth="1"/>
    <col min="8708" max="8709" width="13.875" style="2953" customWidth="1"/>
    <col min="8710" max="8710" width="13.75"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30.375" style="2953" customWidth="1"/>
    <col min="8718" max="8718" width="7.875" style="2953" customWidth="1"/>
    <col min="8719" max="8960" width="9" style="2953"/>
    <col min="8961" max="8961" width="33.625" style="2953" customWidth="1"/>
    <col min="8962" max="8962" width="6.25" style="2953" customWidth="1"/>
    <col min="8963" max="8963" width="7.875" style="2953" customWidth="1"/>
    <col min="8964" max="8965" width="13.875" style="2953" customWidth="1"/>
    <col min="8966" max="8966" width="13.75"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30.375" style="2953" customWidth="1"/>
    <col min="8974" max="8974" width="7.875" style="2953" customWidth="1"/>
    <col min="8975" max="9216" width="9" style="2953"/>
    <col min="9217" max="9217" width="33.625" style="2953" customWidth="1"/>
    <col min="9218" max="9218" width="6.25" style="2953" customWidth="1"/>
    <col min="9219" max="9219" width="7.875" style="2953" customWidth="1"/>
    <col min="9220" max="9221" width="13.875" style="2953" customWidth="1"/>
    <col min="9222" max="9222" width="13.75"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30.375" style="2953" customWidth="1"/>
    <col min="9230" max="9230" width="7.875" style="2953" customWidth="1"/>
    <col min="9231" max="9472" width="9" style="2953"/>
    <col min="9473" max="9473" width="33.625" style="2953" customWidth="1"/>
    <col min="9474" max="9474" width="6.25" style="2953" customWidth="1"/>
    <col min="9475" max="9475" width="7.875" style="2953" customWidth="1"/>
    <col min="9476" max="9477" width="13.875" style="2953" customWidth="1"/>
    <col min="9478" max="9478" width="13.75"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30.375" style="2953" customWidth="1"/>
    <col min="9486" max="9486" width="7.875" style="2953" customWidth="1"/>
    <col min="9487" max="9728" width="9" style="2953"/>
    <col min="9729" max="9729" width="33.625" style="2953" customWidth="1"/>
    <col min="9730" max="9730" width="6.25" style="2953" customWidth="1"/>
    <col min="9731" max="9731" width="7.875" style="2953" customWidth="1"/>
    <col min="9732" max="9733" width="13.875" style="2953" customWidth="1"/>
    <col min="9734" max="9734" width="13.75"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30.375" style="2953" customWidth="1"/>
    <col min="9742" max="9742" width="7.875" style="2953" customWidth="1"/>
    <col min="9743" max="9984" width="9" style="2953"/>
    <col min="9985" max="9985" width="33.625" style="2953" customWidth="1"/>
    <col min="9986" max="9986" width="6.25" style="2953" customWidth="1"/>
    <col min="9987" max="9987" width="7.875" style="2953" customWidth="1"/>
    <col min="9988" max="9989" width="13.875" style="2953" customWidth="1"/>
    <col min="9990" max="9990" width="13.75"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30.375" style="2953" customWidth="1"/>
    <col min="9998" max="9998" width="7.875" style="2953" customWidth="1"/>
    <col min="9999" max="10240" width="9" style="2953"/>
    <col min="10241" max="10241" width="33.625" style="2953" customWidth="1"/>
    <col min="10242" max="10242" width="6.25" style="2953" customWidth="1"/>
    <col min="10243" max="10243" width="7.875" style="2953" customWidth="1"/>
    <col min="10244" max="10245" width="13.875" style="2953" customWidth="1"/>
    <col min="10246" max="10246" width="13.75"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30.375" style="2953" customWidth="1"/>
    <col min="10254" max="10254" width="7.875" style="2953" customWidth="1"/>
    <col min="10255" max="10496" width="9" style="2953"/>
    <col min="10497" max="10497" width="33.625" style="2953" customWidth="1"/>
    <col min="10498" max="10498" width="6.25" style="2953" customWidth="1"/>
    <col min="10499" max="10499" width="7.875" style="2953" customWidth="1"/>
    <col min="10500" max="10501" width="13.875" style="2953" customWidth="1"/>
    <col min="10502" max="10502" width="13.75"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30.375" style="2953" customWidth="1"/>
    <col min="10510" max="10510" width="7.875" style="2953" customWidth="1"/>
    <col min="10511" max="10752" width="9" style="2953"/>
    <col min="10753" max="10753" width="33.625" style="2953" customWidth="1"/>
    <col min="10754" max="10754" width="6.25" style="2953" customWidth="1"/>
    <col min="10755" max="10755" width="7.875" style="2953" customWidth="1"/>
    <col min="10756" max="10757" width="13.875" style="2953" customWidth="1"/>
    <col min="10758" max="10758" width="13.75"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30.375" style="2953" customWidth="1"/>
    <col min="10766" max="10766" width="7.875" style="2953" customWidth="1"/>
    <col min="10767" max="11008" width="9" style="2953"/>
    <col min="11009" max="11009" width="33.625" style="2953" customWidth="1"/>
    <col min="11010" max="11010" width="6.25" style="2953" customWidth="1"/>
    <col min="11011" max="11011" width="7.875" style="2953" customWidth="1"/>
    <col min="11012" max="11013" width="13.875" style="2953" customWidth="1"/>
    <col min="11014" max="11014" width="13.75"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30.375" style="2953" customWidth="1"/>
    <col min="11022" max="11022" width="7.875" style="2953" customWidth="1"/>
    <col min="11023" max="11264" width="9" style="2953"/>
    <col min="11265" max="11265" width="33.625" style="2953" customWidth="1"/>
    <col min="11266" max="11266" width="6.25" style="2953" customWidth="1"/>
    <col min="11267" max="11267" width="7.875" style="2953" customWidth="1"/>
    <col min="11268" max="11269" width="13.875" style="2953" customWidth="1"/>
    <col min="11270" max="11270" width="13.75"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30.375" style="2953" customWidth="1"/>
    <col min="11278" max="11278" width="7.875" style="2953" customWidth="1"/>
    <col min="11279" max="11520" width="9" style="2953"/>
    <col min="11521" max="11521" width="33.625" style="2953" customWidth="1"/>
    <col min="11522" max="11522" width="6.25" style="2953" customWidth="1"/>
    <col min="11523" max="11523" width="7.875" style="2953" customWidth="1"/>
    <col min="11524" max="11525" width="13.875" style="2953" customWidth="1"/>
    <col min="11526" max="11526" width="13.75"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30.375" style="2953" customWidth="1"/>
    <col min="11534" max="11534" width="7.875" style="2953" customWidth="1"/>
    <col min="11535" max="11776" width="9" style="2953"/>
    <col min="11777" max="11777" width="33.625" style="2953" customWidth="1"/>
    <col min="11778" max="11778" width="6.25" style="2953" customWidth="1"/>
    <col min="11779" max="11779" width="7.875" style="2953" customWidth="1"/>
    <col min="11780" max="11781" width="13.875" style="2953" customWidth="1"/>
    <col min="11782" max="11782" width="13.75"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30.375" style="2953" customWidth="1"/>
    <col min="11790" max="11790" width="7.875" style="2953" customWidth="1"/>
    <col min="11791" max="12032" width="9" style="2953"/>
    <col min="12033" max="12033" width="33.625" style="2953" customWidth="1"/>
    <col min="12034" max="12034" width="6.25" style="2953" customWidth="1"/>
    <col min="12035" max="12035" width="7.875" style="2953" customWidth="1"/>
    <col min="12036" max="12037" width="13.875" style="2953" customWidth="1"/>
    <col min="12038" max="12038" width="13.75"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30.375" style="2953" customWidth="1"/>
    <col min="12046" max="12046" width="7.875" style="2953" customWidth="1"/>
    <col min="12047" max="12288" width="9" style="2953"/>
    <col min="12289" max="12289" width="33.625" style="2953" customWidth="1"/>
    <col min="12290" max="12290" width="6.25" style="2953" customWidth="1"/>
    <col min="12291" max="12291" width="7.875" style="2953" customWidth="1"/>
    <col min="12292" max="12293" width="13.875" style="2953" customWidth="1"/>
    <col min="12294" max="12294" width="13.75"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30.375" style="2953" customWidth="1"/>
    <col min="12302" max="12302" width="7.875" style="2953" customWidth="1"/>
    <col min="12303" max="12544" width="9" style="2953"/>
    <col min="12545" max="12545" width="33.625" style="2953" customWidth="1"/>
    <col min="12546" max="12546" width="6.25" style="2953" customWidth="1"/>
    <col min="12547" max="12547" width="7.875" style="2953" customWidth="1"/>
    <col min="12548" max="12549" width="13.875" style="2953" customWidth="1"/>
    <col min="12550" max="12550" width="13.75"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30.375" style="2953" customWidth="1"/>
    <col min="12558" max="12558" width="7.875" style="2953" customWidth="1"/>
    <col min="12559" max="12800" width="9" style="2953"/>
    <col min="12801" max="12801" width="33.625" style="2953" customWidth="1"/>
    <col min="12802" max="12802" width="6.25" style="2953" customWidth="1"/>
    <col min="12803" max="12803" width="7.875" style="2953" customWidth="1"/>
    <col min="12804" max="12805" width="13.875" style="2953" customWidth="1"/>
    <col min="12806" max="12806" width="13.75"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30.375" style="2953" customWidth="1"/>
    <col min="12814" max="12814" width="7.875" style="2953" customWidth="1"/>
    <col min="12815" max="13056" width="9" style="2953"/>
    <col min="13057" max="13057" width="33.625" style="2953" customWidth="1"/>
    <col min="13058" max="13058" width="6.25" style="2953" customWidth="1"/>
    <col min="13059" max="13059" width="7.875" style="2953" customWidth="1"/>
    <col min="13060" max="13061" width="13.875" style="2953" customWidth="1"/>
    <col min="13062" max="13062" width="13.75"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30.375" style="2953" customWidth="1"/>
    <col min="13070" max="13070" width="7.875" style="2953" customWidth="1"/>
    <col min="13071" max="13312" width="9" style="2953"/>
    <col min="13313" max="13313" width="33.625" style="2953" customWidth="1"/>
    <col min="13314" max="13314" width="6.25" style="2953" customWidth="1"/>
    <col min="13315" max="13315" width="7.875" style="2953" customWidth="1"/>
    <col min="13316" max="13317" width="13.875" style="2953" customWidth="1"/>
    <col min="13318" max="13318" width="13.75"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30.375" style="2953" customWidth="1"/>
    <col min="13326" max="13326" width="7.875" style="2953" customWidth="1"/>
    <col min="13327" max="13568" width="9" style="2953"/>
    <col min="13569" max="13569" width="33.625" style="2953" customWidth="1"/>
    <col min="13570" max="13570" width="6.25" style="2953" customWidth="1"/>
    <col min="13571" max="13571" width="7.875" style="2953" customWidth="1"/>
    <col min="13572" max="13573" width="13.875" style="2953" customWidth="1"/>
    <col min="13574" max="13574" width="13.75"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30.375" style="2953" customWidth="1"/>
    <col min="13582" max="13582" width="7.875" style="2953" customWidth="1"/>
    <col min="13583" max="13824" width="9" style="2953"/>
    <col min="13825" max="13825" width="33.625" style="2953" customWidth="1"/>
    <col min="13826" max="13826" width="6.25" style="2953" customWidth="1"/>
    <col min="13827" max="13827" width="7.875" style="2953" customWidth="1"/>
    <col min="13828" max="13829" width="13.875" style="2953" customWidth="1"/>
    <col min="13830" max="13830" width="13.75"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30.375" style="2953" customWidth="1"/>
    <col min="13838" max="13838" width="7.875" style="2953" customWidth="1"/>
    <col min="13839" max="14080" width="9" style="2953"/>
    <col min="14081" max="14081" width="33.625" style="2953" customWidth="1"/>
    <col min="14082" max="14082" width="6.25" style="2953" customWidth="1"/>
    <col min="14083" max="14083" width="7.875" style="2953" customWidth="1"/>
    <col min="14084" max="14085" width="13.875" style="2953" customWidth="1"/>
    <col min="14086" max="14086" width="13.75"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30.375" style="2953" customWidth="1"/>
    <col min="14094" max="14094" width="7.875" style="2953" customWidth="1"/>
    <col min="14095" max="14336" width="9" style="2953"/>
    <col min="14337" max="14337" width="33.625" style="2953" customWidth="1"/>
    <col min="14338" max="14338" width="6.25" style="2953" customWidth="1"/>
    <col min="14339" max="14339" width="7.875" style="2953" customWidth="1"/>
    <col min="14340" max="14341" width="13.875" style="2953" customWidth="1"/>
    <col min="14342" max="14342" width="13.75"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30.375" style="2953" customWidth="1"/>
    <col min="14350" max="14350" width="7.875" style="2953" customWidth="1"/>
    <col min="14351" max="14592" width="9" style="2953"/>
    <col min="14593" max="14593" width="33.625" style="2953" customWidth="1"/>
    <col min="14594" max="14594" width="6.25" style="2953" customWidth="1"/>
    <col min="14595" max="14595" width="7.875" style="2953" customWidth="1"/>
    <col min="14596" max="14597" width="13.875" style="2953" customWidth="1"/>
    <col min="14598" max="14598" width="13.75"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30.375" style="2953" customWidth="1"/>
    <col min="14606" max="14606" width="7.875" style="2953" customWidth="1"/>
    <col min="14607" max="14848" width="9" style="2953"/>
    <col min="14849" max="14849" width="33.625" style="2953" customWidth="1"/>
    <col min="14850" max="14850" width="6.25" style="2953" customWidth="1"/>
    <col min="14851" max="14851" width="7.875" style="2953" customWidth="1"/>
    <col min="14852" max="14853" width="13.875" style="2953" customWidth="1"/>
    <col min="14854" max="14854" width="13.75"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30.375" style="2953" customWidth="1"/>
    <col min="14862" max="14862" width="7.875" style="2953" customWidth="1"/>
    <col min="14863" max="15104" width="9" style="2953"/>
    <col min="15105" max="15105" width="33.625" style="2953" customWidth="1"/>
    <col min="15106" max="15106" width="6.25" style="2953" customWidth="1"/>
    <col min="15107" max="15107" width="7.875" style="2953" customWidth="1"/>
    <col min="15108" max="15109" width="13.875" style="2953" customWidth="1"/>
    <col min="15110" max="15110" width="13.75"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30.375" style="2953" customWidth="1"/>
    <col min="15118" max="15118" width="7.875" style="2953" customWidth="1"/>
    <col min="15119" max="15360" width="9" style="2953"/>
    <col min="15361" max="15361" width="33.625" style="2953" customWidth="1"/>
    <col min="15362" max="15362" width="6.25" style="2953" customWidth="1"/>
    <col min="15363" max="15363" width="7.875" style="2953" customWidth="1"/>
    <col min="15364" max="15365" width="13.875" style="2953" customWidth="1"/>
    <col min="15366" max="15366" width="13.75"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30.375" style="2953" customWidth="1"/>
    <col min="15374" max="15374" width="7.875" style="2953" customWidth="1"/>
    <col min="15375" max="15616" width="9" style="2953"/>
    <col min="15617" max="15617" width="33.625" style="2953" customWidth="1"/>
    <col min="15618" max="15618" width="6.25" style="2953" customWidth="1"/>
    <col min="15619" max="15619" width="7.875" style="2953" customWidth="1"/>
    <col min="15620" max="15621" width="13.875" style="2953" customWidth="1"/>
    <col min="15622" max="15622" width="13.75"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30.375" style="2953" customWidth="1"/>
    <col min="15630" max="15630" width="7.875" style="2953" customWidth="1"/>
    <col min="15631" max="15872" width="9" style="2953"/>
    <col min="15873" max="15873" width="33.625" style="2953" customWidth="1"/>
    <col min="15874" max="15874" width="6.25" style="2953" customWidth="1"/>
    <col min="15875" max="15875" width="7.875" style="2953" customWidth="1"/>
    <col min="15876" max="15877" width="13.875" style="2953" customWidth="1"/>
    <col min="15878" max="15878" width="13.75"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30.375" style="2953" customWidth="1"/>
    <col min="15886" max="15886" width="7.875" style="2953" customWidth="1"/>
    <col min="15887" max="16128" width="9" style="2953"/>
    <col min="16129" max="16129" width="33.625" style="2953" customWidth="1"/>
    <col min="16130" max="16130" width="6.25" style="2953" customWidth="1"/>
    <col min="16131" max="16131" width="7.875" style="2953" customWidth="1"/>
    <col min="16132" max="16133" width="13.875" style="2953" customWidth="1"/>
    <col min="16134" max="16134" width="13.75"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30.375" style="2953" customWidth="1"/>
    <col min="16142" max="16142" width="7.875" style="2953" customWidth="1"/>
    <col min="16143" max="16384" width="9" style="2953"/>
  </cols>
  <sheetData>
    <row r="1" spans="1:14">
      <c r="A1" s="2953" t="s">
        <v>3048</v>
      </c>
      <c r="B1" s="2953" t="s">
        <v>3049</v>
      </c>
      <c r="C1" s="2953" t="s">
        <v>3050</v>
      </c>
      <c r="D1" s="2953" t="s">
        <v>3051</v>
      </c>
      <c r="E1" s="2953" t="s">
        <v>3052</v>
      </c>
      <c r="F1" s="2953" t="s">
        <v>3053</v>
      </c>
      <c r="G1" s="2953" t="s">
        <v>3054</v>
      </c>
      <c r="H1" s="2953" t="s">
        <v>3055</v>
      </c>
      <c r="I1" s="2953" t="s">
        <v>3056</v>
      </c>
      <c r="J1" s="2953" t="s">
        <v>3057</v>
      </c>
      <c r="K1" s="2953" t="s">
        <v>3058</v>
      </c>
      <c r="L1" s="2953" t="s">
        <v>3059</v>
      </c>
      <c r="M1" s="2953" t="s">
        <v>3060</v>
      </c>
      <c r="N1" s="2953" t="s">
        <v>3061</v>
      </c>
    </row>
    <row r="2" spans="1:14" s="2950" customFormat="1">
      <c r="A2" s="2950" t="s">
        <v>3062</v>
      </c>
      <c r="B2" s="2950" t="s">
        <v>3063</v>
      </c>
      <c r="C2" s="2950" t="s">
        <v>3064</v>
      </c>
      <c r="D2" s="2950">
        <v>36750</v>
      </c>
      <c r="E2" s="2950">
        <v>73500</v>
      </c>
      <c r="F2" s="2950" t="s">
        <v>3065</v>
      </c>
      <c r="G2" s="2950" t="s">
        <v>3066</v>
      </c>
      <c r="H2" s="2950" t="s">
        <v>3067</v>
      </c>
      <c r="I2" s="2950">
        <v>1161</v>
      </c>
      <c r="J2" s="2950">
        <v>1161</v>
      </c>
      <c r="K2" s="2950">
        <v>157.96</v>
      </c>
      <c r="L2" s="2950">
        <v>0</v>
      </c>
      <c r="M2" s="2950" t="s">
        <v>3068</v>
      </c>
      <c r="N2" s="2950" t="s">
        <v>3069</v>
      </c>
    </row>
    <row r="3" spans="1:14" s="2950" customFormat="1">
      <c r="A3" s="2950" t="s">
        <v>3070</v>
      </c>
      <c r="B3" s="2950" t="s">
        <v>3063</v>
      </c>
      <c r="C3" s="2950" t="s">
        <v>3064</v>
      </c>
      <c r="D3" s="2950">
        <v>9841</v>
      </c>
      <c r="E3" s="2950">
        <v>19682</v>
      </c>
      <c r="F3" s="2950" t="s">
        <v>3065</v>
      </c>
      <c r="G3" s="2950" t="s">
        <v>3066</v>
      </c>
      <c r="H3" s="2950" t="s">
        <v>3071</v>
      </c>
      <c r="I3" s="2950">
        <v>315</v>
      </c>
      <c r="J3" s="2950">
        <v>315</v>
      </c>
      <c r="K3" s="2950">
        <v>160.03</v>
      </c>
      <c r="L3" s="2950">
        <v>0</v>
      </c>
      <c r="M3" s="2950" t="s">
        <v>3072</v>
      </c>
      <c r="N3" s="2950" t="s">
        <v>3069</v>
      </c>
    </row>
    <row r="4" spans="1:14">
      <c r="A4" s="2953" t="s">
        <v>3073</v>
      </c>
      <c r="B4" s="2953" t="s">
        <v>3063</v>
      </c>
      <c r="C4" s="2953" t="s">
        <v>3064</v>
      </c>
      <c r="D4" s="2953">
        <v>27437</v>
      </c>
      <c r="E4" s="2953">
        <v>54874</v>
      </c>
      <c r="F4" s="2953" t="s">
        <v>3074</v>
      </c>
      <c r="G4" s="2953" t="s">
        <v>3066</v>
      </c>
      <c r="H4" s="2953" t="s">
        <v>3071</v>
      </c>
      <c r="I4" s="2953">
        <v>1652</v>
      </c>
      <c r="J4" s="2953">
        <v>1652</v>
      </c>
      <c r="K4" s="2953">
        <v>301.05</v>
      </c>
      <c r="L4" s="2953">
        <v>0</v>
      </c>
      <c r="M4" s="2953" t="s">
        <v>3075</v>
      </c>
      <c r="N4" s="2953" t="s">
        <v>3069</v>
      </c>
    </row>
    <row r="5" spans="1:14">
      <c r="A5" s="2953" t="s">
        <v>3076</v>
      </c>
      <c r="B5" s="2953" t="s">
        <v>3063</v>
      </c>
      <c r="C5" s="2953" t="s">
        <v>3064</v>
      </c>
      <c r="D5" s="2953">
        <v>25700</v>
      </c>
      <c r="E5" s="2953">
        <v>51400</v>
      </c>
      <c r="F5" s="2953" t="s">
        <v>3065</v>
      </c>
      <c r="G5" s="2953" t="s">
        <v>3066</v>
      </c>
      <c r="H5" s="2953" t="s">
        <v>3071</v>
      </c>
      <c r="I5" s="2953">
        <v>1547</v>
      </c>
      <c r="J5" s="2953">
        <v>1547</v>
      </c>
      <c r="K5" s="2953">
        <v>300.97000000000003</v>
      </c>
      <c r="L5" s="2953">
        <v>0</v>
      </c>
      <c r="M5" s="2953" t="s">
        <v>3077</v>
      </c>
      <c r="N5" s="2953" t="s">
        <v>3069</v>
      </c>
    </row>
    <row r="6" spans="1:14" s="2950" customFormat="1">
      <c r="A6" s="2950" t="s">
        <v>3078</v>
      </c>
      <c r="B6" s="2950" t="s">
        <v>3063</v>
      </c>
      <c r="C6" s="2950" t="s">
        <v>3064</v>
      </c>
      <c r="D6" s="2950">
        <v>20924</v>
      </c>
      <c r="E6" s="2950">
        <v>41848</v>
      </c>
      <c r="F6" s="2950" t="s">
        <v>3065</v>
      </c>
      <c r="G6" s="2950" t="s">
        <v>3066</v>
      </c>
      <c r="H6" s="2950" t="s">
        <v>3071</v>
      </c>
      <c r="I6" s="2950">
        <v>661</v>
      </c>
      <c r="J6" s="2950">
        <v>661</v>
      </c>
      <c r="K6" s="2950">
        <v>157.94</v>
      </c>
      <c r="L6" s="2950">
        <v>0</v>
      </c>
      <c r="M6" s="2950" t="s">
        <v>3079</v>
      </c>
      <c r="N6" s="2950" t="s">
        <v>3069</v>
      </c>
    </row>
    <row r="7" spans="1:14">
      <c r="A7" s="2953" t="s">
        <v>3080</v>
      </c>
      <c r="B7" s="2953" t="s">
        <v>3063</v>
      </c>
      <c r="C7" s="2953" t="s">
        <v>3064</v>
      </c>
      <c r="D7" s="2953">
        <v>38062</v>
      </c>
      <c r="E7" s="2953">
        <v>76124</v>
      </c>
      <c r="F7" s="2953" t="s">
        <v>3074</v>
      </c>
      <c r="G7" s="2953" t="s">
        <v>3066</v>
      </c>
      <c r="H7" s="2953" t="s">
        <v>3071</v>
      </c>
      <c r="I7" s="2953">
        <v>1203</v>
      </c>
      <c r="J7" s="2953">
        <v>1203</v>
      </c>
      <c r="K7" s="2953">
        <v>158.03</v>
      </c>
      <c r="L7" s="2953">
        <v>0</v>
      </c>
      <c r="M7" s="2953" t="s">
        <v>3079</v>
      </c>
      <c r="N7" s="2953" t="s">
        <v>3069</v>
      </c>
    </row>
    <row r="8" spans="1:14">
      <c r="A8" s="2953" t="s">
        <v>3081</v>
      </c>
      <c r="B8" s="2953" t="s">
        <v>3063</v>
      </c>
      <c r="C8" s="2953" t="s">
        <v>3064</v>
      </c>
      <c r="D8" s="2953">
        <v>10000</v>
      </c>
      <c r="E8" s="2953">
        <v>20000</v>
      </c>
      <c r="F8" s="2953" t="s">
        <v>3065</v>
      </c>
      <c r="G8" s="2953" t="s">
        <v>3066</v>
      </c>
      <c r="H8" s="2953" t="s">
        <v>3071</v>
      </c>
      <c r="I8" s="2953">
        <v>311</v>
      </c>
      <c r="J8" s="2953">
        <v>311</v>
      </c>
      <c r="K8" s="2953">
        <v>155.5</v>
      </c>
      <c r="L8" s="2953">
        <v>0</v>
      </c>
      <c r="M8" s="2953" t="s">
        <v>3082</v>
      </c>
      <c r="N8" s="2953" t="s">
        <v>3069</v>
      </c>
    </row>
    <row r="9" spans="1:14">
      <c r="A9" s="2953" t="s">
        <v>3083</v>
      </c>
      <c r="B9" s="2953" t="s">
        <v>3063</v>
      </c>
      <c r="C9" s="2953" t="s">
        <v>3064</v>
      </c>
      <c r="D9" s="2953">
        <v>53275</v>
      </c>
      <c r="E9" s="2953">
        <v>106550</v>
      </c>
      <c r="F9" s="2953" t="s">
        <v>3084</v>
      </c>
      <c r="G9" s="2953" t="s">
        <v>3066</v>
      </c>
      <c r="H9" s="2953" t="s">
        <v>3085</v>
      </c>
      <c r="I9" s="2953">
        <v>1683</v>
      </c>
      <c r="J9" s="2953">
        <v>1683</v>
      </c>
      <c r="K9" s="2953">
        <v>157.94</v>
      </c>
      <c r="L9" s="2953">
        <v>0</v>
      </c>
      <c r="M9" s="2953" t="s">
        <v>3086</v>
      </c>
      <c r="N9" s="2953" t="s">
        <v>3087</v>
      </c>
    </row>
    <row r="10" spans="1:14">
      <c r="A10" s="2953" t="s">
        <v>3088</v>
      </c>
      <c r="B10" s="2953" t="s">
        <v>3063</v>
      </c>
      <c r="C10" s="2953" t="s">
        <v>3064</v>
      </c>
      <c r="D10" s="2953">
        <v>19266</v>
      </c>
      <c r="E10" s="2953">
        <v>38532</v>
      </c>
      <c r="F10" s="2953" t="s">
        <v>3084</v>
      </c>
      <c r="G10" s="2953" t="s">
        <v>3066</v>
      </c>
      <c r="H10" s="2953" t="s">
        <v>3085</v>
      </c>
      <c r="I10" s="2953">
        <v>543</v>
      </c>
      <c r="J10" s="2953">
        <v>543</v>
      </c>
      <c r="K10" s="2953">
        <v>140.91</v>
      </c>
      <c r="L10" s="2953">
        <v>0</v>
      </c>
      <c r="M10" s="2953" t="s">
        <v>3089</v>
      </c>
      <c r="N10" s="2953" t="s">
        <v>3090</v>
      </c>
    </row>
    <row r="11" spans="1:14">
      <c r="A11" s="2953" t="s">
        <v>3091</v>
      </c>
      <c r="B11" s="2953" t="s">
        <v>3063</v>
      </c>
      <c r="C11" s="2953" t="s">
        <v>3064</v>
      </c>
      <c r="D11" s="2953">
        <v>11099</v>
      </c>
      <c r="E11" s="2953">
        <v>22198</v>
      </c>
      <c r="F11" s="2953" t="s">
        <v>3084</v>
      </c>
      <c r="G11" s="2953" t="s">
        <v>3066</v>
      </c>
      <c r="H11" s="2953" t="s">
        <v>3085</v>
      </c>
      <c r="I11" s="2953">
        <v>353</v>
      </c>
      <c r="J11" s="2953">
        <v>353</v>
      </c>
      <c r="K11" s="2953">
        <v>159.02000000000001</v>
      </c>
      <c r="L11" s="2953">
        <v>0</v>
      </c>
      <c r="M11" s="2953" t="s">
        <v>3086</v>
      </c>
      <c r="N11" s="2953" t="s">
        <v>3087</v>
      </c>
    </row>
    <row r="12" spans="1:14">
      <c r="A12" s="2953" t="s">
        <v>3092</v>
      </c>
      <c r="B12" s="2953" t="s">
        <v>3063</v>
      </c>
      <c r="C12" s="2953" t="s">
        <v>3064</v>
      </c>
      <c r="D12" s="2953">
        <v>27693</v>
      </c>
      <c r="E12" s="2953">
        <v>55386</v>
      </c>
      <c r="F12" s="2953" t="s">
        <v>3084</v>
      </c>
      <c r="G12" s="2953" t="s">
        <v>3066</v>
      </c>
      <c r="H12" s="2953" t="s">
        <v>3085</v>
      </c>
      <c r="I12" s="2953">
        <v>809</v>
      </c>
      <c r="J12" s="2953">
        <v>809</v>
      </c>
      <c r="K12" s="2953">
        <v>146.06</v>
      </c>
      <c r="L12" s="2953">
        <v>0</v>
      </c>
      <c r="M12" s="2953" t="s">
        <v>3093</v>
      </c>
      <c r="N12" s="2953" t="s">
        <v>3087</v>
      </c>
    </row>
    <row r="13" spans="1:14">
      <c r="A13" s="2953" t="s">
        <v>3094</v>
      </c>
      <c r="B13" s="2953" t="s">
        <v>3063</v>
      </c>
      <c r="C13" s="2953" t="s">
        <v>3064</v>
      </c>
      <c r="D13" s="2953">
        <v>5742</v>
      </c>
      <c r="E13" s="2953">
        <v>11484</v>
      </c>
      <c r="F13" s="2953" t="s">
        <v>3084</v>
      </c>
      <c r="G13" s="2953" t="s">
        <v>3066</v>
      </c>
      <c r="H13" s="2953" t="s">
        <v>3085</v>
      </c>
      <c r="I13" s="2953">
        <v>181</v>
      </c>
      <c r="J13" s="2953">
        <v>181</v>
      </c>
      <c r="K13" s="2953">
        <v>157.61000000000001</v>
      </c>
      <c r="L13" s="2953">
        <v>0</v>
      </c>
      <c r="M13" s="2953" t="s">
        <v>3095</v>
      </c>
      <c r="N13" s="2953" t="s">
        <v>3087</v>
      </c>
    </row>
    <row r="14" spans="1:14">
      <c r="A14" s="2953" t="s">
        <v>3096</v>
      </c>
      <c r="B14" s="2953" t="s">
        <v>3063</v>
      </c>
      <c r="C14" s="2953" t="s">
        <v>3064</v>
      </c>
      <c r="D14" s="2953">
        <v>64575</v>
      </c>
      <c r="E14" s="2953">
        <v>129150</v>
      </c>
      <c r="F14" s="2953" t="s">
        <v>3084</v>
      </c>
      <c r="G14" s="2953" t="s">
        <v>3066</v>
      </c>
      <c r="H14" s="2953" t="s">
        <v>3097</v>
      </c>
      <c r="I14" s="2953">
        <v>3403</v>
      </c>
      <c r="J14" s="2953">
        <v>3403</v>
      </c>
      <c r="K14" s="2953">
        <v>263.49</v>
      </c>
      <c r="L14" s="2953">
        <v>0</v>
      </c>
      <c r="M14" s="2953" t="s">
        <v>3098</v>
      </c>
      <c r="N14" s="2953" t="s">
        <v>3069</v>
      </c>
    </row>
    <row r="15" spans="1:14">
      <c r="A15" s="2953" t="s">
        <v>3099</v>
      </c>
      <c r="B15" s="2953" t="s">
        <v>3063</v>
      </c>
      <c r="C15" s="2953" t="s">
        <v>3064</v>
      </c>
      <c r="D15" s="2953">
        <v>59394.6</v>
      </c>
      <c r="E15" s="2953">
        <v>106910.3</v>
      </c>
      <c r="F15" s="2953" t="s">
        <v>3100</v>
      </c>
      <c r="G15" s="2953" t="s">
        <v>3066</v>
      </c>
      <c r="H15" s="2953" t="s">
        <v>3101</v>
      </c>
      <c r="I15" s="2953">
        <v>2584</v>
      </c>
      <c r="J15" s="2953">
        <v>2584</v>
      </c>
      <c r="K15" s="2953">
        <v>241.69</v>
      </c>
      <c r="L15" s="2953">
        <v>0</v>
      </c>
      <c r="M15" s="2953" t="s">
        <v>3102</v>
      </c>
      <c r="N15" s="2953" t="s">
        <v>3069</v>
      </c>
    </row>
    <row r="16" spans="1:14">
      <c r="A16" s="2953" t="s">
        <v>3103</v>
      </c>
      <c r="B16" s="2953" t="s">
        <v>3063</v>
      </c>
      <c r="C16" s="2953" t="s">
        <v>3064</v>
      </c>
      <c r="D16" s="2953">
        <v>214817</v>
      </c>
      <c r="E16" s="2953">
        <v>429634</v>
      </c>
      <c r="F16" s="2953" t="s">
        <v>3084</v>
      </c>
      <c r="G16" s="2953" t="s">
        <v>3066</v>
      </c>
      <c r="H16" s="2953" t="s">
        <v>3104</v>
      </c>
      <c r="I16" s="2953">
        <v>6788</v>
      </c>
      <c r="J16" s="2953">
        <v>6788</v>
      </c>
      <c r="K16" s="2953">
        <v>157.99</v>
      </c>
      <c r="L16" s="2953">
        <v>0</v>
      </c>
      <c r="M16" s="2953" t="s">
        <v>3079</v>
      </c>
      <c r="N16" s="2953" t="s">
        <v>3087</v>
      </c>
    </row>
    <row r="17" spans="1:14">
      <c r="A17" s="2953" t="s">
        <v>3105</v>
      </c>
      <c r="B17" s="2953" t="s">
        <v>3063</v>
      </c>
      <c r="C17" s="2953" t="s">
        <v>3064</v>
      </c>
      <c r="D17" s="2953">
        <v>6416</v>
      </c>
      <c r="E17" s="2953">
        <v>12832</v>
      </c>
      <c r="F17" s="2953" t="s">
        <v>3106</v>
      </c>
      <c r="G17" s="2953" t="s">
        <v>3066</v>
      </c>
      <c r="H17" s="2953" t="s">
        <v>3107</v>
      </c>
      <c r="I17" s="2953">
        <v>181</v>
      </c>
      <c r="J17" s="2953">
        <v>181</v>
      </c>
      <c r="K17" s="2953">
        <v>141.05000000000001</v>
      </c>
      <c r="L17" s="2953">
        <v>0</v>
      </c>
      <c r="M17" s="2953" t="s">
        <v>3108</v>
      </c>
      <c r="N17" s="2953" t="s">
        <v>3087</v>
      </c>
    </row>
    <row r="18" spans="1:14">
      <c r="A18" s="2953" t="s">
        <v>3109</v>
      </c>
      <c r="B18" s="2953" t="s">
        <v>3063</v>
      </c>
      <c r="C18" s="2953" t="s">
        <v>3064</v>
      </c>
      <c r="D18" s="2953">
        <v>125870</v>
      </c>
      <c r="E18" s="2953">
        <v>251740</v>
      </c>
      <c r="F18" s="2953" t="s">
        <v>3110</v>
      </c>
      <c r="G18" s="2953" t="s">
        <v>3066</v>
      </c>
      <c r="H18" s="2953" t="s">
        <v>3107</v>
      </c>
      <c r="I18" s="2953">
        <v>5400</v>
      </c>
      <c r="J18" s="2953">
        <v>5400</v>
      </c>
      <c r="K18" s="2953">
        <v>214.5</v>
      </c>
      <c r="L18" s="2953">
        <v>0</v>
      </c>
      <c r="M18" s="2953" t="s">
        <v>3111</v>
      </c>
      <c r="N18" s="2953" t="s">
        <v>3087</v>
      </c>
    </row>
    <row r="19" spans="1:14">
      <c r="A19" s="2953" t="s">
        <v>3105</v>
      </c>
      <c r="B19" s="2953" t="s">
        <v>3063</v>
      </c>
      <c r="C19" s="2953" t="s">
        <v>3064</v>
      </c>
      <c r="D19" s="2953">
        <v>8604</v>
      </c>
      <c r="E19" s="2953">
        <v>17208</v>
      </c>
      <c r="F19" s="2953" t="s">
        <v>3106</v>
      </c>
      <c r="G19" s="2953" t="s">
        <v>3066</v>
      </c>
      <c r="H19" s="2953" t="s">
        <v>3107</v>
      </c>
      <c r="I19" s="2953">
        <v>272</v>
      </c>
      <c r="J19" s="2953">
        <v>272</v>
      </c>
      <c r="K19" s="2953">
        <v>158.06</v>
      </c>
      <c r="L19" s="2953">
        <v>0</v>
      </c>
      <c r="M19" s="2953" t="s">
        <v>3112</v>
      </c>
      <c r="N19" s="2953" t="s">
        <v>3087</v>
      </c>
    </row>
    <row r="20" spans="1:14">
      <c r="A20" s="2953" t="s">
        <v>3113</v>
      </c>
      <c r="B20" s="2953" t="s">
        <v>3063</v>
      </c>
      <c r="C20" s="2953" t="s">
        <v>3064</v>
      </c>
      <c r="D20" s="2953">
        <v>82960</v>
      </c>
      <c r="E20" s="2953">
        <v>165920</v>
      </c>
      <c r="F20" s="2953" t="s">
        <v>3084</v>
      </c>
      <c r="G20" s="2953" t="s">
        <v>3066</v>
      </c>
      <c r="H20" s="2953" t="s">
        <v>3107</v>
      </c>
      <c r="I20" s="2953">
        <v>4978</v>
      </c>
      <c r="J20" s="2953">
        <v>4978</v>
      </c>
      <c r="K20" s="2953">
        <v>300.01</v>
      </c>
      <c r="L20" s="2953">
        <v>0</v>
      </c>
      <c r="M20" s="2953" t="s">
        <v>3114</v>
      </c>
      <c r="N20" s="2953" t="s">
        <v>3087</v>
      </c>
    </row>
    <row r="21" spans="1:14">
      <c r="A21" s="2953" t="s">
        <v>3115</v>
      </c>
      <c r="B21" s="2953" t="s">
        <v>3063</v>
      </c>
      <c r="C21" s="2953" t="s">
        <v>3064</v>
      </c>
      <c r="D21" s="2953">
        <v>14809.7</v>
      </c>
      <c r="E21" s="2953">
        <v>29619.4</v>
      </c>
      <c r="F21" s="2953" t="s">
        <v>3084</v>
      </c>
      <c r="G21" s="2953" t="s">
        <v>3066</v>
      </c>
      <c r="H21" s="2953" t="s">
        <v>3116</v>
      </c>
      <c r="I21" s="2953">
        <v>644.22</v>
      </c>
      <c r="J21" s="2953">
        <v>644.22</v>
      </c>
      <c r="K21" s="2953">
        <v>217.5</v>
      </c>
      <c r="L21" s="2953">
        <v>0</v>
      </c>
      <c r="M21" s="2953" t="s">
        <v>3117</v>
      </c>
      <c r="N21" s="2953" t="s">
        <v>3069</v>
      </c>
    </row>
    <row r="22" spans="1:14">
      <c r="A22" s="2953" t="s">
        <v>3118</v>
      </c>
      <c r="B22" s="2953" t="s">
        <v>3063</v>
      </c>
      <c r="C22" s="2953" t="s">
        <v>3064</v>
      </c>
      <c r="D22" s="2953">
        <v>26459</v>
      </c>
      <c r="E22" s="2953">
        <v>52918</v>
      </c>
      <c r="F22" s="2953" t="s">
        <v>3084</v>
      </c>
      <c r="G22" s="2953" t="s">
        <v>3066</v>
      </c>
      <c r="H22" s="2953" t="s">
        <v>3119</v>
      </c>
      <c r="I22" s="2953">
        <v>746</v>
      </c>
      <c r="J22" s="2953">
        <v>746</v>
      </c>
      <c r="K22" s="2953">
        <v>140.96</v>
      </c>
      <c r="L22" s="2953">
        <v>0</v>
      </c>
      <c r="M22" s="2953" t="s">
        <v>3120</v>
      </c>
      <c r="N22" s="2953" t="s">
        <v>3069</v>
      </c>
    </row>
    <row r="23" spans="1:14">
      <c r="A23" s="2953" t="s">
        <v>3121</v>
      </c>
      <c r="B23" s="2953" t="s">
        <v>3063</v>
      </c>
      <c r="C23" s="2953" t="s">
        <v>3064</v>
      </c>
      <c r="D23" s="2953">
        <v>208729</v>
      </c>
      <c r="E23" s="2953">
        <v>417458</v>
      </c>
      <c r="F23" s="2953" t="s">
        <v>3084</v>
      </c>
      <c r="G23" s="2953" t="s">
        <v>3066</v>
      </c>
      <c r="H23" s="2953" t="s">
        <v>3122</v>
      </c>
      <c r="I23" s="2953">
        <v>6617</v>
      </c>
      <c r="J23" s="2953">
        <v>6617</v>
      </c>
      <c r="K23" s="2953">
        <v>158.5</v>
      </c>
      <c r="L23" s="2953">
        <v>0</v>
      </c>
      <c r="M23" s="2953" t="s">
        <v>3123</v>
      </c>
      <c r="N23" s="2953" t="s">
        <v>3090</v>
      </c>
    </row>
    <row r="24" spans="1:14">
      <c r="A24" s="2953" t="s">
        <v>3124</v>
      </c>
      <c r="B24" s="2953" t="s">
        <v>3063</v>
      </c>
      <c r="C24" s="2953" t="s">
        <v>3064</v>
      </c>
      <c r="D24" s="2953">
        <v>14306</v>
      </c>
      <c r="E24" s="2953">
        <v>28612</v>
      </c>
      <c r="F24" s="2953" t="s">
        <v>3125</v>
      </c>
      <c r="G24" s="2953" t="s">
        <v>3066</v>
      </c>
      <c r="H24" s="2953" t="s">
        <v>3126</v>
      </c>
      <c r="I24" s="2953">
        <v>438</v>
      </c>
      <c r="J24" s="2953">
        <v>438</v>
      </c>
      <c r="K24" s="2953">
        <v>153.08000000000001</v>
      </c>
      <c r="L24" s="2953">
        <v>0</v>
      </c>
      <c r="M24" s="2953" t="s">
        <v>3127</v>
      </c>
      <c r="N24" s="2953" t="s">
        <v>3090</v>
      </c>
    </row>
    <row r="25" spans="1:14">
      <c r="A25" s="2953" t="s">
        <v>3128</v>
      </c>
      <c r="B25" s="2953" t="s">
        <v>3063</v>
      </c>
      <c r="C25" s="2953" t="s">
        <v>3064</v>
      </c>
      <c r="D25" s="2953">
        <v>66663</v>
      </c>
      <c r="E25" s="2953">
        <v>133326</v>
      </c>
      <c r="F25" s="2953" t="s">
        <v>3084</v>
      </c>
      <c r="G25" s="2953" t="s">
        <v>3066</v>
      </c>
      <c r="H25" s="2953" t="s">
        <v>3126</v>
      </c>
      <c r="I25" s="2953">
        <v>2073</v>
      </c>
      <c r="J25" s="2953">
        <v>2073</v>
      </c>
      <c r="K25" s="2953">
        <v>155.47</v>
      </c>
      <c r="L25" s="2953">
        <v>0</v>
      </c>
      <c r="M25" s="2953" t="s">
        <v>3129</v>
      </c>
      <c r="N25" s="2953" t="s">
        <v>3087</v>
      </c>
    </row>
    <row r="26" spans="1:14">
      <c r="A26" s="2953" t="s">
        <v>3130</v>
      </c>
      <c r="B26" s="2953" t="s">
        <v>3063</v>
      </c>
      <c r="C26" s="2953" t="s">
        <v>3064</v>
      </c>
      <c r="D26" s="2953">
        <v>33836</v>
      </c>
      <c r="E26" s="2953">
        <v>67672</v>
      </c>
      <c r="F26" s="2953" t="s">
        <v>3131</v>
      </c>
      <c r="G26" s="2953" t="s">
        <v>3066</v>
      </c>
      <c r="H26" s="2953" t="s">
        <v>3126</v>
      </c>
      <c r="I26" s="2953">
        <v>961</v>
      </c>
      <c r="J26" s="2953">
        <v>961</v>
      </c>
      <c r="K26" s="2953">
        <v>142</v>
      </c>
      <c r="L26" s="2953">
        <v>0</v>
      </c>
      <c r="M26" s="2953" t="s">
        <v>3132</v>
      </c>
      <c r="N26" s="2953" t="s">
        <v>3069</v>
      </c>
    </row>
    <row r="27" spans="1:14">
      <c r="A27" s="2953" t="s">
        <v>3133</v>
      </c>
      <c r="B27" s="2953" t="s">
        <v>3063</v>
      </c>
      <c r="C27" s="2953" t="s">
        <v>3064</v>
      </c>
      <c r="D27" s="2953">
        <v>17267</v>
      </c>
      <c r="E27" s="2953">
        <v>34534</v>
      </c>
      <c r="F27" s="2953" t="s">
        <v>3084</v>
      </c>
      <c r="G27" s="2953" t="s">
        <v>3066</v>
      </c>
      <c r="H27" s="2953" t="s">
        <v>3126</v>
      </c>
      <c r="I27" s="2953">
        <v>527</v>
      </c>
      <c r="J27" s="2953">
        <v>527</v>
      </c>
      <c r="K27" s="2953">
        <v>152.59</v>
      </c>
      <c r="L27" s="2953">
        <v>0</v>
      </c>
      <c r="M27" s="2953" t="s">
        <v>3134</v>
      </c>
      <c r="N27" s="2953" t="s">
        <v>3087</v>
      </c>
    </row>
    <row r="28" spans="1:14">
      <c r="A28" s="2953" t="s">
        <v>3135</v>
      </c>
      <c r="B28" s="2953" t="s">
        <v>3063</v>
      </c>
      <c r="C28" s="2953" t="s">
        <v>3064</v>
      </c>
      <c r="D28" s="2953">
        <v>35570</v>
      </c>
      <c r="E28" s="2953">
        <v>71140</v>
      </c>
      <c r="F28" s="2953" t="s">
        <v>3084</v>
      </c>
      <c r="G28" s="2953" t="s">
        <v>3066</v>
      </c>
      <c r="H28" s="2953" t="s">
        <v>3126</v>
      </c>
      <c r="I28" s="2953">
        <v>1103</v>
      </c>
      <c r="J28" s="2953">
        <v>1103</v>
      </c>
      <c r="K28" s="2953">
        <v>155.05000000000001</v>
      </c>
      <c r="L28" s="2953">
        <v>0</v>
      </c>
      <c r="M28" s="2953" t="s">
        <v>3136</v>
      </c>
      <c r="N28" s="2953" t="s">
        <v>3087</v>
      </c>
    </row>
    <row r="29" spans="1:14">
      <c r="A29" s="2953" t="s">
        <v>3137</v>
      </c>
      <c r="B29" s="2953" t="s">
        <v>3063</v>
      </c>
      <c r="C29" s="2953" t="s">
        <v>3064</v>
      </c>
      <c r="D29" s="2953">
        <v>4243</v>
      </c>
      <c r="E29" s="2953">
        <v>8486</v>
      </c>
      <c r="F29" s="2953" t="s">
        <v>3125</v>
      </c>
      <c r="G29" s="2953" t="s">
        <v>3066</v>
      </c>
      <c r="H29" s="2953" t="s">
        <v>3126</v>
      </c>
      <c r="I29" s="2953">
        <v>129</v>
      </c>
      <c r="J29" s="2953">
        <v>129</v>
      </c>
      <c r="K29" s="2953">
        <v>152.02000000000001</v>
      </c>
      <c r="L29" s="2953">
        <v>0</v>
      </c>
      <c r="M29" s="2953" t="s">
        <v>3138</v>
      </c>
      <c r="N29" s="2953" t="s">
        <v>3087</v>
      </c>
    </row>
    <row r="30" spans="1:14">
      <c r="A30" s="2953" t="s">
        <v>3139</v>
      </c>
      <c r="B30" s="2953" t="s">
        <v>3063</v>
      </c>
      <c r="C30" s="2953" t="s">
        <v>3064</v>
      </c>
      <c r="D30" s="2953">
        <v>50017</v>
      </c>
      <c r="E30" s="2953">
        <v>100034</v>
      </c>
      <c r="F30" s="2953" t="s">
        <v>3084</v>
      </c>
      <c r="G30" s="2953" t="s">
        <v>3066</v>
      </c>
      <c r="H30" s="2953" t="s">
        <v>3126</v>
      </c>
      <c r="I30" s="2953">
        <v>1586</v>
      </c>
      <c r="J30" s="2953">
        <v>1586</v>
      </c>
      <c r="K30" s="2953">
        <v>158.55000000000001</v>
      </c>
      <c r="L30" s="2953">
        <v>0</v>
      </c>
      <c r="M30" s="2953" t="s">
        <v>3140</v>
      </c>
      <c r="N30" s="2953" t="s">
        <v>3090</v>
      </c>
    </row>
    <row r="31" spans="1:14">
      <c r="A31" s="2953" t="s">
        <v>3141</v>
      </c>
      <c r="B31" s="2953" t="s">
        <v>3063</v>
      </c>
      <c r="C31" s="2953" t="s">
        <v>3064</v>
      </c>
      <c r="D31" s="2953">
        <v>23932</v>
      </c>
      <c r="E31" s="2953">
        <v>47864</v>
      </c>
      <c r="F31" s="2953" t="s">
        <v>3084</v>
      </c>
      <c r="G31" s="2953" t="s">
        <v>3066</v>
      </c>
      <c r="H31" s="2953" t="s">
        <v>3126</v>
      </c>
      <c r="I31" s="2953">
        <v>742</v>
      </c>
      <c r="J31" s="2953">
        <v>742</v>
      </c>
      <c r="K31" s="2953">
        <v>155.02000000000001</v>
      </c>
      <c r="L31" s="2953">
        <v>0</v>
      </c>
      <c r="M31" s="2953" t="s">
        <v>3142</v>
      </c>
      <c r="N31" s="2953" t="s">
        <v>3090</v>
      </c>
    </row>
    <row r="32" spans="1:14">
      <c r="A32" s="2953" t="s">
        <v>3143</v>
      </c>
      <c r="B32" s="2953" t="s">
        <v>3063</v>
      </c>
      <c r="C32" s="2953" t="s">
        <v>3064</v>
      </c>
      <c r="D32" s="2953">
        <v>45888</v>
      </c>
      <c r="E32" s="2953">
        <v>91776</v>
      </c>
      <c r="F32" s="2953" t="s">
        <v>3084</v>
      </c>
      <c r="G32" s="2953" t="s">
        <v>3066</v>
      </c>
      <c r="H32" s="2953" t="s">
        <v>3144</v>
      </c>
      <c r="I32" s="2953">
        <v>1900</v>
      </c>
      <c r="J32" s="2953">
        <v>1900</v>
      </c>
      <c r="K32" s="2953">
        <v>207.03</v>
      </c>
      <c r="L32" s="2953">
        <v>0</v>
      </c>
      <c r="M32" s="2953" t="s">
        <v>3145</v>
      </c>
      <c r="N32" s="2953" t="s">
        <v>3069</v>
      </c>
    </row>
    <row r="33" spans="1:14">
      <c r="A33" s="2953" t="s">
        <v>3146</v>
      </c>
      <c r="B33" s="2953" t="s">
        <v>3063</v>
      </c>
      <c r="C33" s="2953" t="s">
        <v>3064</v>
      </c>
      <c r="D33" s="2953">
        <v>731740</v>
      </c>
      <c r="E33" s="2953">
        <v>731740</v>
      </c>
      <c r="F33" s="2953" t="s">
        <v>3147</v>
      </c>
      <c r="G33" s="2953" t="s">
        <v>3066</v>
      </c>
      <c r="H33" s="2953" t="s">
        <v>3148</v>
      </c>
      <c r="I33" s="2953">
        <v>20200</v>
      </c>
      <c r="J33" s="2953">
        <v>20200</v>
      </c>
      <c r="K33" s="2953">
        <v>276.05</v>
      </c>
      <c r="L33" s="2953">
        <v>0</v>
      </c>
      <c r="M33" s="2953" t="s">
        <v>3149</v>
      </c>
      <c r="N33" s="2953" t="s">
        <v>3069</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2" sqref="I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6" style="403" customWidth="1"/>
    <col min="6" max="6" width="12.25" style="403" customWidth="1"/>
    <col min="7" max="7" width="14.5" style="403" customWidth="1"/>
    <col min="8" max="8" width="12.25" style="403" customWidth="1"/>
    <col min="9" max="9" width="17.1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496</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269</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75" customHeight="1" thickBot="1">
      <c r="A5" s="404"/>
      <c r="B5" s="405"/>
      <c r="C5" s="3182"/>
      <c r="D5" s="3183"/>
      <c r="E5" s="3171" t="s">
        <v>3186</v>
      </c>
      <c r="F5" s="3172"/>
      <c r="G5" s="3186" t="s">
        <v>3187</v>
      </c>
      <c r="H5" s="3183"/>
      <c r="I5" s="3186" t="s">
        <v>3188</v>
      </c>
      <c r="J5" s="3183"/>
      <c r="K5" s="610"/>
      <c r="L5" s="1130"/>
      <c r="M5" s="1131"/>
      <c r="N5" s="1131"/>
      <c r="O5" s="1131"/>
      <c r="P5" s="3167"/>
      <c r="Q5" s="3168"/>
      <c r="R5" s="3180"/>
      <c r="S5" s="3181"/>
      <c r="T5" s="3180"/>
      <c r="U5" s="3181"/>
      <c r="V5" s="3153"/>
      <c r="W5" s="3153"/>
      <c r="X5" s="1813"/>
      <c r="Y5" s="3180"/>
      <c r="Z5" s="3181"/>
      <c r="AA5" s="3159"/>
      <c r="AB5" s="3159"/>
      <c r="AC5" s="3159"/>
    </row>
    <row r="6" spans="1:29" ht="15.75" hidden="1" thickBot="1">
      <c r="A6" s="406"/>
      <c r="B6" s="407"/>
      <c r="C6" s="3184"/>
      <c r="D6" s="3185"/>
      <c r="E6" s="3188"/>
      <c r="F6" s="3189"/>
      <c r="G6" s="3184"/>
      <c r="H6" s="3185"/>
      <c r="I6" s="3184"/>
      <c r="J6" s="3185"/>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v>43391</v>
      </c>
      <c r="F7" s="413">
        <f>SUMIF(65:65,YEAR(E7)&amp;"-"&amp;INT((MONTH(E7)+2)/3),66:66)</f>
        <v>99</v>
      </c>
      <c r="G7" s="2695">
        <v>43340</v>
      </c>
      <c r="H7" s="411">
        <f>SUMIF(65:65,YEAR(G7)&amp;"-"&amp;INT((MONTH(G7)+2)/3),66:66)</f>
        <v>98.5</v>
      </c>
      <c r="I7" s="2695">
        <v>43049</v>
      </c>
      <c r="J7" s="411">
        <f>SUMIF(65:65,YEAR(I7)&amp;"-"&amp;INT((MONTH(I7)+2)/3),66:66)</f>
        <v>97</v>
      </c>
      <c r="K7" s="611"/>
      <c r="L7" s="1132"/>
      <c r="M7" s="1133"/>
      <c r="N7" s="1133"/>
      <c r="O7" s="1133"/>
      <c r="P7" s="3173" t="s">
        <v>2534</v>
      </c>
      <c r="Q7" s="3187"/>
      <c r="R7" s="770" t="s">
        <v>17</v>
      </c>
      <c r="S7" s="771">
        <f t="shared" ref="S7:S15" si="0">F7</f>
        <v>99</v>
      </c>
      <c r="T7" s="770" t="s">
        <v>17</v>
      </c>
      <c r="U7" s="771">
        <f t="shared" ref="U7:U15" si="1">H7</f>
        <v>98.5</v>
      </c>
      <c r="V7" s="770" t="s">
        <v>17</v>
      </c>
      <c r="W7" s="771">
        <f t="shared" ref="W7:W15" si="2">J7</f>
        <v>97</v>
      </c>
      <c r="X7" s="772"/>
      <c r="Y7" s="3173" t="s">
        <v>2534</v>
      </c>
      <c r="Z7" s="3174"/>
      <c r="AA7" s="773">
        <f>D7/F7</f>
        <v>1.0101010101010102</v>
      </c>
      <c r="AB7" s="773">
        <f>D7/H7</f>
        <v>1.015228426395939</v>
      </c>
      <c r="AC7" s="773">
        <f>D7/J7</f>
        <v>1.0309278350515463</v>
      </c>
    </row>
    <row r="8" spans="1:29" s="117" customFormat="1" ht="15.75" thickBot="1">
      <c r="A8" s="408" t="s">
        <v>2535</v>
      </c>
      <c r="B8" s="409"/>
      <c r="C8" s="414" t="s">
        <v>2536</v>
      </c>
      <c r="D8" s="411">
        <v>100</v>
      </c>
      <c r="E8" s="414" t="s">
        <v>3157</v>
      </c>
      <c r="F8" s="413">
        <f>SUMIF(68:68,E8,69:69)-SUMIF(68:68,C8,69:69)+100</f>
        <v>100</v>
      </c>
      <c r="G8" s="414" t="s">
        <v>3157</v>
      </c>
      <c r="H8" s="411">
        <f>SUMIF(68:68,G8,69:69)-SUMIF(68:68,C8,69:69)+100</f>
        <v>100</v>
      </c>
      <c r="I8" s="414" t="s">
        <v>3157</v>
      </c>
      <c r="J8" s="411">
        <f>SUMIF(68:68,I8,69:69)-SUMIF(68:68,C8,69:69)+100</f>
        <v>100</v>
      </c>
      <c r="K8" s="611"/>
      <c r="L8" s="1132"/>
      <c r="M8" s="1133"/>
      <c r="N8" s="1133"/>
      <c r="O8" s="1133"/>
      <c r="P8" s="3173" t="s">
        <v>2537</v>
      </c>
      <c r="Q8" s="3174"/>
      <c r="R8" s="770" t="s">
        <v>17</v>
      </c>
      <c r="S8" s="771">
        <f t="shared" si="0"/>
        <v>100</v>
      </c>
      <c r="T8" s="770" t="s">
        <v>17</v>
      </c>
      <c r="U8" s="771">
        <f t="shared" si="1"/>
        <v>100</v>
      </c>
      <c r="V8" s="770" t="s">
        <v>17</v>
      </c>
      <c r="W8" s="771">
        <f t="shared" si="2"/>
        <v>100</v>
      </c>
      <c r="X8" s="772"/>
      <c r="Y8" s="3173" t="s">
        <v>2537</v>
      </c>
      <c r="Z8" s="3174"/>
      <c r="AA8" s="773">
        <f t="shared" ref="AA8:AA40" si="3">D8/F8</f>
        <v>1</v>
      </c>
      <c r="AB8" s="773">
        <f t="shared" ref="AB8:AB40" si="4">D8/H8</f>
        <v>1</v>
      </c>
      <c r="AC8" s="773">
        <f t="shared" ref="AC8:AC40" si="5">D8/J8</f>
        <v>1</v>
      </c>
    </row>
    <row r="9" spans="1:29" s="117" customFormat="1">
      <c r="A9" s="415" t="s">
        <v>2538</v>
      </c>
      <c r="B9" s="71" t="s">
        <v>2539</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41.09</v>
      </c>
      <c r="D10" s="136">
        <v>100</v>
      </c>
      <c r="E10" s="432">
        <v>50</v>
      </c>
      <c r="F10" s="136">
        <f>ROUND(100/'数据-取费表'!G16,0)</f>
        <v>107</v>
      </c>
      <c r="G10" s="432">
        <v>50</v>
      </c>
      <c r="H10" s="136">
        <f>ROUND(100/'数据-取费表'!G16,0)</f>
        <v>107</v>
      </c>
      <c r="I10" s="432">
        <v>50</v>
      </c>
      <c r="J10" s="136">
        <f>ROUND(100/'数据-取费表'!G16,0)</f>
        <v>107</v>
      </c>
      <c r="K10" s="672"/>
      <c r="L10" s="1135"/>
      <c r="M10" s="1136"/>
      <c r="N10" s="1136"/>
      <c r="O10" s="1137"/>
      <c r="P10" s="3151"/>
      <c r="Q10" s="1795"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29" ht="15.75" thickBot="1">
      <c r="A11" s="428"/>
      <c r="B11" s="422" t="s">
        <v>2543</v>
      </c>
      <c r="C11" s="429">
        <f>'数据-汇总表'!I6</f>
        <v>2.5099999999999998</v>
      </c>
      <c r="D11" s="136">
        <v>100</v>
      </c>
      <c r="E11" s="429">
        <v>2</v>
      </c>
      <c r="F11" s="136">
        <f>LOOKUP(E11,75:75,76:76)-LOOKUP(C11,75:75,76:76)+100</f>
        <v>100</v>
      </c>
      <c r="G11" s="430">
        <v>2</v>
      </c>
      <c r="H11" s="136">
        <f>LOOKUP(G11,75:75,76:76)-LOOKUP(C11,75:75,76:76)+100</f>
        <v>100</v>
      </c>
      <c r="I11" s="429">
        <v>1.2</v>
      </c>
      <c r="J11" s="136">
        <f>LOOKUP(I11,75:75,76:76)-LOOKUP(C11,75:75,76:76)+100</f>
        <v>104</v>
      </c>
      <c r="K11" s="673">
        <v>4</v>
      </c>
      <c r="L11" s="1138"/>
      <c r="M11" s="1131"/>
      <c r="N11" s="1131"/>
      <c r="O11" s="1139"/>
      <c r="P11" s="3151"/>
      <c r="Q11" s="1795" t="str">
        <f t="shared" si="6"/>
        <v>容积率</v>
      </c>
      <c r="R11" s="770" t="s">
        <v>17</v>
      </c>
      <c r="S11" s="771">
        <f t="shared" si="0"/>
        <v>100</v>
      </c>
      <c r="T11" s="770" t="s">
        <v>17</v>
      </c>
      <c r="U11" s="771">
        <f t="shared" si="1"/>
        <v>100</v>
      </c>
      <c r="V11" s="770" t="s">
        <v>17</v>
      </c>
      <c r="W11" s="771">
        <f t="shared" si="2"/>
        <v>104</v>
      </c>
      <c r="X11" s="772"/>
      <c r="Y11" s="3025"/>
      <c r="Z11" s="55" t="str">
        <f t="shared" si="7"/>
        <v>容积率</v>
      </c>
      <c r="AA11" s="773">
        <f t="shared" si="3"/>
        <v>1</v>
      </c>
      <c r="AB11" s="773">
        <f t="shared" si="4"/>
        <v>1</v>
      </c>
      <c r="AC11" s="773">
        <f t="shared" si="5"/>
        <v>0.96153846153846156</v>
      </c>
    </row>
    <row r="12" spans="1:29" s="117" customFormat="1" ht="15.75" hidden="1" thickBot="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hidden="1" thickBot="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29" t="s">
        <v>2782</v>
      </c>
      <c r="C15" s="2692">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54" t="s">
        <v>2545</v>
      </c>
      <c r="Q15" s="1810" t="str">
        <f t="shared" si="6"/>
        <v>产业集聚程度</v>
      </c>
      <c r="R15" s="774" t="s">
        <v>17</v>
      </c>
      <c r="S15" s="775">
        <f t="shared" si="0"/>
        <v>96</v>
      </c>
      <c r="T15" s="774" t="s">
        <v>17</v>
      </c>
      <c r="U15" s="775">
        <f t="shared" si="1"/>
        <v>96</v>
      </c>
      <c r="V15" s="774" t="s">
        <v>17</v>
      </c>
      <c r="W15" s="775">
        <f t="shared" si="2"/>
        <v>100</v>
      </c>
      <c r="X15" s="1813"/>
      <c r="Y15" s="3154" t="s">
        <v>2545</v>
      </c>
      <c r="Z15" s="1814" t="str">
        <f t="shared" si="7"/>
        <v>产业集聚程度</v>
      </c>
      <c r="AA15" s="1811">
        <f t="shared" si="3"/>
        <v>1.0416666666666667</v>
      </c>
      <c r="AB15" s="1811">
        <f t="shared" si="4"/>
        <v>1.0416666666666667</v>
      </c>
      <c r="AC15" s="1811">
        <f t="shared" si="5"/>
        <v>1</v>
      </c>
    </row>
    <row r="16" spans="1:29" ht="15">
      <c r="A16" s="428"/>
      <c r="B16" s="630"/>
      <c r="C16" s="447" t="s">
        <v>3155</v>
      </c>
      <c r="D16" s="448"/>
      <c r="E16" s="447" t="s">
        <v>3158</v>
      </c>
      <c r="F16" s="448"/>
      <c r="G16" s="447" t="s">
        <v>3158</v>
      </c>
      <c r="H16" s="450"/>
      <c r="I16" s="447" t="s">
        <v>3155</v>
      </c>
      <c r="J16" s="448"/>
      <c r="K16" s="672"/>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631" t="s">
        <v>2694</v>
      </c>
      <c r="C17" s="2606">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155"/>
      <c r="Q17" s="1810" t="str">
        <f>B17</f>
        <v>交通便捷度</v>
      </c>
      <c r="R17" s="774" t="s">
        <v>17</v>
      </c>
      <c r="S17" s="775">
        <f>F17</f>
        <v>100</v>
      </c>
      <c r="T17" s="774" t="s">
        <v>17</v>
      </c>
      <c r="U17" s="775">
        <f>H17</f>
        <v>100</v>
      </c>
      <c r="V17" s="774" t="s">
        <v>17</v>
      </c>
      <c r="W17" s="775">
        <f>J17</f>
        <v>103</v>
      </c>
      <c r="X17" s="1813"/>
      <c r="Y17" s="3155"/>
      <c r="Z17" s="1814" t="str">
        <f>Q17</f>
        <v>交通便捷度</v>
      </c>
      <c r="AA17" s="1811">
        <f t="shared" si="3"/>
        <v>1</v>
      </c>
      <c r="AB17" s="1811">
        <f t="shared" si="4"/>
        <v>1</v>
      </c>
      <c r="AC17" s="1811">
        <f t="shared" si="5"/>
        <v>0.970873786407767</v>
      </c>
    </row>
    <row r="18" spans="1:29" ht="15">
      <c r="A18" s="428"/>
      <c r="B18" s="632"/>
      <c r="C18" s="447" t="s">
        <v>3158</v>
      </c>
      <c r="D18" s="448"/>
      <c r="E18" s="447" t="s">
        <v>3158</v>
      </c>
      <c r="F18" s="448"/>
      <c r="G18" s="447" t="s">
        <v>3158</v>
      </c>
      <c r="H18" s="448"/>
      <c r="I18" s="447" t="s">
        <v>3155</v>
      </c>
      <c r="J18" s="448"/>
      <c r="K18" s="672"/>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631" t="s">
        <v>2733</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55"/>
      <c r="Q19" s="1810" t="str">
        <f t="shared" ref="Q19:Q33" si="8">B19</f>
        <v>区域土地利用方向</v>
      </c>
      <c r="R19" s="774" t="s">
        <v>17</v>
      </c>
      <c r="S19" s="775">
        <f>F19</f>
        <v>100</v>
      </c>
      <c r="T19" s="774" t="s">
        <v>17</v>
      </c>
      <c r="U19" s="775">
        <f>H19</f>
        <v>100</v>
      </c>
      <c r="V19" s="774" t="s">
        <v>17</v>
      </c>
      <c r="W19" s="775">
        <f>J19</f>
        <v>100</v>
      </c>
      <c r="X19" s="1813"/>
      <c r="Y19" s="3155"/>
      <c r="Z19" s="1814" t="str">
        <f>Q19</f>
        <v>区域土地利用方向</v>
      </c>
      <c r="AA19" s="1811">
        <f t="shared" si="3"/>
        <v>1</v>
      </c>
      <c r="AB19" s="1811">
        <f t="shared" si="4"/>
        <v>1</v>
      </c>
      <c r="AC19" s="1811">
        <f t="shared" si="5"/>
        <v>1</v>
      </c>
    </row>
    <row r="20" spans="1:29" ht="15">
      <c r="A20" s="404"/>
      <c r="B20" s="632"/>
      <c r="C20" s="447" t="s">
        <v>3155</v>
      </c>
      <c r="D20" s="448"/>
      <c r="E20" s="447" t="s">
        <v>3155</v>
      </c>
      <c r="F20" s="448"/>
      <c r="G20" s="447" t="s">
        <v>3155</v>
      </c>
      <c r="H20" s="448"/>
      <c r="I20" s="447" t="s">
        <v>3155</v>
      </c>
      <c r="J20" s="448"/>
      <c r="K20" s="812"/>
      <c r="L20" s="1140"/>
      <c r="M20" s="1131"/>
      <c r="N20" s="1131"/>
      <c r="O20" s="1139"/>
      <c r="P20" s="3155"/>
      <c r="Q20" s="1810"/>
      <c r="R20" s="774"/>
      <c r="S20" s="775"/>
      <c r="T20" s="774"/>
      <c r="U20" s="775"/>
      <c r="V20" s="774"/>
      <c r="W20" s="775"/>
      <c r="X20" s="1813"/>
      <c r="Y20" s="3155"/>
      <c r="Z20" s="1814"/>
      <c r="AA20" s="1811"/>
      <c r="AB20" s="1811"/>
      <c r="AC20" s="1811"/>
    </row>
    <row r="21" spans="1:29" ht="15">
      <c r="A21" s="404"/>
      <c r="B21" s="631" t="s">
        <v>2783</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55"/>
      <c r="Q21" s="1810" t="str">
        <f t="shared" si="8"/>
        <v>环境状况</v>
      </c>
      <c r="R21" s="774" t="s">
        <v>17</v>
      </c>
      <c r="S21" s="775">
        <f>F21</f>
        <v>100</v>
      </c>
      <c r="T21" s="774" t="s">
        <v>17</v>
      </c>
      <c r="U21" s="775">
        <f>H21</f>
        <v>100</v>
      </c>
      <c r="V21" s="774" t="s">
        <v>17</v>
      </c>
      <c r="W21" s="775">
        <f>J21</f>
        <v>100</v>
      </c>
      <c r="X21" s="1813"/>
      <c r="Y21" s="3155"/>
      <c r="Z21" s="1814" t="str">
        <f>Q21</f>
        <v>环境状况</v>
      </c>
      <c r="AA21" s="1811">
        <f t="shared" si="3"/>
        <v>1</v>
      </c>
      <c r="AB21" s="1811">
        <f t="shared" si="4"/>
        <v>1</v>
      </c>
      <c r="AC21" s="1811">
        <f t="shared" si="5"/>
        <v>1</v>
      </c>
    </row>
    <row r="22" spans="1:29" ht="15">
      <c r="A22" s="404"/>
      <c r="B22" s="632"/>
      <c r="C22" s="447" t="s">
        <v>3158</v>
      </c>
      <c r="D22" s="448"/>
      <c r="E22" s="447" t="s">
        <v>3158</v>
      </c>
      <c r="F22" s="448"/>
      <c r="G22" s="447" t="s">
        <v>3158</v>
      </c>
      <c r="H22" s="448"/>
      <c r="I22" s="447" t="s">
        <v>3158</v>
      </c>
      <c r="J22" s="448"/>
      <c r="K22" s="672"/>
      <c r="L22" s="1140"/>
      <c r="M22" s="1131"/>
      <c r="N22" s="1131"/>
      <c r="O22" s="1139"/>
      <c r="P22" s="3155"/>
      <c r="Q22" s="1810"/>
      <c r="R22" s="774"/>
      <c r="S22" s="775"/>
      <c r="T22" s="774"/>
      <c r="U22" s="775"/>
      <c r="V22" s="774"/>
      <c r="W22" s="775"/>
      <c r="X22" s="1813"/>
      <c r="Y22" s="3155"/>
      <c r="Z22" s="1814"/>
      <c r="AA22" s="1811">
        <v>1</v>
      </c>
      <c r="AB22" s="1811">
        <v>1</v>
      </c>
      <c r="AC22" s="1811">
        <v>1</v>
      </c>
    </row>
    <row r="23" spans="1:29" s="117" customFormat="1" ht="15">
      <c r="A23" s="649"/>
      <c r="B23" s="633" t="s">
        <v>2639</v>
      </c>
      <c r="C23" s="2606">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32"/>
      <c r="M23" s="1133"/>
      <c r="N23" s="1133"/>
      <c r="O23" s="1134"/>
      <c r="P23" s="3155"/>
      <c r="Q23" s="1795" t="str">
        <f t="shared" si="8"/>
        <v>公共配套设施</v>
      </c>
      <c r="R23" s="770" t="s">
        <v>17</v>
      </c>
      <c r="S23" s="771">
        <f>F23</f>
        <v>100</v>
      </c>
      <c r="T23" s="770" t="s">
        <v>17</v>
      </c>
      <c r="U23" s="771">
        <f>H23</f>
        <v>100</v>
      </c>
      <c r="V23" s="770" t="s">
        <v>17</v>
      </c>
      <c r="W23" s="771">
        <f>J23</f>
        <v>103</v>
      </c>
      <c r="X23" s="772"/>
      <c r="Y23" s="3155"/>
      <c r="Z23" s="55" t="str">
        <f>Q23</f>
        <v>公共配套设施</v>
      </c>
      <c r="AA23" s="1811">
        <f>D23/F23</f>
        <v>1</v>
      </c>
      <c r="AB23" s="1811">
        <f>D23/H23</f>
        <v>1</v>
      </c>
      <c r="AC23" s="1811">
        <f>D23/J23</f>
        <v>0.970873786407767</v>
      </c>
    </row>
    <row r="24" spans="1:29" s="117" customFormat="1" ht="15">
      <c r="A24" s="649"/>
      <c r="B24" s="632"/>
      <c r="C24" s="447" t="s">
        <v>3158</v>
      </c>
      <c r="D24" s="448"/>
      <c r="E24" s="447" t="s">
        <v>3158</v>
      </c>
      <c r="F24" s="448"/>
      <c r="G24" s="447" t="s">
        <v>3158</v>
      </c>
      <c r="H24" s="448"/>
      <c r="I24" s="447" t="s">
        <v>3155</v>
      </c>
      <c r="J24" s="448"/>
      <c r="K24" s="672"/>
      <c r="L24" s="1132"/>
      <c r="M24" s="1133"/>
      <c r="N24" s="1133"/>
      <c r="O24" s="1134"/>
      <c r="P24" s="3155"/>
      <c r="Q24" s="1795"/>
      <c r="R24" s="770"/>
      <c r="S24" s="771"/>
      <c r="T24" s="770"/>
      <c r="U24" s="771"/>
      <c r="V24" s="770"/>
      <c r="W24" s="771"/>
      <c r="X24" s="772"/>
      <c r="Y24" s="3155"/>
      <c r="Z24" s="55"/>
      <c r="AA24" s="773">
        <v>1</v>
      </c>
      <c r="AB24" s="773">
        <v>1</v>
      </c>
      <c r="AC24" s="773">
        <v>1</v>
      </c>
    </row>
    <row r="25" spans="1:29" s="117" customFormat="1" ht="15">
      <c r="A25" s="649"/>
      <c r="B25" s="633" t="s">
        <v>2640</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32"/>
      <c r="M25" s="1133"/>
      <c r="N25" s="1133"/>
      <c r="O25" s="1134"/>
      <c r="P25" s="3155"/>
      <c r="Q25" s="1795" t="str">
        <f t="shared" ref="Q25" si="9">B25</f>
        <v>基础设施水平</v>
      </c>
      <c r="R25" s="770" t="s">
        <v>17</v>
      </c>
      <c r="S25" s="771">
        <f>F25</f>
        <v>100</v>
      </c>
      <c r="T25" s="770" t="s">
        <v>17</v>
      </c>
      <c r="U25" s="771">
        <f>H25</f>
        <v>100</v>
      </c>
      <c r="V25" s="770" t="s">
        <v>17</v>
      </c>
      <c r="W25" s="771">
        <f>J25</f>
        <v>100</v>
      </c>
      <c r="X25" s="772"/>
      <c r="Y25" s="3155"/>
      <c r="Z25" s="55" t="str">
        <f>Q25</f>
        <v>基础设施水平</v>
      </c>
      <c r="AA25" s="1811">
        <f>D25/F25</f>
        <v>1</v>
      </c>
      <c r="AB25" s="1811">
        <f>D25/H25</f>
        <v>1</v>
      </c>
      <c r="AC25" s="1811">
        <f>D25/J25</f>
        <v>1</v>
      </c>
    </row>
    <row r="26" spans="1:29" s="117" customFormat="1" ht="15">
      <c r="A26" s="649"/>
      <c r="B26" s="632"/>
      <c r="C26" s="447" t="s">
        <v>3200</v>
      </c>
      <c r="D26" s="448"/>
      <c r="E26" s="447" t="s">
        <v>3200</v>
      </c>
      <c r="F26" s="448"/>
      <c r="G26" s="447" t="s">
        <v>3200</v>
      </c>
      <c r="H26" s="448"/>
      <c r="I26" s="447" t="s">
        <v>3200</v>
      </c>
      <c r="J26" s="448"/>
      <c r="K26" s="672"/>
      <c r="L26" s="1132"/>
      <c r="M26" s="1133"/>
      <c r="N26" s="1133"/>
      <c r="O26" s="1134"/>
      <c r="P26" s="3155"/>
      <c r="Q26" s="1795"/>
      <c r="R26" s="770"/>
      <c r="S26" s="771"/>
      <c r="T26" s="770"/>
      <c r="U26" s="771"/>
      <c r="V26" s="770"/>
      <c r="W26" s="771"/>
      <c r="X26" s="772"/>
      <c r="Y26" s="3155"/>
      <c r="Z26" s="55"/>
      <c r="AA26" s="773">
        <v>1</v>
      </c>
      <c r="AB26" s="773">
        <v>1</v>
      </c>
      <c r="AC26" s="773">
        <v>1</v>
      </c>
    </row>
    <row r="27" spans="1:29" ht="15">
      <c r="A27" s="428"/>
      <c r="B27" s="632" t="s">
        <v>2641</v>
      </c>
      <c r="C27" s="616" t="s">
        <v>3183</v>
      </c>
      <c r="D27" s="435">
        <v>100</v>
      </c>
      <c r="E27" s="634" t="s">
        <v>3183</v>
      </c>
      <c r="F27" s="435">
        <f>SUMIF(95:95,E27,96:96)-SUMIF(95:95,C27,96:96)+100</f>
        <v>100</v>
      </c>
      <c r="G27" s="634" t="s">
        <v>3183</v>
      </c>
      <c r="H27" s="435">
        <f>SUMIF(95:95,G27,96:96)-SUMIF(95:95,C27,96:96)+100</f>
        <v>100</v>
      </c>
      <c r="I27" s="634" t="s">
        <v>3183</v>
      </c>
      <c r="J27" s="435">
        <f>SUMIF(95:95,I27,96:96)-SUMIF(95:95,C27,96:96)+100</f>
        <v>100</v>
      </c>
      <c r="K27" s="673">
        <v>1</v>
      </c>
      <c r="L27" s="1140"/>
      <c r="M27" s="1131"/>
      <c r="N27" s="1131"/>
      <c r="O27" s="1139"/>
      <c r="P27" s="315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5"/>
      <c r="Z27" s="1814" t="str">
        <f t="shared" ref="Z27:Z40" si="13">Q27</f>
        <v>临街状况</v>
      </c>
      <c r="AA27" s="1811">
        <f t="shared" si="3"/>
        <v>1</v>
      </c>
      <c r="AB27" s="1811">
        <f t="shared" si="4"/>
        <v>1</v>
      </c>
      <c r="AC27" s="1811">
        <f t="shared" si="5"/>
        <v>1</v>
      </c>
    </row>
    <row r="28" spans="1:29" ht="27">
      <c r="A28" s="428"/>
      <c r="B28" s="633" t="s">
        <v>2676</v>
      </c>
      <c r="C28" s="2712">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55"/>
      <c r="Q28" s="1810" t="str">
        <f t="shared" si="8"/>
        <v>毗邻道路的类型与等级</v>
      </c>
      <c r="R28" s="774" t="s">
        <v>17</v>
      </c>
      <c r="S28" s="775">
        <f t="shared" si="10"/>
        <v>101</v>
      </c>
      <c r="T28" s="774" t="s">
        <v>17</v>
      </c>
      <c r="U28" s="775">
        <f t="shared" si="11"/>
        <v>100</v>
      </c>
      <c r="V28" s="774" t="s">
        <v>17</v>
      </c>
      <c r="W28" s="775">
        <f t="shared" si="12"/>
        <v>100</v>
      </c>
      <c r="X28" s="1813"/>
      <c r="Y28" s="3155"/>
      <c r="Z28" s="1814" t="str">
        <f t="shared" si="13"/>
        <v>毗邻道路的类型与等级</v>
      </c>
      <c r="AA28" s="1811">
        <f t="shared" si="3"/>
        <v>0.99009900990099009</v>
      </c>
      <c r="AB28" s="1811">
        <f t="shared" si="4"/>
        <v>1</v>
      </c>
      <c r="AC28" s="1811">
        <f t="shared" si="5"/>
        <v>1</v>
      </c>
    </row>
    <row r="29" spans="1:29" ht="15.75" thickBot="1">
      <c r="A29" s="428"/>
      <c r="B29" s="632"/>
      <c r="C29" s="2958" t="s">
        <v>3189</v>
      </c>
      <c r="D29" s="448"/>
      <c r="E29" s="2610" t="s">
        <v>3184</v>
      </c>
      <c r="F29" s="448"/>
      <c r="G29" s="2610" t="s">
        <v>3185</v>
      </c>
      <c r="H29" s="448"/>
      <c r="I29" s="2610" t="s">
        <v>3185</v>
      </c>
      <c r="J29" s="448"/>
      <c r="K29" s="613"/>
      <c r="L29" s="1140"/>
      <c r="M29" s="1131"/>
      <c r="N29" s="1131"/>
      <c r="O29" s="1139"/>
      <c r="P29" s="3155"/>
      <c r="Q29" s="1810"/>
      <c r="R29" s="774"/>
      <c r="S29" s="775"/>
      <c r="T29" s="774"/>
      <c r="U29" s="775"/>
      <c r="V29" s="774"/>
      <c r="W29" s="775"/>
      <c r="X29" s="1813"/>
      <c r="Y29" s="3155"/>
      <c r="Z29" s="1814"/>
      <c r="AA29" s="1811">
        <v>1</v>
      </c>
      <c r="AB29" s="1811">
        <v>1</v>
      </c>
      <c r="AC29" s="1811">
        <v>1</v>
      </c>
    </row>
    <row r="30" spans="1:29" ht="15.75" hidden="1" thickBot="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5"/>
      <c r="Q30" s="1810" t="str">
        <f t="shared" si="8"/>
        <v>土地级别</v>
      </c>
      <c r="R30" s="774" t="s">
        <v>17</v>
      </c>
      <c r="S30" s="775">
        <f t="shared" si="10"/>
        <v>100</v>
      </c>
      <c r="T30" s="774" t="s">
        <v>17</v>
      </c>
      <c r="U30" s="775">
        <f t="shared" si="11"/>
        <v>100</v>
      </c>
      <c r="V30" s="774" t="s">
        <v>17</v>
      </c>
      <c r="W30" s="775">
        <f t="shared" si="12"/>
        <v>100</v>
      </c>
      <c r="X30" s="1813"/>
      <c r="Y30" s="3155"/>
      <c r="Z30" s="1814" t="str">
        <f t="shared" si="13"/>
        <v>土地级别</v>
      </c>
      <c r="AA30" s="1811">
        <f t="shared" si="3"/>
        <v>1</v>
      </c>
      <c r="AB30" s="1811">
        <f t="shared" si="4"/>
        <v>1</v>
      </c>
      <c r="AC30" s="1811">
        <f t="shared" si="5"/>
        <v>1</v>
      </c>
    </row>
    <row r="31" spans="1:29" ht="15.75" hidden="1" thickBot="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5"/>
      <c r="Q31" s="1810">
        <f t="shared" si="8"/>
        <v>111</v>
      </c>
      <c r="R31" s="774" t="s">
        <v>17</v>
      </c>
      <c r="S31" s="775">
        <f t="shared" si="10"/>
        <v>100</v>
      </c>
      <c r="T31" s="774" t="s">
        <v>17</v>
      </c>
      <c r="U31" s="775">
        <f t="shared" si="11"/>
        <v>100</v>
      </c>
      <c r="V31" s="774" t="s">
        <v>17</v>
      </c>
      <c r="W31" s="775">
        <f t="shared" si="12"/>
        <v>100</v>
      </c>
      <c r="X31" s="1813"/>
      <c r="Y31" s="3155"/>
      <c r="Z31" s="1814">
        <f t="shared" si="13"/>
        <v>111</v>
      </c>
      <c r="AA31" s="1811">
        <f t="shared" si="3"/>
        <v>1</v>
      </c>
      <c r="AB31" s="1811">
        <f t="shared" si="4"/>
        <v>1</v>
      </c>
      <c r="AC31" s="1811">
        <f t="shared" si="5"/>
        <v>1</v>
      </c>
    </row>
    <row r="32" spans="1:29" ht="15.75" hidden="1" thickBot="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6" t="s">
        <v>2550</v>
      </c>
      <c r="Q32" s="1810">
        <f t="shared" si="8"/>
        <v>111</v>
      </c>
      <c r="R32" s="774" t="s">
        <v>17</v>
      </c>
      <c r="S32" s="775">
        <f t="shared" si="10"/>
        <v>100</v>
      </c>
      <c r="T32" s="774" t="s">
        <v>17</v>
      </c>
      <c r="U32" s="775">
        <f t="shared" si="11"/>
        <v>100</v>
      </c>
      <c r="V32" s="774" t="s">
        <v>17</v>
      </c>
      <c r="W32" s="775">
        <f t="shared" si="12"/>
        <v>100</v>
      </c>
      <c r="X32" s="1813"/>
      <c r="Y32" s="3157" t="s">
        <v>2550</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7"/>
      <c r="Q33" s="1810">
        <f t="shared" si="8"/>
        <v>111</v>
      </c>
      <c r="R33" s="777" t="s">
        <v>17</v>
      </c>
      <c r="S33" s="778">
        <f t="shared" si="10"/>
        <v>100</v>
      </c>
      <c r="T33" s="777" t="s">
        <v>17</v>
      </c>
      <c r="U33" s="778">
        <f t="shared" si="11"/>
        <v>100</v>
      </c>
      <c r="V33" s="777" t="s">
        <v>17</v>
      </c>
      <c r="W33" s="778">
        <f t="shared" si="12"/>
        <v>100</v>
      </c>
      <c r="X33" s="779"/>
      <c r="Y33" s="3157"/>
      <c r="Z33" s="780">
        <f t="shared" si="13"/>
        <v>111</v>
      </c>
      <c r="AA33" s="1811">
        <f t="shared" si="3"/>
        <v>1</v>
      </c>
      <c r="AB33" s="1811">
        <f t="shared" si="4"/>
        <v>1</v>
      </c>
      <c r="AC33" s="1811">
        <f t="shared" si="5"/>
        <v>1</v>
      </c>
    </row>
    <row r="34" spans="1:29" ht="15">
      <c r="A34" s="440" t="s">
        <v>2548</v>
      </c>
      <c r="B34" s="456" t="s">
        <v>2736</v>
      </c>
      <c r="C34" s="679">
        <f>'数据-汇总表'!D3</f>
        <v>7338.5</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57"/>
      <c r="Q34" s="1810" t="str">
        <f>B34</f>
        <v>宗地面积</v>
      </c>
      <c r="R34" s="774" t="s">
        <v>17</v>
      </c>
      <c r="S34" s="775">
        <f t="shared" si="10"/>
        <v>101</v>
      </c>
      <c r="T34" s="774" t="s">
        <v>17</v>
      </c>
      <c r="U34" s="775">
        <f t="shared" si="11"/>
        <v>101</v>
      </c>
      <c r="V34" s="774" t="s">
        <v>17</v>
      </c>
      <c r="W34" s="775">
        <f t="shared" si="12"/>
        <v>100</v>
      </c>
      <c r="X34" s="1813"/>
      <c r="Y34" s="3157"/>
      <c r="Z34" s="1814" t="str">
        <f t="shared" si="13"/>
        <v>宗地面积</v>
      </c>
      <c r="AA34" s="1811">
        <f t="shared" si="3"/>
        <v>0.99009900990099009</v>
      </c>
      <c r="AB34" s="1811">
        <f t="shared" si="4"/>
        <v>0.99009900990099009</v>
      </c>
      <c r="AC34" s="1811">
        <f t="shared" si="5"/>
        <v>1</v>
      </c>
    </row>
    <row r="35" spans="1:29" ht="15">
      <c r="A35" s="472"/>
      <c r="B35" s="422" t="s">
        <v>2737</v>
      </c>
      <c r="C35" s="2612" t="s">
        <v>3151</v>
      </c>
      <c r="D35" s="435">
        <v>100</v>
      </c>
      <c r="E35" s="2612" t="s">
        <v>3151</v>
      </c>
      <c r="F35" s="435">
        <f>SUMIF(110:110,E35,111:111)-SUMIF(110:110,C35,111:111)+100</f>
        <v>100</v>
      </c>
      <c r="G35" s="2612" t="s">
        <v>3151</v>
      </c>
      <c r="H35" s="435">
        <f>SUMIF(110:110,G35,111:111)-SUMIF(110:110,C35,111:111)+100</f>
        <v>100</v>
      </c>
      <c r="I35" s="2612" t="s">
        <v>3151</v>
      </c>
      <c r="J35" s="435">
        <f>SUMIF(110:110,I35,111:111)-SUMIF(110:110,C35,111:111)+100</f>
        <v>100</v>
      </c>
      <c r="K35" s="612">
        <v>1</v>
      </c>
      <c r="L35" s="1140"/>
      <c r="M35" s="1131"/>
      <c r="N35" s="1131"/>
      <c r="O35" s="1139"/>
      <c r="P35" s="3157"/>
      <c r="Q35" s="1810" t="str">
        <f t="shared" ref="Q35:Q40" si="14">B35</f>
        <v>宗地形状</v>
      </c>
      <c r="R35" s="774" t="s">
        <v>17</v>
      </c>
      <c r="S35" s="775">
        <f t="shared" si="10"/>
        <v>100</v>
      </c>
      <c r="T35" s="774" t="s">
        <v>17</v>
      </c>
      <c r="U35" s="775">
        <f t="shared" si="11"/>
        <v>100</v>
      </c>
      <c r="V35" s="774" t="s">
        <v>17</v>
      </c>
      <c r="W35" s="775">
        <f t="shared" si="12"/>
        <v>100</v>
      </c>
      <c r="X35" s="1813"/>
      <c r="Y35" s="3157"/>
      <c r="Z35" s="1814" t="str">
        <f t="shared" si="13"/>
        <v>宗地形状</v>
      </c>
      <c r="AA35" s="1811">
        <f t="shared" si="3"/>
        <v>1</v>
      </c>
      <c r="AB35" s="1811">
        <f t="shared" si="4"/>
        <v>1</v>
      </c>
      <c r="AC35" s="1811">
        <f t="shared" si="5"/>
        <v>1</v>
      </c>
    </row>
    <row r="36" spans="1:29" s="117" customFormat="1" ht="15">
      <c r="A36" s="473"/>
      <c r="B36" s="422" t="s">
        <v>2739</v>
      </c>
      <c r="C36" s="2701" t="s">
        <v>3153</v>
      </c>
      <c r="D36" s="136">
        <v>100</v>
      </c>
      <c r="E36" s="2701" t="s">
        <v>3153</v>
      </c>
      <c r="F36" s="435">
        <f>SUMIF(112:112,E36,113:113)-SUMIF(112:112,C36,113:113)+100</f>
        <v>100</v>
      </c>
      <c r="G36" s="2701" t="s">
        <v>3153</v>
      </c>
      <c r="H36" s="435">
        <f>SUMIF(112:112,G36,113:113)-SUMIF(112:112,C36,113:113)+100</f>
        <v>100</v>
      </c>
      <c r="I36" s="2701" t="s">
        <v>3153</v>
      </c>
      <c r="J36" s="435">
        <f>SUMIF(112:112,I36,113:113)-SUMIF(112:112,C36,113:113)+100</f>
        <v>100</v>
      </c>
      <c r="K36" s="612">
        <v>1</v>
      </c>
      <c r="L36" s="1132"/>
      <c r="M36" s="1133"/>
      <c r="N36" s="1133"/>
      <c r="O36" s="1134"/>
      <c r="P36" s="3157"/>
      <c r="Q36" s="1810" t="str">
        <f t="shared" si="14"/>
        <v>宗地开发程度</v>
      </c>
      <c r="R36" s="770" t="s">
        <v>17</v>
      </c>
      <c r="S36" s="771">
        <f t="shared" si="10"/>
        <v>100</v>
      </c>
      <c r="T36" s="770" t="s">
        <v>17</v>
      </c>
      <c r="U36" s="771">
        <f t="shared" si="11"/>
        <v>100</v>
      </c>
      <c r="V36" s="770" t="s">
        <v>17</v>
      </c>
      <c r="W36" s="771">
        <f t="shared" si="12"/>
        <v>100</v>
      </c>
      <c r="X36" s="772"/>
      <c r="Y36" s="3157"/>
      <c r="Z36" s="55" t="str">
        <f t="shared" si="13"/>
        <v>宗地开发程度</v>
      </c>
      <c r="AA36" s="773">
        <f t="shared" si="3"/>
        <v>1</v>
      </c>
      <c r="AB36" s="773">
        <f t="shared" si="4"/>
        <v>1</v>
      </c>
      <c r="AC36" s="773">
        <f t="shared" si="5"/>
        <v>1</v>
      </c>
    </row>
    <row r="37" spans="1:29" ht="15.75" thickBot="1">
      <c r="A37" s="472"/>
      <c r="B37" s="422" t="s">
        <v>2740</v>
      </c>
      <c r="C37" s="2612" t="s">
        <v>3155</v>
      </c>
      <c r="D37" s="435">
        <v>100</v>
      </c>
      <c r="E37" s="2612" t="s">
        <v>3155</v>
      </c>
      <c r="F37" s="435">
        <f>SUMIF(114:114,E37,115:115)-SUMIF(114:114,C37,115:115)+100</f>
        <v>100</v>
      </c>
      <c r="G37" s="2612" t="s">
        <v>3155</v>
      </c>
      <c r="H37" s="435">
        <f>SUMIF(114:114,G37,115:115)-SUMIF(114:114,C37,115:115)+100</f>
        <v>100</v>
      </c>
      <c r="I37" s="2612" t="s">
        <v>3155</v>
      </c>
      <c r="J37" s="435">
        <f>SUMIF(114:114,I37,115:115)-SUMIF(114:114,C37,115:115)+100</f>
        <v>100</v>
      </c>
      <c r="K37" s="612">
        <v>1</v>
      </c>
      <c r="L37" s="1140"/>
      <c r="M37" s="1131"/>
      <c r="N37" s="1131"/>
      <c r="O37" s="1139"/>
      <c r="P37" s="3157" t="s">
        <v>2550</v>
      </c>
      <c r="Q37" s="1810" t="str">
        <f t="shared" si="14"/>
        <v>工程地质条件</v>
      </c>
      <c r="R37" s="774" t="s">
        <v>17</v>
      </c>
      <c r="S37" s="775">
        <f t="shared" si="10"/>
        <v>100</v>
      </c>
      <c r="T37" s="774" t="s">
        <v>17</v>
      </c>
      <c r="U37" s="775">
        <f t="shared" si="11"/>
        <v>100</v>
      </c>
      <c r="V37" s="774" t="s">
        <v>17</v>
      </c>
      <c r="W37" s="775">
        <f t="shared" si="12"/>
        <v>100</v>
      </c>
      <c r="X37" s="1813"/>
      <c r="Y37" s="3157" t="s">
        <v>2550</v>
      </c>
      <c r="Z37" s="1814" t="str">
        <f t="shared" si="13"/>
        <v>工程地质条件</v>
      </c>
      <c r="AA37" s="1811">
        <f t="shared" si="3"/>
        <v>1</v>
      </c>
      <c r="AB37" s="1811">
        <f t="shared" si="4"/>
        <v>1</v>
      </c>
      <c r="AC37" s="1811">
        <f t="shared" si="5"/>
        <v>1</v>
      </c>
    </row>
    <row r="38" spans="1:29" ht="15.75" hidden="1" thickBo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7"/>
      <c r="Q38" s="1810">
        <f t="shared" si="14"/>
        <v>111</v>
      </c>
      <c r="R38" s="774" t="s">
        <v>17</v>
      </c>
      <c r="S38" s="775">
        <f t="shared" si="10"/>
        <v>100</v>
      </c>
      <c r="T38" s="774" t="s">
        <v>17</v>
      </c>
      <c r="U38" s="775">
        <f t="shared" si="11"/>
        <v>100</v>
      </c>
      <c r="V38" s="774" t="s">
        <v>17</v>
      </c>
      <c r="W38" s="775">
        <f t="shared" si="12"/>
        <v>100</v>
      </c>
      <c r="X38" s="1813"/>
      <c r="Y38" s="3157"/>
      <c r="Z38" s="1814">
        <f t="shared" si="13"/>
        <v>111</v>
      </c>
      <c r="AA38" s="1811">
        <f t="shared" si="3"/>
        <v>1</v>
      </c>
      <c r="AB38" s="1811">
        <f t="shared" si="4"/>
        <v>1</v>
      </c>
      <c r="AC38" s="1811">
        <f t="shared" si="5"/>
        <v>1</v>
      </c>
    </row>
    <row r="39" spans="1:29" ht="15.75" hidden="1" thickBot="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7"/>
      <c r="Q39" s="1810">
        <f t="shared" si="14"/>
        <v>111</v>
      </c>
      <c r="R39" s="774" t="s">
        <v>17</v>
      </c>
      <c r="S39" s="775">
        <f t="shared" si="10"/>
        <v>100</v>
      </c>
      <c r="T39" s="774" t="s">
        <v>17</v>
      </c>
      <c r="U39" s="775">
        <f t="shared" si="11"/>
        <v>100</v>
      </c>
      <c r="V39" s="774" t="s">
        <v>17</v>
      </c>
      <c r="W39" s="775">
        <f t="shared" si="12"/>
        <v>100</v>
      </c>
      <c r="X39" s="1813"/>
      <c r="Y39" s="3157"/>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7"/>
      <c r="Q40" s="1810">
        <f t="shared" si="14"/>
        <v>111</v>
      </c>
      <c r="R40" s="777" t="s">
        <v>17</v>
      </c>
      <c r="S40" s="778">
        <f t="shared" si="10"/>
        <v>100</v>
      </c>
      <c r="T40" s="777" t="s">
        <v>17</v>
      </c>
      <c r="U40" s="778">
        <f t="shared" si="11"/>
        <v>100</v>
      </c>
      <c r="V40" s="777" t="s">
        <v>17</v>
      </c>
      <c r="W40" s="778">
        <f t="shared" si="12"/>
        <v>100</v>
      </c>
      <c r="X40" s="779"/>
      <c r="Y40" s="3157"/>
      <c r="Z40" s="780">
        <f t="shared" si="13"/>
        <v>111</v>
      </c>
      <c r="AA40" s="1811">
        <f t="shared" si="3"/>
        <v>1</v>
      </c>
      <c r="AB40" s="1811">
        <f t="shared" si="4"/>
        <v>1</v>
      </c>
      <c r="AC40" s="1811">
        <f t="shared" si="5"/>
        <v>1</v>
      </c>
    </row>
    <row r="41" spans="1:29" ht="15">
      <c r="A41" s="479" t="s">
        <v>2705</v>
      </c>
      <c r="B41" s="2703" t="s">
        <v>3159</v>
      </c>
      <c r="C41" s="682" t="s">
        <v>1</v>
      </c>
      <c r="D41" s="481"/>
      <c r="E41" s="482">
        <v>263</v>
      </c>
      <c r="F41" s="483"/>
      <c r="G41" s="484">
        <v>300</v>
      </c>
      <c r="H41" s="485"/>
      <c r="I41" s="482">
        <v>298</v>
      </c>
      <c r="J41" s="485"/>
      <c r="K41" s="783"/>
      <c r="L41" s="1143"/>
      <c r="M41" s="1131"/>
      <c r="N41" s="1131"/>
      <c r="O41" s="1144"/>
      <c r="P41" s="3151" t="str">
        <f>A41</f>
        <v>成交单价</v>
      </c>
      <c r="Q41" s="3151"/>
      <c r="R41" s="3153">
        <f>E41</f>
        <v>263</v>
      </c>
      <c r="S41" s="3153"/>
      <c r="T41" s="3153">
        <f>G41</f>
        <v>300</v>
      </c>
      <c r="U41" s="3153"/>
      <c r="V41" s="3153">
        <f>I41</f>
        <v>298</v>
      </c>
      <c r="W41" s="3153"/>
      <c r="X41" s="759"/>
      <c r="Y41" s="781"/>
      <c r="Z41" s="759"/>
      <c r="AA41" s="759"/>
      <c r="AB41" s="759"/>
      <c r="AC41" s="759"/>
    </row>
    <row r="42" spans="1:29" ht="15.75" thickBot="1">
      <c r="A42" s="486" t="s">
        <v>2654</v>
      </c>
      <c r="B42" s="683"/>
      <c r="C42" s="490">
        <f>R43</f>
        <v>269</v>
      </c>
      <c r="D42" s="489"/>
      <c r="E42" s="490">
        <f>R42</f>
        <v>254</v>
      </c>
      <c r="F42" s="491"/>
      <c r="G42" s="488">
        <f>T42</f>
        <v>294</v>
      </c>
      <c r="H42" s="489"/>
      <c r="I42" s="490">
        <f>V42</f>
        <v>260</v>
      </c>
      <c r="J42" s="489"/>
      <c r="K42" s="784"/>
      <c r="L42" s="1143"/>
      <c r="M42" s="1131"/>
      <c r="N42" s="1131"/>
      <c r="O42" s="1144"/>
      <c r="P42" s="3151" t="str">
        <f>A42</f>
        <v>比较价值（元/平方米）</v>
      </c>
      <c r="Q42" s="3151"/>
      <c r="R42" s="3152">
        <f>ROUND(PRODUCT(R41,AA7:AA40),0)</f>
        <v>254</v>
      </c>
      <c r="S42" s="3152"/>
      <c r="T42" s="3152">
        <f>ROUND(PRODUCT(T41,AB7:AB40),0)</f>
        <v>294</v>
      </c>
      <c r="U42" s="3152"/>
      <c r="V42" s="3152">
        <f>ROUND(PRODUCT(V41,AC7:AC40),0)</f>
        <v>260</v>
      </c>
      <c r="W42" s="3152"/>
      <c r="X42" s="759"/>
      <c r="Y42" s="759"/>
      <c r="Z42" s="759"/>
      <c r="AA42" s="759"/>
      <c r="AB42" s="759"/>
      <c r="AC42" s="759"/>
    </row>
    <row r="43" spans="1:29" ht="15.75" thickBot="1">
      <c r="A43" s="492" t="s">
        <v>2655</v>
      </c>
      <c r="B43" s="493"/>
      <c r="C43" s="494">
        <f>R43</f>
        <v>269</v>
      </c>
      <c r="D43" s="494"/>
      <c r="E43" s="494"/>
      <c r="F43" s="494"/>
      <c r="G43" s="494"/>
      <c r="H43" s="494"/>
      <c r="I43" s="494"/>
      <c r="J43" s="494"/>
      <c r="K43" s="785"/>
      <c r="L43" s="1143"/>
      <c r="M43" s="1131"/>
      <c r="N43" s="1131"/>
      <c r="O43" s="1144"/>
      <c r="P43" s="3148" t="str">
        <f>A43</f>
        <v>估价对象XX用房的比较价值（楼面单价，元/平方米）</v>
      </c>
      <c r="Q43" s="3149"/>
      <c r="R43" s="3150">
        <f>ROUND(AVERAGE(R42:V42),0)</f>
        <v>269</v>
      </c>
      <c r="S43" s="3150"/>
      <c r="T43" s="3150"/>
      <c r="U43" s="3150"/>
      <c r="V43" s="3150"/>
      <c r="W43" s="315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3.5433070866141669E-2</v>
      </c>
      <c r="F46" s="500" t="str">
        <f>IF(OR(E46&gt;=0.3,E46&lt;=-0.3),"超过30%","")</f>
        <v/>
      </c>
      <c r="G46" s="499">
        <f>IF(G41&lt;G42,G42/G41-1,G41/G42-1)</f>
        <v>2.0408163265306145E-2</v>
      </c>
      <c r="H46" s="500" t="str">
        <f>IF(OR(G46&gt;=0.3,G46&lt;=-0.3),"超过30%","")</f>
        <v/>
      </c>
      <c r="I46" s="499">
        <f>IF(I41&lt;I42,I42/I41-1,I41/I42-1)</f>
        <v>0.14615384615384608</v>
      </c>
      <c r="J46" s="500" t="str">
        <f>IF(OR(I46&gt;=0.3,I46&lt;=-0.3),"超过30%","")</f>
        <v/>
      </c>
      <c r="K46" s="1105"/>
      <c r="L46" s="1106"/>
      <c r="M46" s="1131"/>
      <c r="N46" s="1131"/>
      <c r="O46" s="1144"/>
    </row>
    <row r="47" spans="1:29" ht="13.5" customHeight="1">
      <c r="A47" s="1144"/>
      <c r="B47" s="1144"/>
      <c r="C47" s="497" t="s">
        <v>2657</v>
      </c>
      <c r="D47" s="501"/>
      <c r="E47" s="499">
        <f>IF(E42&lt;G42,G42/E42-1,E42/G42-1)</f>
        <v>0.15748031496062986</v>
      </c>
      <c r="F47" s="500" t="str">
        <f>IF(OR(E47&gt;=0.2,E47&lt;=-0.2),"超过20%","")</f>
        <v/>
      </c>
      <c r="G47" s="499">
        <f>IF(G42&lt;I42,I42/G42-1,G42/I42-1)</f>
        <v>0.13076923076923075</v>
      </c>
      <c r="H47" s="500" t="str">
        <f>IF(OR(G47&gt;=0.2,G47&lt;=-0.2),"超过20%","")</f>
        <v/>
      </c>
      <c r="I47" s="499">
        <f>IF(I42&lt;E42,E42/I42-1,I42/E42-1)</f>
        <v>2.3622047244094446E-2</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4" t="s">
        <v>2745</v>
      </c>
      <c r="D50" s="2705" t="s">
        <v>2746</v>
      </c>
      <c r="E50" s="686" t="s">
        <v>2747</v>
      </c>
      <c r="F50" s="687" t="s">
        <v>2748</v>
      </c>
      <c r="G50" s="3161" t="s">
        <v>2749</v>
      </c>
      <c r="H50" s="3175"/>
      <c r="I50" s="1814" t="s">
        <v>2784</v>
      </c>
      <c r="J50" s="1814" t="str">
        <f>项目基本情况!F35</f>
        <v>江苏省镇江市</v>
      </c>
      <c r="K50" s="2707" t="s">
        <v>2751</v>
      </c>
      <c r="L50" s="1106"/>
      <c r="M50" s="1144"/>
      <c r="N50" s="1144"/>
      <c r="O50" s="1144"/>
    </row>
    <row r="51" spans="1:17" s="692" customFormat="1">
      <c r="A51" s="688" t="s">
        <v>2752</v>
      </c>
      <c r="B51" s="689">
        <f>C43</f>
        <v>269</v>
      </c>
      <c r="C51" s="690">
        <v>1</v>
      </c>
      <c r="D51" s="1163">
        <v>1</v>
      </c>
      <c r="E51" s="690">
        <f>'数据-汇总表'!E8+'数据-汇总表'!E9</f>
        <v>18444.57</v>
      </c>
      <c r="F51" s="691">
        <f t="shared" ref="F51:F60" si="15">ROUND(B51*E51/10000,0)</f>
        <v>496</v>
      </c>
      <c r="G51" s="3176"/>
      <c r="H51" s="3151"/>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177"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177"/>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177"/>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177"/>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708"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0</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708" t="s">
        <v>2754</v>
      </c>
      <c r="H59" s="1104">
        <f>项目基本情况!B37</f>
        <v>0</v>
      </c>
      <c r="I59" s="942">
        <f>SUMIF(修正!A45:A56,H59,修正!H45:H56)</f>
        <v>0</v>
      </c>
      <c r="J59" s="943"/>
      <c r="K59" s="1145"/>
      <c r="L59" s="941"/>
      <c r="M59" s="941"/>
      <c r="N59" s="941"/>
      <c r="O59" s="941"/>
    </row>
    <row r="60" spans="1:17" s="692" customFormat="1" ht="15" thickBot="1">
      <c r="A60" s="693" t="s">
        <v>2765</v>
      </c>
      <c r="B60" s="262">
        <f t="shared" si="17"/>
        <v>0</v>
      </c>
      <c r="C60" s="200">
        <f t="shared" si="16"/>
        <v>0</v>
      </c>
      <c r="D60" s="1164">
        <v>0.25</v>
      </c>
      <c r="E60" s="261">
        <f>'数据-汇总表'!E15</f>
        <v>0</v>
      </c>
      <c r="F60" s="691">
        <f t="shared" si="15"/>
        <v>0</v>
      </c>
      <c r="G60" s="2709"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18444.57</v>
      </c>
      <c r="F61" s="697">
        <f>IF(B41="楼面地价",SUM(F51:F60),ROUND(C43*E61/10000,0))</f>
        <v>496</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10" t="s">
        <v>2767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2951" t="s">
        <v>3150</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2"/>
      <c r="O75" s="1152"/>
      <c r="P75" s="45"/>
      <c r="Q75" s="504"/>
    </row>
    <row r="76" spans="1:17" ht="15.75" thickBot="1">
      <c r="A76" s="534"/>
      <c r="B76" s="535"/>
      <c r="C76" s="544">
        <v>100</v>
      </c>
      <c r="D76" s="544">
        <f>IF($B$41="单位面积地价",C76+$K11,C76-$K11)</f>
        <v>96</v>
      </c>
      <c r="E76" s="544">
        <f t="shared" ref="E76:M76" si="21">IF($B$41="单位面积地价",D76+$K11,D76-$K11)</f>
        <v>92</v>
      </c>
      <c r="F76" s="544">
        <f t="shared" si="21"/>
        <v>88</v>
      </c>
      <c r="G76" s="544">
        <f t="shared" si="21"/>
        <v>84</v>
      </c>
      <c r="H76" s="544">
        <f t="shared" si="21"/>
        <v>80</v>
      </c>
      <c r="I76" s="544">
        <f t="shared" si="21"/>
        <v>76</v>
      </c>
      <c r="J76" s="544">
        <f t="shared" si="21"/>
        <v>72</v>
      </c>
      <c r="K76" s="544">
        <f t="shared" si="21"/>
        <v>68</v>
      </c>
      <c r="L76" s="544">
        <f t="shared" si="21"/>
        <v>64</v>
      </c>
      <c r="M76" s="544">
        <f t="shared" si="21"/>
        <v>60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2676</v>
      </c>
      <c r="C97" s="554" t="s">
        <v>3194</v>
      </c>
      <c r="D97" s="2952" t="s">
        <v>3195</v>
      </c>
      <c r="E97" s="2952" t="s">
        <v>3196</v>
      </c>
      <c r="F97" s="2952" t="s">
        <v>3197</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3"/>
      <c r="O109" s="1153"/>
      <c r="P109" s="45"/>
      <c r="Q109" s="504"/>
    </row>
    <row r="110" spans="1:17" ht="15" thickTop="1">
      <c r="A110" s="599"/>
      <c r="B110" s="538" t="s">
        <v>2777</v>
      </c>
      <c r="C110" s="2949" t="s">
        <v>3152</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2779</v>
      </c>
      <c r="C112" s="2952" t="s">
        <v>3154</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2780</v>
      </c>
      <c r="C114" s="2952" t="s">
        <v>3156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L28" zoomScale="80" zoomScaleNormal="80" zoomScaleSheetLayoutView="90" workbookViewId="0">
      <selection activeCell="T59" sqref="T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3201</v>
      </c>
      <c r="D1" s="1820" t="s">
        <v>70</v>
      </c>
      <c r="E1" s="1821" t="s">
        <v>1383</v>
      </c>
      <c r="F1" s="1283">
        <f ca="1">J53</f>
        <v>41.09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11960</v>
      </c>
      <c r="C2" s="1845" t="s">
        <v>1512</v>
      </c>
      <c r="D2" s="1845"/>
      <c r="E2" s="1846"/>
      <c r="F2" s="1847"/>
      <c r="G2" s="1848"/>
      <c r="H2" s="1840"/>
      <c r="I2" s="1840"/>
      <c r="J2" s="1840"/>
      <c r="K2" s="1841"/>
      <c r="L2" s="1840"/>
      <c r="M2" s="1840"/>
    </row>
    <row r="3" spans="1:37" ht="18" customHeight="1" thickBot="1">
      <c r="A3" s="1849" t="s">
        <v>1513</v>
      </c>
      <c r="B3" s="1850">
        <f ca="1">IF(ISERROR(B2*10000/F43),0,ROUND(B2*10000/F43,0))</f>
        <v>6484</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728</v>
      </c>
      <c r="D5" s="1822" t="s">
        <v>1398</v>
      </c>
      <c r="E5" s="1293"/>
      <c r="F5" s="1294"/>
      <c r="G5" s="1851"/>
      <c r="H5" s="344">
        <v>1</v>
      </c>
      <c r="I5" s="345" t="s">
        <v>1397</v>
      </c>
      <c r="J5" s="1292">
        <f ca="1">J6+J10+J12</f>
        <v>0</v>
      </c>
      <c r="K5" s="1822" t="s">
        <v>1398</v>
      </c>
      <c r="L5" s="1293"/>
      <c r="M5" s="1294"/>
    </row>
    <row r="6" spans="1:37" ht="18" customHeight="1">
      <c r="A6" s="1291" t="s">
        <v>1032</v>
      </c>
      <c r="B6" s="3194" t="s">
        <v>1399</v>
      </c>
      <c r="C6" s="1296">
        <f ca="1">ROUND(F6*F8*F7*(1-F9)/10000,0)</f>
        <v>727</v>
      </c>
      <c r="D6" s="164" t="s">
        <v>3016</v>
      </c>
      <c r="E6" s="347" t="s">
        <v>1401</v>
      </c>
      <c r="F6" s="348">
        <f ca="1">INDIRECT("'数据-取费表'!u"&amp;$G$1)</f>
        <v>1.2</v>
      </c>
      <c r="G6" s="1851"/>
      <c r="H6" s="1291" t="s">
        <v>1032</v>
      </c>
      <c r="I6" s="3194" t="s">
        <v>1399</v>
      </c>
      <c r="J6" s="346">
        <f ca="1">ROUND(M6*M8*M7*(1-M9)/10000,0)</f>
        <v>0</v>
      </c>
      <c r="K6" s="164" t="s">
        <v>3015</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18444.57</v>
      </c>
      <c r="G7" s="1851"/>
      <c r="H7" s="349"/>
      <c r="I7" s="3195"/>
      <c r="J7" s="351"/>
      <c r="K7" s="352"/>
      <c r="L7" s="347" t="s">
        <v>1402</v>
      </c>
      <c r="M7" s="348">
        <f ca="1">F7</f>
        <v>18444.57</v>
      </c>
    </row>
    <row r="8" spans="1:37" ht="18" customHeight="1">
      <c r="A8" s="349"/>
      <c r="B8" s="3195"/>
      <c r="C8" s="351"/>
      <c r="D8" s="352"/>
      <c r="E8" s="347" t="s">
        <v>1403</v>
      </c>
      <c r="F8" s="348">
        <f ca="1">INDIRECT("'数据-取费表'!ai"&amp;$G$1)</f>
        <v>365</v>
      </c>
      <c r="G8" s="1851"/>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0.1</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3025</v>
      </c>
      <c r="E10" s="358" t="s">
        <v>1406</v>
      </c>
      <c r="F10" s="1366" t="s">
        <v>3044</v>
      </c>
      <c r="G10" s="1851"/>
      <c r="H10" s="1291" t="s">
        <v>1036</v>
      </c>
      <c r="I10" s="1823" t="s">
        <v>1405</v>
      </c>
      <c r="J10" s="346">
        <f ca="1">ROUND(IF(M10="押一",J6/12*M11,IF(M10="押二",J6/12*2*M11,IF(M10="押三",J6/12*3*M11,J11*M11))),0)</f>
        <v>0</v>
      </c>
      <c r="K10" s="1824" t="s">
        <v>3024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6415</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4611</v>
      </c>
      <c r="D14" s="1800" t="s">
        <v>1414</v>
      </c>
      <c r="E14" s="1794"/>
      <c r="F14" s="364"/>
      <c r="G14" s="1851"/>
      <c r="H14" s="1201" t="s">
        <v>1032</v>
      </c>
      <c r="I14" s="347" t="s">
        <v>1415</v>
      </c>
      <c r="J14" s="24">
        <f ca="1">C29</f>
        <v>7374</v>
      </c>
      <c r="K14" s="15"/>
      <c r="L14" s="979"/>
      <c r="M14" s="980"/>
    </row>
    <row r="15" spans="1:37" s="1858" customFormat="1" ht="18" customHeight="1" thickBot="1">
      <c r="A15" s="1201" t="s">
        <v>1033</v>
      </c>
      <c r="B15" s="347" t="s">
        <v>1416</v>
      </c>
      <c r="C15" s="24">
        <f ca="1">ROUND(C14*F15,0)</f>
        <v>231</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176</v>
      </c>
      <c r="K16" s="1337" t="s">
        <v>1421</v>
      </c>
      <c r="L16" s="1338"/>
      <c r="M16" s="1294"/>
    </row>
    <row r="17" spans="1:37" s="1858" customFormat="1" ht="18" customHeight="1">
      <c r="A17" s="1201" t="s">
        <v>1386</v>
      </c>
      <c r="B17" s="347" t="s">
        <v>1422</v>
      </c>
      <c r="C17" s="24">
        <f ca="1">ROUND(F17*(F43+INDIRECT("'数据-取费表'!S"&amp;$G$1))/10000,0)</f>
        <v>369</v>
      </c>
      <c r="D17" s="347" t="s">
        <v>1423</v>
      </c>
      <c r="E17" s="347" t="s">
        <v>1424</v>
      </c>
      <c r="F17" s="26">
        <f>'数据-取费表'!B35</f>
        <v>200</v>
      </c>
      <c r="G17" s="1854"/>
      <c r="H17" s="1201" t="s">
        <v>1032</v>
      </c>
      <c r="I17" s="347" t="s">
        <v>1425</v>
      </c>
      <c r="J17" s="24">
        <f ca="1">ROUND(IF(项目基本情况!B11="自然人",J5*M17,J18+J19+J20),1)</f>
        <v>64.900000000000006</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5280</v>
      </c>
      <c r="D19" s="140" t="s">
        <v>1432</v>
      </c>
      <c r="E19" s="1818"/>
      <c r="F19" s="26"/>
      <c r="G19" s="1851"/>
      <c r="H19" s="1201" t="s">
        <v>1033</v>
      </c>
      <c r="I19" s="347" t="s">
        <v>1433</v>
      </c>
      <c r="J19" s="24">
        <f ca="1">IF(K19="按租金收入计税",ROUND(J5*M19,2),ROUND(C29*M19*0.7,2))</f>
        <v>61.94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132</v>
      </c>
      <c r="D20" s="369" t="s">
        <v>1436</v>
      </c>
      <c r="E20" s="347" t="s">
        <v>1418</v>
      </c>
      <c r="F20" s="367">
        <f>'数据-取费表'!B37</f>
        <v>2.5000000000000001E-2</v>
      </c>
      <c r="G20" s="1854"/>
      <c r="H20" s="1201" t="s">
        <v>1385</v>
      </c>
      <c r="I20" s="164" t="s">
        <v>1437</v>
      </c>
      <c r="J20" s="25">
        <f ca="1">ROUND(M20*M21/10000,2)</f>
        <v>2.94</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2.5000000000000001E-2</v>
      </c>
      <c r="G21" s="1854"/>
      <c r="H21" s="372"/>
      <c r="I21" s="356"/>
      <c r="J21" s="29"/>
      <c r="K21" s="373"/>
      <c r="L21" s="347" t="s">
        <v>1443</v>
      </c>
      <c r="M21" s="348">
        <f ca="1">INDIRECT("'数据-取费表'!r"&amp;$G$1)</f>
        <v>7338.5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110.6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-176</v>
      </c>
      <c r="K25" s="1345" t="s">
        <v>1460</v>
      </c>
      <c r="L25" s="1346"/>
      <c r="M25" s="1347"/>
    </row>
    <row r="26" spans="1:37">
      <c r="A26" s="1201" t="s">
        <v>1031</v>
      </c>
      <c r="B26" s="347" t="s">
        <v>1461</v>
      </c>
      <c r="C26" s="24">
        <f ca="1">ROUND((C19+C20)*F26,0)</f>
        <v>1082</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7374</v>
      </c>
      <c r="D29" s="1342"/>
      <c r="E29" s="1340"/>
      <c r="F29" s="1343"/>
      <c r="G29" s="1854"/>
      <c r="H29" s="380" t="s">
        <v>1030</v>
      </c>
      <c r="I29" s="381" t="s">
        <v>1475</v>
      </c>
      <c r="J29" s="382">
        <f ca="1">ROUND(J26/(1+F40)^F41,0)</f>
        <v>0</v>
      </c>
      <c r="K29" s="383" t="s">
        <v>1476</v>
      </c>
      <c r="L29" s="384"/>
      <c r="M29" s="385">
        <f ca="1">INDIRECT("'数据-取费表'!k"&amp;$G$1)</f>
        <v>18444.57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257</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129.1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38.83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87.36</v>
      </c>
      <c r="D33" s="1828" t="s">
        <v>3045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2.94</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7338.5</v>
      </c>
      <c r="G35" s="1851"/>
      <c r="H35" s="745"/>
      <c r="I35" s="1860"/>
      <c r="J35" s="1861"/>
      <c r="K35" s="1862"/>
      <c r="L35" s="1859"/>
      <c r="M35" s="1859"/>
    </row>
    <row r="36" spans="1:18" ht="18" customHeight="1">
      <c r="A36" s="1352" t="s">
        <v>1036</v>
      </c>
      <c r="B36" s="347" t="s">
        <v>1445</v>
      </c>
      <c r="C36" s="24">
        <f ca="1">ROUND(C29*F36,1)</f>
        <v>110.6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9.6</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471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11874</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41.09</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6438</v>
      </c>
      <c r="D43" s="383" t="s">
        <v>1484</v>
      </c>
      <c r="E43" s="384" t="s">
        <v>1485</v>
      </c>
      <c r="F43" s="385">
        <f ca="1">INDIRECT("'数据-取费表'!k"&amp;$G$1)</f>
        <v>18444.57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-25679</v>
      </c>
      <c r="D46" s="1872" t="str">
        <f>C2</f>
        <v>万元</v>
      </c>
      <c r="E46" s="1866"/>
      <c r="F46" s="1866"/>
      <c r="I46" s="1873" t="s">
        <v>1517</v>
      </c>
      <c r="J46" s="1874"/>
      <c r="K46" s="1875"/>
      <c r="L46" s="1876">
        <f ca="1">IF(M47="住宅",0,IF(L48&gt;J51,L60,J60))</f>
        <v>86</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3046</v>
      </c>
      <c r="K47" s="1882" t="s">
        <v>1523</v>
      </c>
      <c r="L47" s="1883">
        <f ca="1">INDIRECT("'数据-取费表'!d"&amp;$G$1)</f>
        <v>50</v>
      </c>
      <c r="M47" s="1838" t="str">
        <f>IF(ISNUMBER(FIND("住宅",C1)),"住宅","非住宅")</f>
        <v>非住宅</v>
      </c>
      <c r="O47" s="1884" t="s">
        <v>1037</v>
      </c>
      <c r="P47" s="1885" t="s">
        <v>1524</v>
      </c>
      <c r="Q47" s="1886">
        <f ca="1">C40+J29</f>
        <v>11874</v>
      </c>
      <c r="R47" s="1886" t="s">
        <v>1525</v>
      </c>
    </row>
    <row r="48" spans="1:18" s="1842" customFormat="1" ht="28.5" thickBot="1">
      <c r="A48" s="1360" t="s">
        <v>1132</v>
      </c>
      <c r="B48" s="345" t="s">
        <v>1397</v>
      </c>
      <c r="C48" s="1817">
        <f ca="1">C49+C53+C55</f>
        <v>0</v>
      </c>
      <c r="D48" s="1362"/>
      <c r="E48" s="1363"/>
      <c r="F48" s="1181"/>
      <c r="G48" s="792"/>
      <c r="H48" s="793"/>
      <c r="I48" s="1887" t="s">
        <v>1526</v>
      </c>
      <c r="J48" s="1888" t="s">
        <v>3047</v>
      </c>
      <c r="K48" s="1889" t="s">
        <v>1527</v>
      </c>
      <c r="L48" s="1890">
        <f ca="1">INDIRECT("'数据-取费表'!f"&amp;$G$1)</f>
        <v>41.09</v>
      </c>
      <c r="O48" s="1884" t="s">
        <v>1038</v>
      </c>
      <c r="P48" s="1885" t="s">
        <v>1528</v>
      </c>
      <c r="Q48" s="1886">
        <f ca="1">J60</f>
        <v>86</v>
      </c>
      <c r="R48" s="1886" t="s">
        <v>1529</v>
      </c>
    </row>
    <row r="49" spans="1:18" s="1842" customFormat="1" ht="13.5" thickBot="1">
      <c r="A49" s="1194" t="s">
        <v>1133</v>
      </c>
      <c r="B49" s="1829" t="s">
        <v>1486</v>
      </c>
      <c r="C49" s="1364">
        <f ca="1">ROUND(F49*F51*F50*(1-F52)/10000,0)</f>
        <v>0</v>
      </c>
      <c r="D49" s="1276" t="s">
        <v>3017</v>
      </c>
      <c r="E49" s="1830" t="s">
        <v>1487</v>
      </c>
      <c r="F49" s="1281"/>
      <c r="G49" s="1891"/>
      <c r="H49" s="793"/>
      <c r="I49" s="1887" t="s">
        <v>1530</v>
      </c>
      <c r="J49" s="1892">
        <v>2011</v>
      </c>
      <c r="K49" s="1889" t="s">
        <v>1531</v>
      </c>
      <c r="L49" s="1893"/>
      <c r="O49" s="1894" t="s">
        <v>1039</v>
      </c>
      <c r="P49" s="1885" t="s">
        <v>1532</v>
      </c>
      <c r="Q49" s="1886">
        <f ca="1">C29</f>
        <v>7374</v>
      </c>
      <c r="R49" s="1886" t="s">
        <v>1525</v>
      </c>
    </row>
    <row r="50" spans="1:18" s="1842" customFormat="1" ht="13.5" thickBot="1">
      <c r="A50" s="1195"/>
      <c r="B50" s="1198"/>
      <c r="C50" s="1368"/>
      <c r="D50" s="1172"/>
      <c r="E50" s="1277" t="s">
        <v>1402</v>
      </c>
      <c r="F50" s="1278">
        <f ca="1">F7</f>
        <v>18444.57</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-1486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41.09</v>
      </c>
      <c r="R52" s="1886" t="s">
        <v>1542</v>
      </c>
    </row>
    <row r="53" spans="1:18" s="1842" customFormat="1" ht="24.75" thickBot="1">
      <c r="A53" s="1405" t="s">
        <v>1134</v>
      </c>
      <c r="B53" s="1831" t="s">
        <v>1405</v>
      </c>
      <c r="C53" s="361">
        <f ca="1">ROUND(IF(F53="押一",C49/12*F11,IF(F53="押二",C49/12*2*F11,IF(F53="押三",C49/12*3*F11,C54*F11))),0)</f>
        <v>0</v>
      </c>
      <c r="D53" s="1824" t="s">
        <v>3024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41.09</v>
      </c>
      <c r="K53" s="3192" t="s">
        <v>1544</v>
      </c>
      <c r="L53" s="3193"/>
      <c r="O53" s="1884" t="s">
        <v>1043</v>
      </c>
      <c r="P53" s="1885" t="s">
        <v>1545</v>
      </c>
      <c r="Q53" s="1886">
        <f ca="1">Q47+Q48</f>
        <v>11960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0.182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6415</v>
      </c>
      <c r="D56" s="1914"/>
      <c r="E56" s="1915"/>
      <c r="F56" s="1907"/>
      <c r="I56" s="1916" t="s">
        <v>1550</v>
      </c>
      <c r="J56" s="1917" t="s">
        <v>3173</v>
      </c>
      <c r="K56" s="1887" t="s">
        <v>1551</v>
      </c>
      <c r="L56" s="1890" t="str">
        <f ca="1">IF(L48&lt;J51,"——",L48-J53)</f>
        <v>——</v>
      </c>
      <c r="O56" s="1884" t="s">
        <v>1037</v>
      </c>
      <c r="P56" s="1885" t="s">
        <v>1524</v>
      </c>
      <c r="Q56" s="1886">
        <f ca="1">C40+J29</f>
        <v>11874</v>
      </c>
      <c r="R56" s="1886" t="s">
        <v>1525</v>
      </c>
    </row>
    <row r="57" spans="1:18" s="1842" customFormat="1" ht="24.75" thickBot="1">
      <c r="A57" s="1918"/>
      <c r="B57" s="1169" t="s">
        <v>1474</v>
      </c>
      <c r="C57" s="282">
        <f ca="1">C29</f>
        <v>7374</v>
      </c>
      <c r="D57" s="1919"/>
      <c r="E57" s="1920"/>
      <c r="F57" s="1921"/>
      <c r="I57" s="1922" t="s">
        <v>1552</v>
      </c>
      <c r="J57" s="1923">
        <f ca="1">IF(OR(M47="住宅",J51&lt;L48,J56="是"),"——",J51-L48)</f>
        <v>10.909999999999997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743</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622.4</v>
      </c>
      <c r="D59" s="1182" t="s">
        <v>1426</v>
      </c>
      <c r="E59" s="1183" t="s">
        <v>1427</v>
      </c>
      <c r="F59" s="368" t="str">
        <f ca="1">IF(项目基本情况!B11="企业","",IF(INDIRECT("'数据-取费表'!c"&amp;$G$1)="住宅",5%,IF(F49*F50*F51/12/(1+'数据-取费表'!C42)&gt;20000,12%,7%)))</f>
        <v/>
      </c>
      <c r="I59" s="1922" t="s">
        <v>1559</v>
      </c>
      <c r="J59" s="1923">
        <f ca="1">IF(OR(M47="住宅",J51&lt;L48,J56="是"),"——",ROUND(C29*J58,0))</f>
        <v>2950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86</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619.41999999999996</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2.94</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11874</v>
      </c>
      <c r="R62" s="1886" t="s">
        <v>1044</v>
      </c>
    </row>
    <row r="63" spans="1:18" s="1842" customFormat="1" ht="13.5" thickBot="1">
      <c r="A63" s="372"/>
      <c r="B63" s="1175"/>
      <c r="C63" s="29"/>
      <c r="D63" s="1185"/>
      <c r="E63" s="1169" t="s">
        <v>1495</v>
      </c>
      <c r="F63" s="348">
        <f t="shared" ca="1" si="0"/>
        <v>7338.5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110.6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9.6</v>
      </c>
      <c r="D65" s="1183" t="s">
        <v>1450</v>
      </c>
      <c r="E65" s="1169" t="s">
        <v>1451</v>
      </c>
      <c r="F65" s="376">
        <f t="shared" ca="1" si="0"/>
        <v>1.5E-3</v>
      </c>
      <c r="I65" s="1929" t="s">
        <v>1575</v>
      </c>
      <c r="J65" s="1930">
        <v>40</v>
      </c>
      <c r="K65" s="1930">
        <v>30</v>
      </c>
      <c r="L65" s="1930">
        <v>50</v>
      </c>
      <c r="M65" s="1932">
        <v>0.02</v>
      </c>
      <c r="O65" s="1884" t="s">
        <v>1037</v>
      </c>
      <c r="P65" s="1885" t="s">
        <v>1576</v>
      </c>
      <c r="Q65" s="1886">
        <f ca="1">C40+J29</f>
        <v>11874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-743</v>
      </c>
      <c r="D67" s="1182" t="s">
        <v>1460</v>
      </c>
      <c r="E67" s="1187"/>
      <c r="F67" s="1188"/>
      <c r="O67" s="1894" t="s">
        <v>1039</v>
      </c>
      <c r="P67" s="1885" t="s">
        <v>1558</v>
      </c>
      <c r="Q67" s="1933">
        <f ca="1">L51</f>
        <v>-1486</v>
      </c>
      <c r="R67" s="1886" t="s">
        <v>1578</v>
      </c>
    </row>
    <row r="68" spans="1:18" s="1842" customFormat="1" ht="16.5" thickBot="1">
      <c r="A68" s="1166" t="s">
        <v>1029</v>
      </c>
      <c r="B68" s="1167" t="s">
        <v>1481</v>
      </c>
      <c r="C68" s="346">
        <f ca="1">ROUND(C67*(1-((1+F70)/(1+F68))^F69)/(F68-F70),0)</f>
        <v>-13805</v>
      </c>
      <c r="D68" s="1184" t="s">
        <v>1465</v>
      </c>
      <c r="E68" s="1169" t="s">
        <v>1466</v>
      </c>
      <c r="F68" s="357">
        <f ca="1">F40</f>
        <v>4.4999999999999998E-2</v>
      </c>
      <c r="O68" s="1894" t="s">
        <v>1040</v>
      </c>
      <c r="P68" s="1934" t="s">
        <v>1579</v>
      </c>
      <c r="Q68" s="1886">
        <f ca="1">ROUND(Q69-Q70*Q71,0)</f>
        <v>-74</v>
      </c>
      <c r="R68" s="1886" t="s">
        <v>1048</v>
      </c>
    </row>
    <row r="69" spans="1:18" s="1842" customFormat="1" ht="13.5" thickBot="1">
      <c r="A69" s="1170"/>
      <c r="B69" s="1171"/>
      <c r="C69" s="351"/>
      <c r="D69" s="1189" t="s">
        <v>1469</v>
      </c>
      <c r="E69" s="1169" t="s">
        <v>1470</v>
      </c>
      <c r="F69" s="379">
        <f ca="1">F41</f>
        <v>41.09</v>
      </c>
      <c r="O69" s="1894" t="s">
        <v>1045</v>
      </c>
      <c r="P69" s="1934" t="s">
        <v>1580</v>
      </c>
      <c r="Q69" s="1886">
        <f ca="1">C39</f>
        <v>471</v>
      </c>
      <c r="R69" s="1886" t="s">
        <v>1525</v>
      </c>
    </row>
    <row r="70" spans="1:18" s="1842" customFormat="1" ht="13.5" thickBot="1">
      <c r="A70" s="1173"/>
      <c r="B70" s="1174"/>
      <c r="C70" s="355"/>
      <c r="D70" s="1185"/>
      <c r="E70" s="1169" t="s">
        <v>1473</v>
      </c>
      <c r="F70" s="1275"/>
      <c r="O70" s="1894" t="s">
        <v>1046</v>
      </c>
      <c r="P70" s="1934" t="s">
        <v>1581</v>
      </c>
      <c r="Q70" s="1886">
        <f ca="1">C13</f>
        <v>6415</v>
      </c>
      <c r="R70" s="1886" t="s">
        <v>1525</v>
      </c>
    </row>
    <row r="71" spans="1:18" s="1842" customFormat="1" ht="13.5" thickBot="1">
      <c r="A71" s="1190" t="s">
        <v>1030</v>
      </c>
      <c r="B71" s="1191" t="s">
        <v>1483</v>
      </c>
      <c r="C71" s="382">
        <f ca="1">ROUND(C68*10000/F71,0)</f>
        <v>-7485</v>
      </c>
      <c r="D71" s="1192" t="s">
        <v>1484</v>
      </c>
      <c r="E71" s="1193" t="s">
        <v>1485</v>
      </c>
      <c r="F71" s="385">
        <f ca="1">F43</f>
        <v>18444.57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545</v>
      </c>
      <c r="D75" s="1842"/>
      <c r="E75" s="1842"/>
      <c r="F75" s="1842"/>
      <c r="K75" s="1868"/>
      <c r="L75" s="1842"/>
      <c r="O75" s="1884" t="s">
        <v>1043</v>
      </c>
      <c r="P75" s="1885" t="s">
        <v>1545</v>
      </c>
      <c r="Q75" s="1886">
        <f ca="1">Q65+Q66</f>
        <v>11874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-0.15700000000000003</v>
      </c>
    </row>
    <row r="80" spans="1:18">
      <c r="B80" s="386" t="s">
        <v>1507</v>
      </c>
      <c r="C80" s="318">
        <f ca="1">ROUND(C75/C39,3)</f>
        <v>1.157</v>
      </c>
    </row>
    <row r="81" spans="2:3">
      <c r="B81" s="314" t="s">
        <v>1508</v>
      </c>
      <c r="C81" s="282"/>
    </row>
    <row r="82" spans="2:3">
      <c r="B82" s="317" t="s">
        <v>1509</v>
      </c>
      <c r="C82" s="319">
        <f ca="1">1-C83</f>
        <v>0.45999999999999996</v>
      </c>
    </row>
    <row r="83" spans="2:3">
      <c r="B83" s="317" t="s">
        <v>1510</v>
      </c>
      <c r="C83" s="318">
        <f ca="1">ROUND(C13/C40,3)</f>
        <v>0.54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4" t="s">
        <v>1399</v>
      </c>
      <c r="C6" s="1296">
        <f ca="1">ROUND(F6*F8*F7*(1-F9),0)</f>
        <v>0</v>
      </c>
      <c r="D6" s="164" t="s">
        <v>3013</v>
      </c>
      <c r="E6" s="347" t="s">
        <v>1401</v>
      </c>
      <c r="F6" s="348">
        <f ca="1">INDIRECT("'数据-取费表'!u"&amp;$G$1)</f>
        <v>0</v>
      </c>
      <c r="G6" s="1851"/>
      <c r="H6" s="1291" t="s">
        <v>1032</v>
      </c>
      <c r="I6" s="3194" t="s">
        <v>1399</v>
      </c>
      <c r="J6" s="346">
        <f ca="1">ROUND(M6*M8*M7*(1-M9),0)</f>
        <v>0</v>
      </c>
      <c r="K6" s="1834" t="s">
        <v>3014</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0</v>
      </c>
      <c r="G7" s="1851"/>
      <c r="H7" s="349"/>
      <c r="I7" s="3195"/>
      <c r="J7" s="351"/>
      <c r="K7" s="352"/>
      <c r="L7" s="347" t="s">
        <v>1402</v>
      </c>
      <c r="M7" s="348">
        <f ca="1">F7</f>
        <v>0</v>
      </c>
    </row>
    <row r="8" spans="1:37" ht="18" customHeight="1">
      <c r="A8" s="349"/>
      <c r="B8" s="3195"/>
      <c r="C8" s="351"/>
      <c r="D8" s="352"/>
      <c r="E8" s="347" t="s">
        <v>1403</v>
      </c>
      <c r="F8" s="348">
        <f ca="1">INDIRECT("'数据-取费表'!ai"&amp;$G$1)</f>
        <v>0</v>
      </c>
      <c r="G8" s="1851"/>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3024</v>
      </c>
      <c r="E10" s="358" t="s">
        <v>1406</v>
      </c>
      <c r="F10" s="1366"/>
      <c r="G10" s="1851"/>
      <c r="H10" s="1291" t="s">
        <v>1036</v>
      </c>
      <c r="I10" s="1823" t="s">
        <v>1405</v>
      </c>
      <c r="J10" s="346">
        <f ca="1">ROUND(IF(M10="押一",J6/12*M11,IF(M10="押二",J6/12*2*M11,IF(M10="押三",J6/12*3*M11,J11*M11))),0)</f>
        <v>0</v>
      </c>
      <c r="K10" s="1835" t="s">
        <v>3026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2.5000000000000001E-2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3027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2" t="s">
        <v>1544</v>
      </c>
      <c r="L53" s="319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2511</v>
      </c>
      <c r="B1" s="2561"/>
      <c r="C1" s="2561"/>
      <c r="D1" s="2561"/>
      <c r="E1" s="2562"/>
    </row>
    <row r="2" spans="1:6" ht="15.75">
      <c r="A2" s="2563" t="s">
        <v>2312</v>
      </c>
      <c r="B2" s="2564">
        <f ca="1">SUMIF(B6:B13,"&lt;&gt;#ref!",B6:B13)</f>
        <v>11960</v>
      </c>
      <c r="C2" s="2565" t="s">
        <v>2504</v>
      </c>
      <c r="D2" s="2566" t="s">
        <v>2505</v>
      </c>
      <c r="E2" s="2567">
        <f>SUM(E6:E13)</f>
        <v>18444.57</v>
      </c>
    </row>
    <row r="3" spans="1:6" ht="15.75">
      <c r="A3" s="2563" t="s">
        <v>1391</v>
      </c>
      <c r="B3" s="2564">
        <f ca="1">ROUND(B2*10000/E2,0)</f>
        <v>6484</v>
      </c>
      <c r="C3" s="2565" t="s">
        <v>2512</v>
      </c>
      <c r="D3" s="2568"/>
      <c r="E3" s="2569"/>
    </row>
    <row r="4" spans="1:6" ht="15.75">
      <c r="A4" s="2570"/>
      <c r="B4" s="2568"/>
      <c r="C4" s="2568"/>
      <c r="D4" s="2568"/>
      <c r="E4" s="2569"/>
    </row>
    <row r="5" spans="1:6" ht="15">
      <c r="A5" s="2571" t="s">
        <v>2506</v>
      </c>
      <c r="B5" s="3197" t="s">
        <v>2507</v>
      </c>
      <c r="C5" s="3197"/>
      <c r="D5" s="2572"/>
      <c r="E5" s="2573" t="s">
        <v>2508</v>
      </c>
      <c r="F5" s="2574" t="s">
        <v>2509</v>
      </c>
    </row>
    <row r="6" spans="1:6">
      <c r="A6" s="2575" t="str">
        <f>'数据-取费表'!AN6</f>
        <v>收益法</v>
      </c>
      <c r="B6" s="2574">
        <f ca="1">IF(F6="是",'数据-取费表'!AO6,0)</f>
        <v>11960</v>
      </c>
      <c r="C6" s="2565" t="s">
        <v>2504</v>
      </c>
      <c r="D6" s="2568"/>
      <c r="E6" s="2576">
        <f>IF(OR(A6=0,F6="否"),0,'数据-取费表'!K6+'数据-取费表'!S6)</f>
        <v>18444.57</v>
      </c>
      <c r="F6" s="2577" t="s">
        <v>2510</v>
      </c>
    </row>
    <row r="7" spans="1:6">
      <c r="A7" s="2575">
        <f>'数据-取费表'!AN7</f>
        <v>0</v>
      </c>
      <c r="B7" s="2574" t="e">
        <f ca="1">IF(F7="是",'数据-取费表'!AO7,0)</f>
        <v>#REF!</v>
      </c>
      <c r="C7" s="2565" t="s">
        <v>2504</v>
      </c>
      <c r="D7" s="2568"/>
      <c r="E7" s="2576">
        <f>IF(OR(A7=0,F7="否"),0,'数据-取费表'!K7+'数据-取费表'!S7)</f>
        <v>0</v>
      </c>
      <c r="F7" s="2577" t="s">
        <v>2510</v>
      </c>
    </row>
    <row r="8" spans="1:6">
      <c r="A8" s="2575">
        <f>'数据-取费表'!AN8</f>
        <v>0</v>
      </c>
      <c r="B8" s="2574" t="e">
        <f ca="1">IF(F8="是",'数据-取费表'!AO8,0)</f>
        <v>#REF!</v>
      </c>
      <c r="C8" s="2565" t="s">
        <v>2504</v>
      </c>
      <c r="D8" s="2568"/>
      <c r="E8" s="2576">
        <f>IF(OR(A8=0,F8="否"),0,'数据-取费表'!K8+'数据-取费表'!S8)</f>
        <v>0</v>
      </c>
      <c r="F8" s="2577" t="s">
        <v>2510</v>
      </c>
    </row>
    <row r="9" spans="1:6">
      <c r="A9" s="2575">
        <f>'数据-取费表'!AN9</f>
        <v>0</v>
      </c>
      <c r="B9" s="2574" t="e">
        <f ca="1">IF(F9="是",'数据-取费表'!AO9,0)</f>
        <v>#REF!</v>
      </c>
      <c r="C9" s="2565" t="s">
        <v>2504</v>
      </c>
      <c r="D9" s="2568"/>
      <c r="E9" s="2576">
        <f>IF(OR(A9=0,F9="否"),0,'数据-取费表'!K9+'数据-取费表'!S9)</f>
        <v>0</v>
      </c>
      <c r="F9" s="2577" t="s">
        <v>2510</v>
      </c>
    </row>
    <row r="10" spans="1:6">
      <c r="A10" s="2575">
        <f>'数据-取费表'!AN10</f>
        <v>0</v>
      </c>
      <c r="B10" s="2574" t="e">
        <f ca="1">IF(F10="是",'数据-取费表'!AO10,0)</f>
        <v>#REF!</v>
      </c>
      <c r="C10" s="2565" t="s">
        <v>2504</v>
      </c>
      <c r="D10" s="2568"/>
      <c r="E10" s="2576">
        <f>IF(OR(A10=0,F10="否"),0,'数据-取费表'!K10+'数据-取费表'!S10)</f>
        <v>0</v>
      </c>
      <c r="F10" s="2577" t="s">
        <v>2510</v>
      </c>
    </row>
    <row r="11" spans="1:6">
      <c r="A11" s="2575">
        <f>'数据-取费表'!AN11</f>
        <v>0</v>
      </c>
      <c r="B11" s="2574" t="e">
        <f ca="1">IF(F11="是",'数据-取费表'!AO11,0)</f>
        <v>#REF!</v>
      </c>
      <c r="C11" s="2565" t="s">
        <v>2504</v>
      </c>
      <c r="D11" s="2568"/>
      <c r="E11" s="2576">
        <f>IF(OR(A11=0,F11="否"),0,'数据-取费表'!K11+'数据-取费表'!S11)</f>
        <v>0</v>
      </c>
      <c r="F11" s="2577" t="s">
        <v>2510</v>
      </c>
    </row>
    <row r="12" spans="1:6">
      <c r="A12" s="2575">
        <f>'数据-取费表'!AN12</f>
        <v>0</v>
      </c>
      <c r="B12" s="2574" t="e">
        <f ca="1">IF(F12="是",'数据-取费表'!AO12,0)</f>
        <v>#REF!</v>
      </c>
      <c r="C12" s="2565" t="s">
        <v>2504</v>
      </c>
      <c r="D12" s="2568"/>
      <c r="E12" s="2576">
        <f>IF(OR(A12=0,F12="否"),0,'数据-取费表'!K12+'数据-取费表'!S12)</f>
        <v>0</v>
      </c>
      <c r="F12" s="2577" t="s">
        <v>2510</v>
      </c>
    </row>
    <row r="13" spans="1:6" ht="15" thickBot="1">
      <c r="A13" s="2578">
        <f>'数据-取费表'!AN13</f>
        <v>0</v>
      </c>
      <c r="B13" s="2574" t="e">
        <f ca="1">IF(F13="是",'数据-取费表'!AO13,0)</f>
        <v>#REF!</v>
      </c>
      <c r="C13" s="2579" t="s">
        <v>2504</v>
      </c>
      <c r="D13" s="2580"/>
      <c r="E13" s="2576">
        <f>IF(OR(A13=0,F13="否"),0,'数据-取费表'!K13+'数据-取费表'!S13)</f>
        <v>0</v>
      </c>
      <c r="F13" s="257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203" t="s">
        <v>1074</v>
      </c>
      <c r="B2" s="3204" t="s">
        <v>1075</v>
      </c>
      <c r="C2" s="3204"/>
      <c r="D2" s="1301" t="s">
        <v>1076</v>
      </c>
      <c r="E2" s="1301" t="s">
        <v>1077</v>
      </c>
      <c r="F2" s="1301" t="s">
        <v>1078</v>
      </c>
      <c r="G2" s="1301" t="s">
        <v>1079</v>
      </c>
      <c r="H2" s="1301" t="s">
        <v>1080</v>
      </c>
      <c r="I2" s="1302" t="s">
        <v>1081</v>
      </c>
    </row>
    <row r="3" spans="1:9">
      <c r="A3" s="3203"/>
      <c r="B3" s="3204" t="s">
        <v>1082</v>
      </c>
      <c r="C3" s="3204"/>
      <c r="D3" s="1303"/>
      <c r="E3" s="1301"/>
      <c r="F3" s="1304"/>
      <c r="G3" s="1304"/>
      <c r="H3" s="1305"/>
      <c r="I3" s="1306">
        <f>ROUND(D3*E3*F3*G3*H3/10000,0)</f>
        <v>0</v>
      </c>
    </row>
    <row r="4" spans="1:9">
      <c r="A4" s="3203"/>
      <c r="B4" s="3204" t="s">
        <v>1083</v>
      </c>
      <c r="C4" s="3204"/>
      <c r="D4" s="1303"/>
      <c r="E4" s="1301"/>
      <c r="F4" s="1304"/>
      <c r="G4" s="1304"/>
      <c r="H4" s="1305"/>
      <c r="I4" s="1306">
        <f t="shared" ref="I4:I9" si="0">ROUND(D4*E4*F4*G4*H4/10000,0)</f>
        <v>0</v>
      </c>
    </row>
    <row r="5" spans="1:9">
      <c r="A5" s="3203"/>
      <c r="B5" s="3204" t="s">
        <v>1084</v>
      </c>
      <c r="C5" s="3204"/>
      <c r="D5" s="1303"/>
      <c r="E5" s="1301"/>
      <c r="F5" s="1304"/>
      <c r="G5" s="1304"/>
      <c r="H5" s="1305"/>
      <c r="I5" s="1306">
        <f t="shared" si="0"/>
        <v>0</v>
      </c>
    </row>
    <row r="6" spans="1:9">
      <c r="A6" s="3203"/>
      <c r="B6" s="3204" t="s">
        <v>1085</v>
      </c>
      <c r="C6" s="3204"/>
      <c r="D6" s="1303"/>
      <c r="E6" s="1301"/>
      <c r="F6" s="1304"/>
      <c r="G6" s="1304"/>
      <c r="H6" s="1305"/>
      <c r="I6" s="1306">
        <f t="shared" si="0"/>
        <v>0</v>
      </c>
    </row>
    <row r="7" spans="1:9">
      <c r="A7" s="3203"/>
      <c r="B7" s="3204" t="s">
        <v>1086</v>
      </c>
      <c r="C7" s="3204"/>
      <c r="D7" s="1303"/>
      <c r="E7" s="1301"/>
      <c r="F7" s="1304"/>
      <c r="G7" s="1304"/>
      <c r="H7" s="1305"/>
      <c r="I7" s="1306">
        <f t="shared" si="0"/>
        <v>0</v>
      </c>
    </row>
    <row r="8" spans="1:9">
      <c r="A8" s="3203"/>
      <c r="B8" s="3204" t="s">
        <v>1087</v>
      </c>
      <c r="C8" s="3204"/>
      <c r="D8" s="1303"/>
      <c r="E8" s="1301"/>
      <c r="F8" s="1304"/>
      <c r="G8" s="1304"/>
      <c r="H8" s="1305"/>
      <c r="I8" s="1306">
        <f t="shared" si="0"/>
        <v>0</v>
      </c>
    </row>
    <row r="9" spans="1:9">
      <c r="A9" s="3203"/>
      <c r="B9" s="3204" t="s">
        <v>1088</v>
      </c>
      <c r="C9" s="3204"/>
      <c r="D9" s="1303"/>
      <c r="E9" s="1301"/>
      <c r="F9" s="1304"/>
      <c r="G9" s="1304"/>
      <c r="H9" s="1305"/>
      <c r="I9" s="1306">
        <f t="shared" si="0"/>
        <v>0</v>
      </c>
    </row>
    <row r="10" spans="1:9">
      <c r="A10" s="3203"/>
      <c r="B10" s="3205" t="s">
        <v>1089</v>
      </c>
      <c r="C10" s="3205"/>
      <c r="D10" s="1307"/>
      <c r="E10" s="1307" t="e">
        <f>ROUND(D1*10000/D10/H9,0)</f>
        <v>#DIV/0!</v>
      </c>
      <c r="F10" s="1308"/>
      <c r="G10" s="1308"/>
      <c r="H10" s="1309"/>
      <c r="I10" s="1310">
        <f>SUM(I3:I9)</f>
        <v>0</v>
      </c>
    </row>
    <row r="11" spans="1:9" ht="14.25">
      <c r="A11" s="3203" t="s">
        <v>1090</v>
      </c>
      <c r="B11" s="3204" t="s">
        <v>1091</v>
      </c>
      <c r="C11" s="3204"/>
      <c r="D11" s="1303" t="s">
        <v>1092</v>
      </c>
      <c r="E11" s="1303" t="s">
        <v>1093</v>
      </c>
      <c r="F11" s="1304" t="s">
        <v>1094</v>
      </c>
      <c r="G11" s="1304" t="s">
        <v>1080</v>
      </c>
      <c r="H11" s="1311" t="s">
        <v>1095</v>
      </c>
      <c r="I11" s="1302" t="s">
        <v>1081</v>
      </c>
    </row>
    <row r="12" spans="1:9">
      <c r="A12" s="3203"/>
      <c r="B12" s="3204" t="s">
        <v>1096</v>
      </c>
      <c r="C12" s="3204"/>
      <c r="D12" s="1303"/>
      <c r="E12" s="1303"/>
      <c r="F12" s="1304"/>
      <c r="G12" s="1305"/>
      <c r="H12" s="1312"/>
      <c r="I12" s="1302">
        <f>ROUND(D12*E12*F12*G12/10000,0)</f>
        <v>0</v>
      </c>
    </row>
    <row r="13" spans="1:9">
      <c r="A13" s="3203"/>
      <c r="B13" s="3204" t="s">
        <v>1097</v>
      </c>
      <c r="C13" s="3204"/>
      <c r="D13" s="1303"/>
      <c r="E13" s="1303"/>
      <c r="F13" s="1304"/>
      <c r="G13" s="1305"/>
      <c r="H13" s="1312"/>
      <c r="I13" s="1302">
        <f>ROUND(D13*E13*F13*G13/10000,0)</f>
        <v>0</v>
      </c>
    </row>
    <row r="14" spans="1:9">
      <c r="A14" s="3203"/>
      <c r="B14" s="3204" t="s">
        <v>1098</v>
      </c>
      <c r="C14" s="3204"/>
      <c r="D14" s="1303"/>
      <c r="E14" s="1303"/>
      <c r="F14" s="1304"/>
      <c r="G14" s="1305"/>
      <c r="H14" s="1312"/>
      <c r="I14" s="1302">
        <f>ROUND(D14*E14*F14*G14/10000,0)</f>
        <v>0</v>
      </c>
    </row>
    <row r="15" spans="1:9">
      <c r="A15" s="3203"/>
      <c r="B15" s="3205" t="s">
        <v>1089</v>
      </c>
      <c r="C15" s="3205"/>
      <c r="D15" s="1307"/>
      <c r="E15" s="1307">
        <f>SUM(E12:E14)</f>
        <v>0</v>
      </c>
      <c r="F15" s="1308"/>
      <c r="G15" s="1305"/>
      <c r="H15" s="1312"/>
      <c r="I15" s="1313">
        <f>SUM(I12:I14)</f>
        <v>0</v>
      </c>
    </row>
    <row r="16" spans="1:9" ht="24">
      <c r="A16" s="3203" t="s">
        <v>1099</v>
      </c>
      <c r="B16" s="3204" t="s">
        <v>1100</v>
      </c>
      <c r="C16" s="3204"/>
      <c r="D16" s="1303" t="s">
        <v>1076</v>
      </c>
      <c r="E16" s="1314" t="s">
        <v>1101</v>
      </c>
      <c r="F16" s="1304" t="s">
        <v>1102</v>
      </c>
      <c r="G16" s="1305" t="s">
        <v>1080</v>
      </c>
      <c r="H16" s="1311" t="s">
        <v>1095</v>
      </c>
      <c r="I16" s="1302" t="s">
        <v>1081</v>
      </c>
    </row>
    <row r="17" spans="1:9" ht="14.25">
      <c r="A17" s="3203"/>
      <c r="B17" s="3204" t="s">
        <v>1103</v>
      </c>
      <c r="C17" s="3204"/>
      <c r="D17" s="1303"/>
      <c r="E17" s="1303"/>
      <c r="F17" s="1304"/>
      <c r="G17" s="1305"/>
      <c r="H17" s="1315"/>
      <c r="I17" s="1316">
        <f>ROUND(D17*E17*F17*G17/10000,0)</f>
        <v>0</v>
      </c>
    </row>
    <row r="18" spans="1:9" ht="14.25">
      <c r="A18" s="3203"/>
      <c r="B18" s="3204" t="s">
        <v>1104</v>
      </c>
      <c r="C18" s="3204"/>
      <c r="D18" s="1303"/>
      <c r="E18" s="1303"/>
      <c r="F18" s="1304"/>
      <c r="G18" s="1305"/>
      <c r="H18" s="1315"/>
      <c r="I18" s="1316">
        <f>ROUND(D18*E18*F18*G18/10000,0)</f>
        <v>0</v>
      </c>
    </row>
    <row r="19" spans="1:9" ht="14.25">
      <c r="A19" s="3203"/>
      <c r="B19" s="3204" t="s">
        <v>1105</v>
      </c>
      <c r="C19" s="3204"/>
      <c r="D19" s="1303"/>
      <c r="E19" s="1303"/>
      <c r="F19" s="1304"/>
      <c r="G19" s="1305"/>
      <c r="H19" s="1315"/>
      <c r="I19" s="1316">
        <f>ROUND(D19*E19*F19*G19/10000,0)</f>
        <v>0</v>
      </c>
    </row>
    <row r="20" spans="1:9">
      <c r="A20" s="3203"/>
      <c r="B20" s="3205" t="s">
        <v>1089</v>
      </c>
      <c r="C20" s="3205"/>
      <c r="D20" s="1307">
        <f>SUM(D17:D19)</f>
        <v>0</v>
      </c>
      <c r="E20" s="1307"/>
      <c r="F20" s="1308"/>
      <c r="G20" s="1305"/>
      <c r="H20" s="1312"/>
      <c r="I20" s="1313">
        <f>SUM(I17:I19)</f>
        <v>0</v>
      </c>
    </row>
    <row r="21" spans="1:9">
      <c r="A21" s="3203"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14">
        <f>C27-C30-C31-C32</f>
        <v>0</v>
      </c>
      <c r="F26" s="3214"/>
      <c r="G26" s="3214"/>
      <c r="H26" s="1737" t="s">
        <v>1336</v>
      </c>
    </row>
    <row r="27" spans="1:9">
      <c r="A27" s="1324">
        <v>1</v>
      </c>
      <c r="B27" s="1325" t="s">
        <v>1115</v>
      </c>
      <c r="C27" s="1325">
        <f>C28+C29</f>
        <v>0</v>
      </c>
      <c r="D27" s="1325"/>
      <c r="E27" s="3215"/>
      <c r="F27" s="3215"/>
      <c r="G27" s="3215"/>
    </row>
    <row r="28" spans="1:9">
      <c r="A28" s="1326" t="s">
        <v>1116</v>
      </c>
      <c r="B28" s="1325" t="s">
        <v>1117</v>
      </c>
      <c r="C28" s="1325"/>
      <c r="D28" s="1325"/>
      <c r="E28" s="3215"/>
      <c r="F28" s="3215"/>
      <c r="G28" s="321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6"/>
      <c r="F32" s="3206"/>
      <c r="G32" s="3206"/>
    </row>
    <row r="33" spans="1:7" hidden="1">
      <c r="A33" s="3216" t="s">
        <v>1126</v>
      </c>
      <c r="B33" s="3217"/>
      <c r="C33" s="3217"/>
      <c r="D33" s="3218"/>
      <c r="E33" s="3214"/>
      <c r="F33" s="3214"/>
      <c r="G33" s="3214"/>
    </row>
    <row r="34" spans="1:7" hidden="1">
      <c r="A34" s="1328">
        <v>1</v>
      </c>
      <c r="B34" s="1325" t="s">
        <v>1127</v>
      </c>
      <c r="C34" s="1325"/>
      <c r="D34" s="1325"/>
      <c r="E34" s="3215"/>
      <c r="F34" s="3215"/>
      <c r="G34" s="3215"/>
    </row>
    <row r="35" spans="1:7" hidden="1">
      <c r="A35" s="1328">
        <v>2</v>
      </c>
      <c r="B35" s="1325" t="s">
        <v>1128</v>
      </c>
      <c r="C35" s="1325"/>
      <c r="D35" s="1325"/>
      <c r="E35" s="3215"/>
      <c r="F35" s="3215"/>
      <c r="G35" s="3215"/>
    </row>
    <row r="36" spans="1:7" hidden="1">
      <c r="A36" s="1328">
        <v>3</v>
      </c>
      <c r="B36" s="1325" t="s">
        <v>1129</v>
      </c>
      <c r="C36" s="1325"/>
      <c r="D36" s="1325"/>
      <c r="E36" s="3215"/>
      <c r="F36" s="3215"/>
      <c r="G36" s="3215"/>
    </row>
    <row r="37" spans="1:7" hidden="1">
      <c r="A37" s="1328">
        <v>4</v>
      </c>
      <c r="B37" s="1325" t="s">
        <v>1130</v>
      </c>
      <c r="C37" s="1325"/>
      <c r="D37" s="1325"/>
      <c r="E37" s="3215"/>
      <c r="F37" s="3215"/>
      <c r="G37" s="3215"/>
    </row>
    <row r="38" spans="1:7" hidden="1">
      <c r="A38" s="3216" t="s">
        <v>1131</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2514</v>
      </c>
      <c r="C1" s="1634" t="s">
        <v>2515</v>
      </c>
      <c r="D1" s="1621"/>
      <c r="E1" s="2582"/>
      <c r="F1" s="2583" t="s">
        <v>2516</v>
      </c>
      <c r="G1" s="1631" t="s">
        <v>2517</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2518</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2519</v>
      </c>
      <c r="D3" s="399">
        <f>IF(D1="",'数据-汇总表'!E3,SUMIF('数据-汇总表'!$C19:$C33,D1,'数据-汇总表'!$E19:$E33))</f>
        <v>18444.57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2520</v>
      </c>
      <c r="B4" s="402"/>
      <c r="C4" s="3161" t="s">
        <v>2521</v>
      </c>
      <c r="D4" s="3162"/>
      <c r="E4" s="3163" t="s">
        <v>2522</v>
      </c>
      <c r="F4" s="3164"/>
      <c r="G4" s="3161" t="s">
        <v>2523</v>
      </c>
      <c r="H4" s="3162"/>
      <c r="I4" s="3161" t="s">
        <v>2524</v>
      </c>
      <c r="J4" s="3162"/>
      <c r="K4" s="2595" t="s">
        <v>2525</v>
      </c>
      <c r="L4" s="1130"/>
      <c r="M4" s="1131"/>
      <c r="N4" s="1131"/>
      <c r="O4" s="1131"/>
      <c r="P4" s="3165" t="s">
        <v>2526</v>
      </c>
      <c r="Q4" s="3166"/>
      <c r="R4" s="3178" t="s">
        <v>2522</v>
      </c>
      <c r="S4" s="3179"/>
      <c r="T4" s="3178" t="s">
        <v>2523</v>
      </c>
      <c r="U4" s="3179"/>
      <c r="V4" s="3153" t="s">
        <v>2524</v>
      </c>
      <c r="W4" s="3153"/>
      <c r="X4" s="1813"/>
      <c r="Y4" s="3178" t="s">
        <v>2526</v>
      </c>
      <c r="Z4" s="3179"/>
      <c r="AA4" s="3158" t="s">
        <v>2522</v>
      </c>
      <c r="AB4" s="3158" t="s">
        <v>2523</v>
      </c>
      <c r="AC4" s="3158" t="s">
        <v>2524</v>
      </c>
    </row>
    <row r="5" spans="1:29" ht="15">
      <c r="A5" s="404"/>
      <c r="B5" s="405"/>
      <c r="C5" s="3220" t="s">
        <v>2527</v>
      </c>
      <c r="D5" s="3183"/>
      <c r="E5" s="3219" t="s">
        <v>2528</v>
      </c>
      <c r="F5" s="3172"/>
      <c r="G5" s="3220" t="s">
        <v>2529</v>
      </c>
      <c r="H5" s="3183"/>
      <c r="I5" s="3220" t="s">
        <v>2530</v>
      </c>
      <c r="J5" s="3183"/>
      <c r="K5" s="2596"/>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2596"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3" t="s">
        <v>2534</v>
      </c>
      <c r="Q7" s="3187"/>
      <c r="R7" s="770" t="s">
        <v>23</v>
      </c>
      <c r="S7" s="771">
        <f t="shared" ref="S7:S15" si="0">F7</f>
        <v>0</v>
      </c>
      <c r="T7" s="770" t="s">
        <v>23</v>
      </c>
      <c r="U7" s="771">
        <f t="shared" ref="U7:U15" si="1">H7</f>
        <v>0</v>
      </c>
      <c r="V7" s="770" t="s">
        <v>23</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2536</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3" t="s">
        <v>2537</v>
      </c>
      <c r="Q8" s="3174"/>
      <c r="R8" s="770" t="s">
        <v>23</v>
      </c>
      <c r="S8" s="771">
        <f t="shared" si="0"/>
        <v>0</v>
      </c>
      <c r="T8" s="770" t="s">
        <v>23</v>
      </c>
      <c r="U8" s="771">
        <f t="shared" si="1"/>
        <v>0</v>
      </c>
      <c r="V8" s="770" t="s">
        <v>23</v>
      </c>
      <c r="W8" s="771">
        <f t="shared" si="2"/>
        <v>0</v>
      </c>
      <c r="X8" s="772"/>
      <c r="Y8" s="3173" t="s">
        <v>2537</v>
      </c>
      <c r="Z8" s="3174"/>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76"/>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76"/>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76"/>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2544</v>
      </c>
      <c r="B15" s="69" t="s">
        <v>2078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1" t="s">
        <v>2545</v>
      </c>
      <c r="Q15" s="1810" t="str">
        <f t="shared" si="6"/>
        <v>居住社区成熟度</v>
      </c>
      <c r="R15" s="774" t="s">
        <v>21</v>
      </c>
      <c r="S15" s="775">
        <f t="shared" si="0"/>
        <v>100</v>
      </c>
      <c r="T15" s="774" t="s">
        <v>21</v>
      </c>
      <c r="U15" s="775">
        <f t="shared" si="1"/>
        <v>100</v>
      </c>
      <c r="V15" s="774" t="s">
        <v>21</v>
      </c>
      <c r="W15" s="775">
        <f t="shared" si="2"/>
        <v>100</v>
      </c>
      <c r="X15" s="1813"/>
      <c r="Y15" s="3154" t="s">
        <v>2545</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2"/>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2"/>
      <c r="Q17" s="1810" t="str">
        <f>B17</f>
        <v>交通便捷度</v>
      </c>
      <c r="R17" s="774" t="s">
        <v>21</v>
      </c>
      <c r="S17" s="775">
        <f>F17</f>
        <v>100</v>
      </c>
      <c r="T17" s="774" t="s">
        <v>21</v>
      </c>
      <c r="U17" s="775">
        <f>H17</f>
        <v>100</v>
      </c>
      <c r="V17" s="774" t="s">
        <v>21</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2"/>
      <c r="Q18" s="1810"/>
      <c r="R18" s="774"/>
      <c r="S18" s="775"/>
      <c r="T18" s="774"/>
      <c r="U18" s="775"/>
      <c r="V18" s="774"/>
      <c r="W18" s="775"/>
      <c r="X18" s="1813"/>
      <c r="Y18" s="3155"/>
      <c r="Z18" s="1814"/>
      <c r="AA18" s="1811">
        <v>1</v>
      </c>
      <c r="AB18" s="1811">
        <v>1</v>
      </c>
      <c r="AC18" s="1811">
        <v>1</v>
      </c>
    </row>
    <row r="19" spans="1:29" ht="15">
      <c r="A19" s="428"/>
      <c r="B19" s="451" t="s">
        <v>2083</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2"/>
      <c r="Q19" s="1810" t="str">
        <f>B19</f>
        <v>公共配套设施</v>
      </c>
      <c r="R19" s="774" t="s">
        <v>21</v>
      </c>
      <c r="S19" s="775">
        <f>F19</f>
        <v>100</v>
      </c>
      <c r="T19" s="774" t="s">
        <v>21</v>
      </c>
      <c r="U19" s="775">
        <f>H19</f>
        <v>100</v>
      </c>
      <c r="V19" s="774" t="s">
        <v>21</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2"/>
      <c r="Q20" s="1810"/>
      <c r="R20" s="774"/>
      <c r="S20" s="775"/>
      <c r="T20" s="774"/>
      <c r="U20" s="775"/>
      <c r="V20" s="774"/>
      <c r="W20" s="775"/>
      <c r="X20" s="1813"/>
      <c r="Y20" s="3155"/>
      <c r="Z20" s="1814"/>
      <c r="AA20" s="1811">
        <v>1</v>
      </c>
      <c r="AB20" s="1811">
        <v>1</v>
      </c>
      <c r="AC20" s="1811">
        <v>1</v>
      </c>
    </row>
    <row r="21" spans="1:29" ht="15">
      <c r="A21" s="428"/>
      <c r="B21" s="1384" t="s">
        <v>2085</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2"/>
      <c r="Q22" s="1810"/>
      <c r="R22" s="774"/>
      <c r="S22" s="775"/>
      <c r="T22" s="774"/>
      <c r="U22" s="775"/>
      <c r="V22" s="774"/>
      <c r="W22" s="775"/>
      <c r="X22" s="1813"/>
      <c r="Y22" s="3155"/>
      <c r="Z22" s="1814"/>
      <c r="AA22" s="1811">
        <v>1</v>
      </c>
      <c r="AB22" s="1811">
        <v>1</v>
      </c>
      <c r="AC22" s="1811">
        <v>1</v>
      </c>
    </row>
    <row r="23" spans="1:29" ht="15">
      <c r="A23" s="428"/>
      <c r="B23" s="451" t="s">
        <v>2087</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2"/>
      <c r="Q23" s="1810" t="str">
        <f>B23</f>
        <v>自然及人文环境</v>
      </c>
      <c r="R23" s="774" t="s">
        <v>21</v>
      </c>
      <c r="S23" s="775">
        <f>F23</f>
        <v>100</v>
      </c>
      <c r="T23" s="774" t="s">
        <v>21</v>
      </c>
      <c r="U23" s="775">
        <f>H23</f>
        <v>100</v>
      </c>
      <c r="V23" s="774" t="s">
        <v>21</v>
      </c>
      <c r="W23" s="775">
        <f>J23</f>
        <v>100</v>
      </c>
      <c r="X23" s="1813"/>
      <c r="Y23" s="315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2"/>
      <c r="Q24" s="1810"/>
      <c r="R24" s="774"/>
      <c r="S24" s="775"/>
      <c r="T24" s="774"/>
      <c r="U24" s="775"/>
      <c r="V24" s="774"/>
      <c r="W24" s="775"/>
      <c r="X24" s="1813"/>
      <c r="Y24" s="3155"/>
      <c r="Z24" s="1814"/>
      <c r="AA24" s="1811">
        <v>1</v>
      </c>
      <c r="AB24" s="1811">
        <v>1</v>
      </c>
      <c r="AC24" s="1811">
        <v>1</v>
      </c>
    </row>
    <row r="25" spans="1:29" ht="15">
      <c r="A25" s="428"/>
      <c r="B25" s="422" t="s">
        <v>2546</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5"/>
      <c r="Z25" s="1814" t="str">
        <f>Q25</f>
        <v>楼层-1</v>
      </c>
      <c r="AA25" s="1811">
        <f t="shared" ref="AA25:AA46" si="15">D25/F25</f>
        <v>1</v>
      </c>
      <c r="AB25" s="1811">
        <f t="shared" ref="AB25:AB46" si="16">D25/H25</f>
        <v>1</v>
      </c>
      <c r="AC25" s="1811">
        <f t="shared" ref="AC25:AC46" si="17">D25/J25</f>
        <v>1</v>
      </c>
    </row>
    <row r="26" spans="1:29" ht="15">
      <c r="A26" s="428"/>
      <c r="B26" s="422" t="s">
        <v>2547</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2"/>
      <c r="Q26" s="1810" t="str">
        <f t="shared" si="11"/>
        <v>朝向</v>
      </c>
      <c r="R26" s="774" t="s">
        <v>21</v>
      </c>
      <c r="S26" s="775">
        <f t="shared" si="12"/>
        <v>100</v>
      </c>
      <c r="T26" s="774" t="s">
        <v>21</v>
      </c>
      <c r="U26" s="775">
        <f t="shared" si="13"/>
        <v>100</v>
      </c>
      <c r="V26" s="774" t="s">
        <v>21</v>
      </c>
      <c r="W26" s="775">
        <f t="shared" si="14"/>
        <v>100</v>
      </c>
      <c r="X26" s="1813"/>
      <c r="Y26" s="315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2"/>
      <c r="Q27" s="1795">
        <f t="shared" si="11"/>
        <v>111</v>
      </c>
      <c r="R27" s="770" t="s">
        <v>21</v>
      </c>
      <c r="S27" s="771">
        <f t="shared" si="12"/>
        <v>100</v>
      </c>
      <c r="T27" s="770" t="s">
        <v>21</v>
      </c>
      <c r="U27" s="771">
        <f t="shared" si="13"/>
        <v>100</v>
      </c>
      <c r="V27" s="770" t="s">
        <v>21</v>
      </c>
      <c r="W27" s="771">
        <f t="shared" si="14"/>
        <v>100</v>
      </c>
      <c r="X27" s="772"/>
      <c r="Y27" s="315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2"/>
      <c r="Q28" s="1810">
        <f t="shared" si="11"/>
        <v>111</v>
      </c>
      <c r="R28" s="774" t="s">
        <v>21</v>
      </c>
      <c r="S28" s="775">
        <f t="shared" si="12"/>
        <v>100</v>
      </c>
      <c r="T28" s="774" t="s">
        <v>21</v>
      </c>
      <c r="U28" s="775">
        <f t="shared" si="13"/>
        <v>100</v>
      </c>
      <c r="V28" s="774" t="s">
        <v>21</v>
      </c>
      <c r="W28" s="775">
        <f t="shared" si="14"/>
        <v>100</v>
      </c>
      <c r="X28" s="1813"/>
      <c r="Y28" s="315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2"/>
      <c r="Q29" s="1810">
        <f t="shared" si="11"/>
        <v>111</v>
      </c>
      <c r="R29" s="774" t="s">
        <v>21</v>
      </c>
      <c r="S29" s="775">
        <f t="shared" si="12"/>
        <v>100</v>
      </c>
      <c r="T29" s="774" t="s">
        <v>21</v>
      </c>
      <c r="U29" s="775">
        <f t="shared" si="13"/>
        <v>100</v>
      </c>
      <c r="V29" s="774" t="s">
        <v>21</v>
      </c>
      <c r="W29" s="775">
        <f t="shared" si="14"/>
        <v>100</v>
      </c>
      <c r="X29" s="1813"/>
      <c r="Y29" s="315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2"/>
      <c r="Q30" s="1810">
        <f t="shared" si="11"/>
        <v>111</v>
      </c>
      <c r="R30" s="774" t="s">
        <v>21</v>
      </c>
      <c r="S30" s="775">
        <f t="shared" si="12"/>
        <v>100</v>
      </c>
      <c r="T30" s="774" t="s">
        <v>21</v>
      </c>
      <c r="U30" s="775">
        <f t="shared" si="13"/>
        <v>100</v>
      </c>
      <c r="V30" s="774" t="s">
        <v>21</v>
      </c>
      <c r="W30" s="775">
        <f t="shared" si="14"/>
        <v>100</v>
      </c>
      <c r="X30" s="1813"/>
      <c r="Y30" s="315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2"/>
      <c r="Q31" s="1810">
        <f t="shared" si="11"/>
        <v>111</v>
      </c>
      <c r="R31" s="774" t="s">
        <v>21</v>
      </c>
      <c r="S31" s="775">
        <f t="shared" si="12"/>
        <v>100</v>
      </c>
      <c r="T31" s="774" t="s">
        <v>21</v>
      </c>
      <c r="U31" s="775">
        <f t="shared" si="13"/>
        <v>100</v>
      </c>
      <c r="V31" s="774" t="s">
        <v>21</v>
      </c>
      <c r="W31" s="775">
        <f t="shared" si="14"/>
        <v>100</v>
      </c>
      <c r="X31" s="1813"/>
      <c r="Y31" s="3155"/>
      <c r="Z31" s="1814">
        <f t="shared" si="18"/>
        <v>111</v>
      </c>
      <c r="AA31" s="1811">
        <f t="shared" si="15"/>
        <v>1</v>
      </c>
      <c r="AB31" s="1811">
        <f t="shared" si="16"/>
        <v>1</v>
      </c>
      <c r="AC31" s="1811">
        <f t="shared" si="17"/>
        <v>1</v>
      </c>
    </row>
    <row r="32" spans="1:29" ht="15">
      <c r="A32" s="440" t="s">
        <v>2548</v>
      </c>
      <c r="B32" s="71" t="s">
        <v>2549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7" t="s">
        <v>2550</v>
      </c>
      <c r="Q32" s="1810" t="str">
        <f t="shared" si="11"/>
        <v>建筑类型</v>
      </c>
      <c r="R32" s="774" t="s">
        <v>21</v>
      </c>
      <c r="S32" s="775">
        <f t="shared" si="12"/>
        <v>100</v>
      </c>
      <c r="T32" s="774" t="s">
        <v>21</v>
      </c>
      <c r="U32" s="775">
        <f t="shared" si="13"/>
        <v>100</v>
      </c>
      <c r="V32" s="774" t="s">
        <v>21</v>
      </c>
      <c r="W32" s="775">
        <f t="shared" si="14"/>
        <v>100</v>
      </c>
      <c r="X32" s="1813"/>
      <c r="Y32" s="3157" t="s">
        <v>2550</v>
      </c>
      <c r="Z32" s="1814" t="str">
        <f t="shared" si="18"/>
        <v>建筑类型</v>
      </c>
      <c r="AA32" s="1811">
        <f t="shared" si="15"/>
        <v>1</v>
      </c>
      <c r="AB32" s="1811">
        <f t="shared" si="16"/>
        <v>1</v>
      </c>
      <c r="AC32" s="1811">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157"/>
      <c r="Z33" s="780" t="str">
        <f t="shared" si="18"/>
        <v>项目建筑规模</v>
      </c>
      <c r="AA33" s="1811" t="e">
        <f t="shared" si="15"/>
        <v>#N/A</v>
      </c>
      <c r="AB33" s="1811" t="e">
        <f t="shared" si="16"/>
        <v>#N/A</v>
      </c>
      <c r="AC33" s="1811" t="e">
        <f t="shared" si="17"/>
        <v>#N/A</v>
      </c>
    </row>
    <row r="34" spans="1:29" ht="15">
      <c r="A34" s="472"/>
      <c r="B34" s="422" t="s">
        <v>2552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8"/>
      <c r="Q34" s="1810" t="str">
        <f t="shared" si="11"/>
        <v>建筑结构</v>
      </c>
      <c r="R34" s="774" t="s">
        <v>21</v>
      </c>
      <c r="S34" s="775">
        <f t="shared" si="12"/>
        <v>100</v>
      </c>
      <c r="T34" s="774" t="s">
        <v>21</v>
      </c>
      <c r="U34" s="775">
        <f t="shared" si="13"/>
        <v>100</v>
      </c>
      <c r="V34" s="774" t="s">
        <v>21</v>
      </c>
      <c r="W34" s="775">
        <f t="shared" si="14"/>
        <v>100</v>
      </c>
      <c r="X34" s="1813"/>
      <c r="Y34" s="3157"/>
      <c r="Z34" s="1814" t="str">
        <f t="shared" si="18"/>
        <v>建筑结构</v>
      </c>
      <c r="AA34" s="1811">
        <f t="shared" si="15"/>
        <v>1</v>
      </c>
      <c r="AB34" s="1811">
        <f t="shared" si="16"/>
        <v>1</v>
      </c>
      <c r="AC34" s="1811">
        <f t="shared" si="17"/>
        <v>1</v>
      </c>
    </row>
    <row r="35" spans="1:29" ht="15">
      <c r="A35" s="472"/>
      <c r="B35" s="422" t="s">
        <v>2553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8"/>
      <c r="Q35" s="1810" t="str">
        <f t="shared" si="11"/>
        <v>建筑品质</v>
      </c>
      <c r="R35" s="774" t="s">
        <v>21</v>
      </c>
      <c r="S35" s="775">
        <f t="shared" si="12"/>
        <v>100</v>
      </c>
      <c r="T35" s="774" t="s">
        <v>21</v>
      </c>
      <c r="U35" s="775">
        <f t="shared" si="13"/>
        <v>100</v>
      </c>
      <c r="V35" s="774" t="s">
        <v>21</v>
      </c>
      <c r="W35" s="775">
        <f t="shared" si="14"/>
        <v>100</v>
      </c>
      <c r="X35" s="1813"/>
      <c r="Y35" s="3157"/>
      <c r="Z35" s="1814" t="str">
        <f t="shared" si="18"/>
        <v>建筑品质</v>
      </c>
      <c r="AA35" s="1811">
        <f t="shared" si="15"/>
        <v>1</v>
      </c>
      <c r="AB35" s="1811">
        <f t="shared" si="16"/>
        <v>1</v>
      </c>
      <c r="AC35" s="1811">
        <f t="shared" si="17"/>
        <v>1</v>
      </c>
    </row>
    <row r="36" spans="1:29" ht="15">
      <c r="A36" s="472"/>
      <c r="B36" s="422" t="s">
        <v>2554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8"/>
      <c r="Q36" s="1810" t="str">
        <f t="shared" si="11"/>
        <v>公共部分装修</v>
      </c>
      <c r="R36" s="774" t="s">
        <v>21</v>
      </c>
      <c r="S36" s="775">
        <f t="shared" si="12"/>
        <v>100</v>
      </c>
      <c r="T36" s="774" t="s">
        <v>21</v>
      </c>
      <c r="U36" s="775">
        <f t="shared" si="13"/>
        <v>100</v>
      </c>
      <c r="V36" s="774" t="s">
        <v>21</v>
      </c>
      <c r="W36" s="775">
        <f t="shared" si="14"/>
        <v>100</v>
      </c>
      <c r="X36" s="1813"/>
      <c r="Y36" s="3157"/>
      <c r="Z36" s="1814" t="str">
        <f t="shared" si="18"/>
        <v>公共部分装修</v>
      </c>
      <c r="AA36" s="1811">
        <f t="shared" si="15"/>
        <v>1</v>
      </c>
      <c r="AB36" s="1811">
        <f t="shared" si="16"/>
        <v>1</v>
      </c>
      <c r="AC36" s="1811">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5" t="str">
        <f t="shared" si="11"/>
        <v>成新度</v>
      </c>
      <c r="R37" s="770" t="s">
        <v>21</v>
      </c>
      <c r="S37" s="771" t="e">
        <f t="shared" si="12"/>
        <v>#N/A</v>
      </c>
      <c r="T37" s="770" t="s">
        <v>21</v>
      </c>
      <c r="U37" s="771" t="e">
        <f t="shared" si="13"/>
        <v>#N/A</v>
      </c>
      <c r="V37" s="770" t="s">
        <v>21</v>
      </c>
      <c r="W37" s="771" t="e">
        <f t="shared" si="14"/>
        <v>#N/A</v>
      </c>
      <c r="X37" s="772"/>
      <c r="Y37" s="3157"/>
      <c r="Z37" s="55" t="str">
        <f t="shared" si="18"/>
        <v>成新度</v>
      </c>
      <c r="AA37" s="773" t="e">
        <f t="shared" si="15"/>
        <v>#N/A</v>
      </c>
      <c r="AB37" s="773" t="e">
        <f t="shared" si="16"/>
        <v>#N/A</v>
      </c>
      <c r="AC37" s="773" t="e">
        <f t="shared" si="17"/>
        <v>#N/A</v>
      </c>
    </row>
    <row r="38" spans="1:29" ht="15">
      <c r="A38" s="472"/>
      <c r="B38" s="422" t="s">
        <v>2556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8" t="s">
        <v>2550</v>
      </c>
      <c r="Q38" s="1810" t="str">
        <f t="shared" si="11"/>
        <v>物业管理</v>
      </c>
      <c r="R38" s="774" t="s">
        <v>21</v>
      </c>
      <c r="S38" s="775">
        <f t="shared" si="12"/>
        <v>100</v>
      </c>
      <c r="T38" s="774" t="s">
        <v>21</v>
      </c>
      <c r="U38" s="775">
        <f t="shared" si="13"/>
        <v>100</v>
      </c>
      <c r="V38" s="774" t="s">
        <v>21</v>
      </c>
      <c r="W38" s="775">
        <f t="shared" si="14"/>
        <v>100</v>
      </c>
      <c r="X38" s="1813"/>
      <c r="Y38" s="3157" t="s">
        <v>2550</v>
      </c>
      <c r="Z38" s="1814" t="str">
        <f t="shared" si="18"/>
        <v>物业管理</v>
      </c>
      <c r="AA38" s="1811">
        <f t="shared" si="15"/>
        <v>1</v>
      </c>
      <c r="AB38" s="1811">
        <f t="shared" si="16"/>
        <v>1</v>
      </c>
      <c r="AC38" s="1811">
        <f t="shared" si="17"/>
        <v>1</v>
      </c>
    </row>
    <row r="39" spans="1:29" ht="15">
      <c r="A39" s="472"/>
      <c r="B39" s="422" t="s">
        <v>2557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8"/>
      <c r="Q39" s="1810" t="str">
        <f t="shared" si="11"/>
        <v>市政基础设施</v>
      </c>
      <c r="R39" s="774" t="s">
        <v>21</v>
      </c>
      <c r="S39" s="775">
        <f t="shared" si="12"/>
        <v>100</v>
      </c>
      <c r="T39" s="774" t="s">
        <v>21</v>
      </c>
      <c r="U39" s="775">
        <f t="shared" si="13"/>
        <v>100</v>
      </c>
      <c r="V39" s="774" t="s">
        <v>21</v>
      </c>
      <c r="W39" s="775">
        <f t="shared" si="14"/>
        <v>100</v>
      </c>
      <c r="X39" s="1813"/>
      <c r="Y39" s="3157"/>
      <c r="Z39" s="1814" t="str">
        <f t="shared" si="18"/>
        <v>市政基础设施</v>
      </c>
      <c r="AA39" s="1811">
        <f t="shared" si="15"/>
        <v>1</v>
      </c>
      <c r="AB39" s="1811">
        <f t="shared" si="16"/>
        <v>1</v>
      </c>
      <c r="AC39" s="1811">
        <f t="shared" si="17"/>
        <v>1</v>
      </c>
    </row>
    <row r="40" spans="1:29" ht="15">
      <c r="A40" s="472"/>
      <c r="B40" s="422" t="s">
        <v>2558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8"/>
      <c r="Q40" s="1810" t="str">
        <f t="shared" si="11"/>
        <v>房型</v>
      </c>
      <c r="R40" s="774" t="s">
        <v>21</v>
      </c>
      <c r="S40" s="775">
        <f t="shared" si="12"/>
        <v>100</v>
      </c>
      <c r="T40" s="774" t="s">
        <v>21</v>
      </c>
      <c r="U40" s="775">
        <f t="shared" si="13"/>
        <v>100</v>
      </c>
      <c r="V40" s="774" t="s">
        <v>21</v>
      </c>
      <c r="W40" s="775">
        <f t="shared" si="14"/>
        <v>100</v>
      </c>
      <c r="X40" s="1813"/>
      <c r="Y40" s="3157"/>
      <c r="Z40" s="1814" t="str">
        <f t="shared" si="18"/>
        <v>房型</v>
      </c>
      <c r="AA40" s="1811">
        <f t="shared" si="15"/>
        <v>1</v>
      </c>
      <c r="AB40" s="1811">
        <f t="shared" si="16"/>
        <v>1</v>
      </c>
      <c r="AC40" s="1811">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157"/>
      <c r="Z41" s="780" t="str">
        <f t="shared" si="18"/>
        <v>单套/主力户型建筑面积</v>
      </c>
      <c r="AA41" s="1811">
        <f t="shared" si="15"/>
        <v>1</v>
      </c>
      <c r="AB41" s="1811">
        <f t="shared" si="16"/>
        <v>1</v>
      </c>
      <c r="AC41" s="1811">
        <f t="shared" si="17"/>
        <v>1</v>
      </c>
    </row>
    <row r="42" spans="1:29" ht="15">
      <c r="A42" s="472"/>
      <c r="B42" s="422" t="s">
        <v>2560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8"/>
      <c r="Q42" s="1810" t="str">
        <f t="shared" si="11"/>
        <v>内部装修</v>
      </c>
      <c r="R42" s="774" t="s">
        <v>21</v>
      </c>
      <c r="S42" s="775">
        <f t="shared" si="12"/>
        <v>100</v>
      </c>
      <c r="T42" s="774" t="s">
        <v>21</v>
      </c>
      <c r="U42" s="775">
        <f t="shared" si="13"/>
        <v>100</v>
      </c>
      <c r="V42" s="774" t="s">
        <v>21</v>
      </c>
      <c r="W42" s="775">
        <f t="shared" si="14"/>
        <v>100</v>
      </c>
      <c r="X42" s="1813"/>
      <c r="Y42" s="3157"/>
      <c r="Z42" s="1814" t="str">
        <f t="shared" si="18"/>
        <v>内部装修</v>
      </c>
      <c r="AA42" s="1811">
        <f t="shared" si="15"/>
        <v>1</v>
      </c>
      <c r="AB42" s="1811">
        <f t="shared" si="16"/>
        <v>1</v>
      </c>
      <c r="AC42" s="1811">
        <f t="shared" si="17"/>
        <v>1</v>
      </c>
    </row>
    <row r="43" spans="1:29" ht="15">
      <c r="A43" s="472"/>
      <c r="B43" s="422" t="s">
        <v>2561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8"/>
      <c r="Q43" s="1810" t="str">
        <f t="shared" si="11"/>
        <v>内部装修维护情况</v>
      </c>
      <c r="R43" s="774" t="s">
        <v>21</v>
      </c>
      <c r="S43" s="775">
        <f t="shared" si="12"/>
        <v>100</v>
      </c>
      <c r="T43" s="774" t="s">
        <v>21</v>
      </c>
      <c r="U43" s="775">
        <f t="shared" si="13"/>
        <v>100</v>
      </c>
      <c r="V43" s="774" t="s">
        <v>21</v>
      </c>
      <c r="W43" s="775">
        <f t="shared" si="14"/>
        <v>100</v>
      </c>
      <c r="X43" s="1813"/>
      <c r="Y43" s="315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8"/>
      <c r="Q44" s="1795">
        <f t="shared" si="11"/>
        <v>111</v>
      </c>
      <c r="R44" s="770" t="s">
        <v>21</v>
      </c>
      <c r="S44" s="771">
        <f t="shared" si="12"/>
        <v>100</v>
      </c>
      <c r="T44" s="770" t="s">
        <v>21</v>
      </c>
      <c r="U44" s="771">
        <f t="shared" si="13"/>
        <v>100</v>
      </c>
      <c r="V44" s="770" t="s">
        <v>21</v>
      </c>
      <c r="W44" s="771">
        <f t="shared" si="14"/>
        <v>100</v>
      </c>
      <c r="X44" s="772"/>
      <c r="Y44" s="315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8"/>
      <c r="Q45" s="1810">
        <f t="shared" si="11"/>
        <v>111</v>
      </c>
      <c r="R45" s="774" t="s">
        <v>21</v>
      </c>
      <c r="S45" s="775">
        <f t="shared" si="12"/>
        <v>100</v>
      </c>
      <c r="T45" s="774" t="s">
        <v>21</v>
      </c>
      <c r="U45" s="775">
        <f t="shared" si="13"/>
        <v>100</v>
      </c>
      <c r="V45" s="774" t="s">
        <v>21</v>
      </c>
      <c r="W45" s="775">
        <f t="shared" si="14"/>
        <v>100</v>
      </c>
      <c r="X45" s="1813"/>
      <c r="Y45" s="3157"/>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9"/>
      <c r="Q46" s="1810">
        <f t="shared" si="11"/>
        <v>111</v>
      </c>
      <c r="R46" s="774" t="s">
        <v>20</v>
      </c>
      <c r="S46" s="775">
        <f t="shared" si="12"/>
        <v>100</v>
      </c>
      <c r="T46" s="774" t="s">
        <v>20</v>
      </c>
      <c r="U46" s="775">
        <f t="shared" si="13"/>
        <v>100</v>
      </c>
      <c r="V46" s="774" t="s">
        <v>20</v>
      </c>
      <c r="W46" s="775">
        <f t="shared" si="14"/>
        <v>100</v>
      </c>
      <c r="X46" s="1813"/>
      <c r="Y46" s="3230"/>
      <c r="Z46" s="1814">
        <f t="shared" si="18"/>
        <v>111</v>
      </c>
      <c r="AA46" s="1811">
        <f t="shared" si="15"/>
        <v>1</v>
      </c>
      <c r="AB46" s="1811">
        <f t="shared" si="16"/>
        <v>1</v>
      </c>
      <c r="AC46" s="1811">
        <f t="shared" si="17"/>
        <v>1</v>
      </c>
    </row>
    <row r="47" spans="1:29" ht="15">
      <c r="A47" s="479" t="s">
        <v>2562</v>
      </c>
      <c r="B47" s="480"/>
      <c r="C47" s="1407" t="s">
        <v>19</v>
      </c>
      <c r="D47" s="1408"/>
      <c r="E47" s="1409"/>
      <c r="F47" s="1410"/>
      <c r="G47" s="1411"/>
      <c r="H47" s="1412"/>
      <c r="I47" s="1409"/>
      <c r="J47" s="1412"/>
      <c r="K47" s="2620"/>
      <c r="L47" s="1143"/>
      <c r="M47" s="1144"/>
      <c r="N47" s="1131"/>
      <c r="O47" s="1144"/>
      <c r="P47" s="3151" t="str">
        <f>A47</f>
        <v>成交单价（元/平方米）</v>
      </c>
      <c r="Q47" s="3151"/>
      <c r="R47" s="3226">
        <f>E47</f>
        <v>0</v>
      </c>
      <c r="S47" s="3226"/>
      <c r="T47" s="3226">
        <f>G47</f>
        <v>0</v>
      </c>
      <c r="U47" s="3226"/>
      <c r="V47" s="3226">
        <f>I47</f>
        <v>0</v>
      </c>
      <c r="W47" s="3226"/>
      <c r="X47" s="759"/>
      <c r="Y47" s="781"/>
      <c r="Z47" s="759"/>
      <c r="AA47" s="759"/>
      <c r="AB47" s="759"/>
      <c r="AC47" s="759"/>
    </row>
    <row r="48" spans="1:29" ht="15.75" thickBot="1">
      <c r="A48" s="486" t="s">
        <v>2563</v>
      </c>
      <c r="B48" s="487"/>
      <c r="C48" s="1413" t="e">
        <f>R49</f>
        <v>#DIV/0!</v>
      </c>
      <c r="D48" s="1414"/>
      <c r="E48" s="1415" t="e">
        <f>R48</f>
        <v>#DIV/0!</v>
      </c>
      <c r="F48" s="1415"/>
      <c r="G48" s="1413" t="e">
        <f>T48</f>
        <v>#DIV/0!</v>
      </c>
      <c r="H48" s="1414"/>
      <c r="I48" s="1415" t="e">
        <f>V48</f>
        <v>#DIV/0!</v>
      </c>
      <c r="J48" s="1414"/>
      <c r="K48" s="2621"/>
      <c r="L48" s="1143"/>
      <c r="M48" s="1144"/>
      <c r="N48" s="1144"/>
      <c r="O48" s="1144"/>
      <c r="P48" s="3151" t="str">
        <f>A48</f>
        <v>比较价值（元/平方米）</v>
      </c>
      <c r="Q48" s="315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2564</v>
      </c>
      <c r="B49" s="493"/>
      <c r="C49" s="1416" t="e">
        <f>R49</f>
        <v>#DIV/0!</v>
      </c>
      <c r="D49" s="1417"/>
      <c r="E49" s="1417"/>
      <c r="F49" s="1417"/>
      <c r="G49" s="1417"/>
      <c r="H49" s="1417"/>
      <c r="I49" s="1417"/>
      <c r="J49" s="1417"/>
      <c r="K49" s="2622"/>
      <c r="L49" s="1143"/>
      <c r="M49" s="1144"/>
      <c r="N49" s="1144"/>
      <c r="O49" s="1144"/>
      <c r="P49" s="3148" t="str">
        <f>A49</f>
        <v>估价对象XX用房的比较价值（楼面单价，元/平方米）</v>
      </c>
      <c r="Q49" s="3149"/>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5"/>
      <c r="Q57" s="504"/>
    </row>
    <row r="58" spans="1:29" s="508" customFormat="1" ht="15">
      <c r="A58" s="505" t="s">
        <v>2569</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2571</v>
      </c>
      <c r="B61" s="510"/>
      <c r="C61" s="522" t="s">
        <v>2572</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2085</v>
      </c>
      <c r="C82" s="539" t="s">
        <v>2589</v>
      </c>
      <c r="D82" s="539" t="s">
        <v>2590</v>
      </c>
      <c r="E82" s="539" t="s">
        <v>2591</v>
      </c>
      <c r="F82" s="539" t="s">
        <v>2592</v>
      </c>
      <c r="G82" s="539" t="s">
        <v>2593</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2596</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2548</v>
      </c>
      <c r="B100" s="528" t="s">
        <v>2597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2600</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2601</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2602</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2603</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2604</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2607</v>
      </c>
    </row>
    <row r="137" spans="1:17" ht="15">
      <c r="B137" s="2637" t="s">
        <v>2608</v>
      </c>
      <c r="C137" s="2638"/>
      <c r="D137" s="2638"/>
      <c r="E137" s="2638"/>
      <c r="F137" s="2638"/>
      <c r="G137" s="2639"/>
      <c r="H137" s="2640"/>
      <c r="I137" s="2641" t="s">
        <v>2609</v>
      </c>
      <c r="J137" s="2638"/>
      <c r="K137" s="2642"/>
    </row>
    <row r="138" spans="1:17" ht="15">
      <c r="B138" s="2643"/>
      <c r="C138" s="146" t="s">
        <v>2610</v>
      </c>
      <c r="D138" s="146" t="s">
        <v>2611</v>
      </c>
      <c r="E138" s="2644" t="s">
        <v>2612</v>
      </c>
      <c r="F138" s="2645" t="s">
        <v>2613</v>
      </c>
      <c r="G138" s="146" t="s">
        <v>2611</v>
      </c>
      <c r="H138" s="147" t="s">
        <v>2612</v>
      </c>
      <c r="I138" s="2646"/>
      <c r="J138" s="146" t="s">
        <v>2614</v>
      </c>
      <c r="K138" s="147" t="s">
        <v>2615</v>
      </c>
    </row>
    <row r="139" spans="1:17" ht="15">
      <c r="B139" s="1084">
        <v>6</v>
      </c>
      <c r="C139" s="1085">
        <v>96</v>
      </c>
      <c r="D139" s="2647" t="s">
        <v>2616</v>
      </c>
      <c r="E139" s="1086">
        <v>100</v>
      </c>
      <c r="F139" s="1087">
        <v>102.5</v>
      </c>
      <c r="G139" s="2647" t="s">
        <v>2616</v>
      </c>
      <c r="H139" s="1088">
        <v>105</v>
      </c>
      <c r="I139" s="2648" t="s">
        <v>2617</v>
      </c>
      <c r="J139" s="1085">
        <v>20</v>
      </c>
      <c r="K139" s="1089">
        <f>C145/(J139-2)</f>
        <v>4.0555555555555553E-3</v>
      </c>
    </row>
    <row r="140" spans="1:17" ht="15">
      <c r="B140" s="1090">
        <v>5</v>
      </c>
      <c r="C140" s="1091">
        <v>100</v>
      </c>
      <c r="D140" s="1091"/>
      <c r="E140" s="1092"/>
      <c r="F140" s="1093">
        <v>102</v>
      </c>
      <c r="G140" s="1091"/>
      <c r="H140" s="1094"/>
      <c r="I140" s="2649" t="s">
        <v>2618</v>
      </c>
      <c r="J140" s="315">
        <f>ROUNDUP((J139-1)/2,0)</f>
        <v>10</v>
      </c>
      <c r="K140" s="1095">
        <v>100</v>
      </c>
    </row>
    <row r="141" spans="1:17" ht="15">
      <c r="B141" s="1090">
        <v>4</v>
      </c>
      <c r="C141" s="1091">
        <v>102</v>
      </c>
      <c r="D141" s="1091"/>
      <c r="E141" s="1092"/>
      <c r="F141" s="1093">
        <v>101.5</v>
      </c>
      <c r="G141" s="1091"/>
      <c r="H141" s="1094"/>
      <c r="I141" s="2649" t="s">
        <v>2619</v>
      </c>
      <c r="J141" s="315">
        <v>1</v>
      </c>
      <c r="K141" s="1096">
        <f>ROUND(100+(J141-J140)*K139*100,1)</f>
        <v>96.4</v>
      </c>
    </row>
    <row r="142" spans="1:17" ht="15">
      <c r="B142" s="1090">
        <v>3</v>
      </c>
      <c r="C142" s="1091">
        <v>103</v>
      </c>
      <c r="D142" s="1091"/>
      <c r="E142" s="1092"/>
      <c r="F142" s="1093">
        <v>101</v>
      </c>
      <c r="G142" s="1091"/>
      <c r="H142" s="1094"/>
      <c r="I142" s="2649" t="s">
        <v>2620</v>
      </c>
      <c r="J142" s="315">
        <f>J139</f>
        <v>20</v>
      </c>
      <c r="K142" s="1097">
        <v>95</v>
      </c>
    </row>
    <row r="143" spans="1:17" ht="15">
      <c r="B143" s="1090">
        <v>2</v>
      </c>
      <c r="C143" s="1091">
        <v>100</v>
      </c>
      <c r="D143" s="1091"/>
      <c r="E143" s="1092"/>
      <c r="F143" s="1093">
        <v>100.5</v>
      </c>
      <c r="G143" s="1091"/>
      <c r="H143" s="1094"/>
      <c r="I143" s="2649" t="s">
        <v>2621</v>
      </c>
      <c r="J143" s="1091">
        <v>15</v>
      </c>
      <c r="K143" s="1096">
        <f>ROUND(100+(J143-J140)*K139*100,1)</f>
        <v>102</v>
      </c>
    </row>
    <row r="144" spans="1:17" ht="15">
      <c r="B144" s="1090">
        <v>1</v>
      </c>
      <c r="C144" s="1091">
        <v>98</v>
      </c>
      <c r="D144" s="2650" t="s">
        <v>2622</v>
      </c>
      <c r="E144" s="1092">
        <v>102</v>
      </c>
      <c r="F144" s="1098">
        <v>100</v>
      </c>
      <c r="G144" s="2650" t="s">
        <v>2622</v>
      </c>
      <c r="H144" s="1094">
        <v>105</v>
      </c>
      <c r="I144" s="2649" t="s">
        <v>2621</v>
      </c>
      <c r="J144" s="1091">
        <v>18</v>
      </c>
      <c r="K144" s="1096">
        <f>ROUND(100+(J144-J140)*K139*100,1)</f>
        <v>103.2</v>
      </c>
    </row>
    <row r="145" spans="2:11" ht="15.75" thickBot="1">
      <c r="B145" s="2651" t="s">
        <v>2623</v>
      </c>
      <c r="C145" s="1099">
        <f>ROUND(MAX(C139:C144)/MIN(C139:C144)-1,3)</f>
        <v>7.2999999999999995E-2</v>
      </c>
      <c r="D145" s="1100"/>
      <c r="E145" s="1100"/>
      <c r="F145" s="2652" t="s">
        <v>2624</v>
      </c>
      <c r="G145" s="2653"/>
      <c r="H145" s="2654"/>
      <c r="I145" s="2655" t="s">
        <v>2621</v>
      </c>
      <c r="J145" s="1101">
        <v>8</v>
      </c>
      <c r="K145" s="1102">
        <f>ROUND(100+(J145-J140)*K139*100,1)</f>
        <v>99.2</v>
      </c>
    </row>
    <row r="147" spans="2:11">
      <c r="B147" s="2636" t="s">
        <v>2625</v>
      </c>
    </row>
    <row r="148" spans="2:11">
      <c r="B148" s="2636"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2627</v>
      </c>
      <c r="C1" s="1634" t="s">
        <v>2515</v>
      </c>
      <c r="D1" s="1621"/>
      <c r="E1" s="2656"/>
      <c r="F1" s="2583"/>
      <c r="G1" s="1631" t="s">
        <v>2628</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2312</v>
      </c>
      <c r="B2" s="1418" t="e">
        <f ca="1">IF(C2="——",ROUND(C49*D3/10000,0),ROUND(C49*D3/10000,0)-D2)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2314</v>
      </c>
      <c r="B3" s="609" t="e">
        <f ca="1">IF(C2="——",C49,ROUND(B2*10000/D3,0))</f>
        <v>#DIV/0!</v>
      </c>
      <c r="C3" s="400" t="s">
        <v>2629</v>
      </c>
      <c r="D3" s="399">
        <f>IF(D1="",'数据-汇总表'!E3,SUMIF('数据-汇总表'!$C19:$C33,D1,'数据-汇总表'!$E19:$E33))</f>
        <v>18444.57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3"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3"/>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53"/>
      <c r="AC6" s="3160"/>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9" t="s">
        <v>2638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1" t="s">
        <v>2545</v>
      </c>
      <c r="Q15" s="1810" t="str">
        <f t="shared" si="6"/>
        <v>商业繁华度</v>
      </c>
      <c r="R15" s="774" t="s">
        <v>17</v>
      </c>
      <c r="S15" s="775">
        <f t="shared" si="0"/>
        <v>100</v>
      </c>
      <c r="T15" s="774" t="s">
        <v>17</v>
      </c>
      <c r="U15" s="775">
        <f t="shared" si="1"/>
        <v>100</v>
      </c>
      <c r="V15" s="774" t="s">
        <v>17</v>
      </c>
      <c r="W15" s="775">
        <f t="shared" si="2"/>
        <v>100</v>
      </c>
      <c r="X15" s="1813"/>
      <c r="Y15" s="3154" t="s">
        <v>2545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2"/>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2"/>
      <c r="Q18" s="1810"/>
      <c r="R18" s="774"/>
      <c r="S18" s="775"/>
      <c r="T18" s="774"/>
      <c r="U18" s="775"/>
      <c r="V18" s="774"/>
      <c r="W18" s="775"/>
      <c r="X18" s="1813"/>
      <c r="Y18" s="3155"/>
      <c r="Z18" s="1814"/>
      <c r="AA18" s="1811">
        <v>1</v>
      </c>
      <c r="AB18" s="1811">
        <v>1</v>
      </c>
      <c r="AC18" s="1811">
        <v>1</v>
      </c>
    </row>
    <row r="19" spans="1:29" ht="15">
      <c r="A19" s="428"/>
      <c r="B19" s="451" t="s">
        <v>2639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2"/>
      <c r="Q20" s="1810"/>
      <c r="R20" s="774"/>
      <c r="S20" s="775"/>
      <c r="T20" s="774"/>
      <c r="U20" s="775"/>
      <c r="V20" s="774"/>
      <c r="W20" s="775"/>
      <c r="X20" s="1813"/>
      <c r="Y20" s="3155"/>
      <c r="Z20" s="1814"/>
      <c r="AA20" s="1811">
        <v>1</v>
      </c>
      <c r="AB20" s="1811">
        <v>1</v>
      </c>
      <c r="AC20" s="1811">
        <v>1</v>
      </c>
    </row>
    <row r="21" spans="1:29" ht="15">
      <c r="A21" s="428"/>
      <c r="B21" s="1384" t="s">
        <v>2640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2"/>
      <c r="Q22" s="1810"/>
      <c r="R22" s="774"/>
      <c r="S22" s="775"/>
      <c r="T22" s="774"/>
      <c r="U22" s="775"/>
      <c r="V22" s="774"/>
      <c r="W22" s="775"/>
      <c r="X22" s="1813"/>
      <c r="Y22" s="3155"/>
      <c r="Z22" s="1814"/>
      <c r="AA22" s="1811">
        <v>1</v>
      </c>
      <c r="AB22" s="1811">
        <v>1</v>
      </c>
      <c r="AC22" s="1811">
        <v>1</v>
      </c>
    </row>
    <row r="23" spans="1:29" ht="15">
      <c r="A23" s="428"/>
      <c r="B23" s="451" t="s">
        <v>2087</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2"/>
      <c r="Q23" s="1810" t="str">
        <f>B23</f>
        <v>自然及人文环境</v>
      </c>
      <c r="R23" s="774" t="s">
        <v>17</v>
      </c>
      <c r="S23" s="775">
        <f>F23</f>
        <v>100</v>
      </c>
      <c r="T23" s="774" t="s">
        <v>17</v>
      </c>
      <c r="U23" s="775">
        <f>H23</f>
        <v>100</v>
      </c>
      <c r="V23" s="774" t="s">
        <v>17</v>
      </c>
      <c r="W23" s="775">
        <f>J23</f>
        <v>100</v>
      </c>
      <c r="X23" s="1813"/>
      <c r="Y23" s="3155"/>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2"/>
      <c r="Q24" s="1810"/>
      <c r="R24" s="774"/>
      <c r="S24" s="775"/>
      <c r="T24" s="774"/>
      <c r="U24" s="775"/>
      <c r="V24" s="774"/>
      <c r="W24" s="775"/>
      <c r="X24" s="1813"/>
      <c r="Y24" s="3155"/>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2"/>
      <c r="Q25" s="1810" t="str">
        <f t="shared" ref="Q25:Q46" si="11">B25</f>
        <v>临街状况</v>
      </c>
      <c r="R25" s="774" t="s">
        <v>17</v>
      </c>
      <c r="S25" s="775">
        <f>F25</f>
        <v>100</v>
      </c>
      <c r="T25" s="774" t="s">
        <v>17</v>
      </c>
      <c r="U25" s="775">
        <f>H25</f>
        <v>100</v>
      </c>
      <c r="V25" s="774" t="s">
        <v>17</v>
      </c>
      <c r="W25" s="775">
        <f>J25</f>
        <v>100</v>
      </c>
      <c r="X25" s="1813"/>
      <c r="Y25" s="3155"/>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2"/>
      <c r="Q26" s="1810" t="str">
        <f t="shared" si="11"/>
        <v>平面位置/可视性</v>
      </c>
      <c r="R26" s="774" t="s">
        <v>17</v>
      </c>
      <c r="S26" s="775">
        <f>F26</f>
        <v>100</v>
      </c>
      <c r="T26" s="774" t="s">
        <v>17</v>
      </c>
      <c r="U26" s="775">
        <f>H26</f>
        <v>100</v>
      </c>
      <c r="V26" s="774" t="s">
        <v>17</v>
      </c>
      <c r="W26" s="775">
        <f>J26</f>
        <v>100</v>
      </c>
      <c r="X26" s="1813"/>
      <c r="Y26" s="3155"/>
      <c r="Z26" s="1814" t="str">
        <f>Q26</f>
        <v>平面位置/可视性</v>
      </c>
      <c r="AA26" s="1811">
        <f t="shared" si="3"/>
        <v>1</v>
      </c>
      <c r="AB26" s="1811">
        <f t="shared" si="4"/>
        <v>1</v>
      </c>
      <c r="AC26" s="1811">
        <f t="shared" si="5"/>
        <v>1</v>
      </c>
    </row>
    <row r="27" spans="1:29" s="117" customFormat="1" ht="15">
      <c r="A27" s="431"/>
      <c r="B27" s="451" t="s">
        <v>2643</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2"/>
      <c r="Q27" s="1795" t="str">
        <f t="shared" si="11"/>
        <v>人流量</v>
      </c>
      <c r="R27" s="770" t="s">
        <v>17</v>
      </c>
      <c r="S27" s="771">
        <f>F27</f>
        <v>100</v>
      </c>
      <c r="T27" s="770" t="s">
        <v>17</v>
      </c>
      <c r="U27" s="771">
        <f>H27</f>
        <v>100</v>
      </c>
      <c r="V27" s="770" t="s">
        <v>17</v>
      </c>
      <c r="W27" s="771">
        <f>J27</f>
        <v>100</v>
      </c>
      <c r="X27" s="772"/>
      <c r="Y27" s="3155"/>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2"/>
      <c r="Q29" s="1810">
        <f t="shared" si="11"/>
        <v>111</v>
      </c>
      <c r="R29" s="774" t="s">
        <v>17</v>
      </c>
      <c r="S29" s="775">
        <f t="shared" si="12"/>
        <v>100</v>
      </c>
      <c r="T29" s="774" t="s">
        <v>17</v>
      </c>
      <c r="U29" s="775">
        <f t="shared" si="13"/>
        <v>100</v>
      </c>
      <c r="V29" s="774" t="s">
        <v>17</v>
      </c>
      <c r="W29" s="775">
        <f t="shared" si="14"/>
        <v>100</v>
      </c>
      <c r="X29" s="1813"/>
      <c r="Y29" s="315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5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55"/>
      <c r="Z31" s="1814">
        <f t="shared" si="15"/>
        <v>111</v>
      </c>
      <c r="AA31" s="1811">
        <f t="shared" si="3"/>
        <v>1</v>
      </c>
      <c r="AB31" s="1811">
        <f t="shared" si="4"/>
        <v>1</v>
      </c>
      <c r="AC31" s="1811">
        <f t="shared" si="5"/>
        <v>1</v>
      </c>
    </row>
    <row r="32" spans="1:29" ht="15">
      <c r="A32" s="440" t="s">
        <v>2548</v>
      </c>
      <c r="B32" s="71" t="s">
        <v>2645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7" t="s">
        <v>2550</v>
      </c>
      <c r="Q32" s="1810" t="str">
        <f t="shared" si="11"/>
        <v>商业类型</v>
      </c>
      <c r="R32" s="774" t="s">
        <v>17</v>
      </c>
      <c r="S32" s="775">
        <f t="shared" si="12"/>
        <v>100</v>
      </c>
      <c r="T32" s="774" t="s">
        <v>17</v>
      </c>
      <c r="U32" s="775">
        <f t="shared" si="13"/>
        <v>100</v>
      </c>
      <c r="V32" s="774" t="s">
        <v>17</v>
      </c>
      <c r="W32" s="775">
        <f t="shared" si="14"/>
        <v>100</v>
      </c>
      <c r="X32" s="1813"/>
      <c r="Y32" s="3157" t="s">
        <v>2550</v>
      </c>
      <c r="Z32" s="1814" t="str">
        <f t="shared" si="15"/>
        <v>商业类型</v>
      </c>
      <c r="AA32" s="1811">
        <f t="shared" si="3"/>
        <v>1</v>
      </c>
      <c r="AB32" s="1811">
        <f t="shared" si="4"/>
        <v>1</v>
      </c>
      <c r="AC32" s="1811">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157"/>
      <c r="Z33" s="780" t="str">
        <f t="shared" si="15"/>
        <v>项目建筑规模</v>
      </c>
      <c r="AA33" s="1811" t="e">
        <f t="shared" si="3"/>
        <v>#N/A</v>
      </c>
      <c r="AB33" s="1811" t="e">
        <f t="shared" si="4"/>
        <v>#N/A</v>
      </c>
      <c r="AC33" s="1811" t="e">
        <f t="shared" si="5"/>
        <v>#N/A</v>
      </c>
    </row>
    <row r="34" spans="1:29" ht="15">
      <c r="A34" s="472"/>
      <c r="B34" s="422" t="s">
        <v>2552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8"/>
      <c r="Q34" s="1810" t="str">
        <f t="shared" si="11"/>
        <v>建筑结构</v>
      </c>
      <c r="R34" s="774" t="s">
        <v>17</v>
      </c>
      <c r="S34" s="775">
        <f t="shared" si="12"/>
        <v>100</v>
      </c>
      <c r="T34" s="774" t="s">
        <v>17</v>
      </c>
      <c r="U34" s="775">
        <f t="shared" si="13"/>
        <v>100</v>
      </c>
      <c r="V34" s="774" t="s">
        <v>17</v>
      </c>
      <c r="W34" s="775">
        <f t="shared" si="14"/>
        <v>100</v>
      </c>
      <c r="X34" s="1813"/>
      <c r="Y34" s="3157"/>
      <c r="Z34" s="1814" t="str">
        <f t="shared" si="15"/>
        <v>建筑结构</v>
      </c>
      <c r="AA34" s="1811">
        <f t="shared" si="3"/>
        <v>1</v>
      </c>
      <c r="AB34" s="1811">
        <f t="shared" si="4"/>
        <v>1</v>
      </c>
      <c r="AC34" s="1811">
        <f t="shared" si="5"/>
        <v>1</v>
      </c>
    </row>
    <row r="35" spans="1:29" ht="15">
      <c r="A35" s="472"/>
      <c r="B35" s="422" t="s">
        <v>2646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8"/>
      <c r="Q35" s="1810" t="str">
        <f t="shared" si="11"/>
        <v>公共部分装修</v>
      </c>
      <c r="R35" s="774" t="s">
        <v>17</v>
      </c>
      <c r="S35" s="775">
        <f t="shared" si="12"/>
        <v>100</v>
      </c>
      <c r="T35" s="774" t="s">
        <v>17</v>
      </c>
      <c r="U35" s="775">
        <f t="shared" si="13"/>
        <v>100</v>
      </c>
      <c r="V35" s="774" t="s">
        <v>17</v>
      </c>
      <c r="W35" s="775">
        <f t="shared" si="14"/>
        <v>100</v>
      </c>
      <c r="X35" s="1813"/>
      <c r="Y35" s="3157"/>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10" t="str">
        <f t="shared" si="11"/>
        <v>成新度</v>
      </c>
      <c r="R36" s="774" t="s">
        <v>17</v>
      </c>
      <c r="S36" s="775" t="e">
        <f t="shared" si="12"/>
        <v>#N/A</v>
      </c>
      <c r="T36" s="774" t="s">
        <v>17</v>
      </c>
      <c r="U36" s="775" t="e">
        <f t="shared" si="13"/>
        <v>#N/A</v>
      </c>
      <c r="V36" s="774" t="s">
        <v>17</v>
      </c>
      <c r="W36" s="775" t="e">
        <f t="shared" si="14"/>
        <v>#N/A</v>
      </c>
      <c r="X36" s="1813"/>
      <c r="Y36" s="3157"/>
      <c r="Z36" s="1814" t="str">
        <f t="shared" si="15"/>
        <v>成新度</v>
      </c>
      <c r="AA36" s="1811" t="e">
        <f t="shared" si="3"/>
        <v>#N/A</v>
      </c>
      <c r="AB36" s="1811" t="e">
        <f t="shared" si="4"/>
        <v>#N/A</v>
      </c>
      <c r="AC36" s="1811" t="e">
        <f t="shared" si="5"/>
        <v>#N/A</v>
      </c>
    </row>
    <row r="37" spans="1:29" s="117" customFormat="1" ht="15">
      <c r="A37" s="473"/>
      <c r="B37" s="422" t="s">
        <v>2648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8"/>
      <c r="Q37" s="1795" t="str">
        <f t="shared" si="11"/>
        <v>市政基础设施</v>
      </c>
      <c r="R37" s="770" t="s">
        <v>17</v>
      </c>
      <c r="S37" s="771">
        <f t="shared" si="12"/>
        <v>100</v>
      </c>
      <c r="T37" s="770" t="s">
        <v>17</v>
      </c>
      <c r="U37" s="771">
        <f t="shared" si="13"/>
        <v>100</v>
      </c>
      <c r="V37" s="770" t="s">
        <v>17</v>
      </c>
      <c r="W37" s="771">
        <f t="shared" si="14"/>
        <v>100</v>
      </c>
      <c r="X37" s="772"/>
      <c r="Y37" s="3157"/>
      <c r="Z37" s="55" t="str">
        <f t="shared" si="15"/>
        <v>市政基础设施</v>
      </c>
      <c r="AA37" s="773">
        <f t="shared" si="3"/>
        <v>1</v>
      </c>
      <c r="AB37" s="773">
        <f t="shared" si="4"/>
        <v>1</v>
      </c>
      <c r="AC37" s="773">
        <f t="shared" si="5"/>
        <v>1</v>
      </c>
    </row>
    <row r="38" spans="1:29" ht="15">
      <c r="A38" s="472"/>
      <c r="B38" s="422" t="s">
        <v>2649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8" t="s">
        <v>2550</v>
      </c>
      <c r="Q38" s="1810" t="str">
        <f t="shared" si="11"/>
        <v>业态</v>
      </c>
      <c r="R38" s="774" t="s">
        <v>17</v>
      </c>
      <c r="S38" s="775">
        <f t="shared" si="12"/>
        <v>100</v>
      </c>
      <c r="T38" s="774" t="s">
        <v>17</v>
      </c>
      <c r="U38" s="775">
        <f t="shared" si="13"/>
        <v>100</v>
      </c>
      <c r="V38" s="774" t="s">
        <v>17</v>
      </c>
      <c r="W38" s="775">
        <f t="shared" si="14"/>
        <v>100</v>
      </c>
      <c r="X38" s="1813"/>
      <c r="Y38" s="3157" t="s">
        <v>2550</v>
      </c>
      <c r="Z38" s="1814" t="str">
        <f t="shared" si="15"/>
        <v>业态</v>
      </c>
      <c r="AA38" s="1811">
        <f t="shared" si="3"/>
        <v>1</v>
      </c>
      <c r="AB38" s="1811">
        <f t="shared" si="4"/>
        <v>1</v>
      </c>
      <c r="AC38" s="1811">
        <f t="shared" si="5"/>
        <v>1</v>
      </c>
    </row>
    <row r="39" spans="1:29" ht="15">
      <c r="A39" s="472"/>
      <c r="B39" s="422" t="s">
        <v>2650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8"/>
      <c r="Q39" s="1810" t="str">
        <f t="shared" si="11"/>
        <v>层高</v>
      </c>
      <c r="R39" s="774" t="s">
        <v>17</v>
      </c>
      <c r="S39" s="775">
        <f t="shared" si="12"/>
        <v>100</v>
      </c>
      <c r="T39" s="774" t="s">
        <v>17</v>
      </c>
      <c r="U39" s="775">
        <f t="shared" si="13"/>
        <v>100</v>
      </c>
      <c r="V39" s="774" t="s">
        <v>17</v>
      </c>
      <c r="W39" s="775">
        <f t="shared" si="14"/>
        <v>100</v>
      </c>
      <c r="X39" s="1813"/>
      <c r="Y39" s="3157"/>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10" t="str">
        <f t="shared" si="11"/>
        <v>单套建筑面积</v>
      </c>
      <c r="R40" s="774" t="s">
        <v>17</v>
      </c>
      <c r="S40" s="775">
        <f t="shared" si="12"/>
        <v>100</v>
      </c>
      <c r="T40" s="774" t="s">
        <v>17</v>
      </c>
      <c r="U40" s="775">
        <f t="shared" si="13"/>
        <v>100</v>
      </c>
      <c r="V40" s="774" t="s">
        <v>17</v>
      </c>
      <c r="W40" s="775">
        <f t="shared" si="14"/>
        <v>100</v>
      </c>
      <c r="X40" s="1813"/>
      <c r="Y40" s="3157"/>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157"/>
      <c r="Z41" s="780" t="str">
        <f t="shared" si="15"/>
        <v>进深比</v>
      </c>
      <c r="AA41" s="1811">
        <f t="shared" si="3"/>
        <v>1</v>
      </c>
      <c r="AB41" s="1811">
        <f t="shared" si="4"/>
        <v>1</v>
      </c>
      <c r="AC41" s="1811">
        <f t="shared" si="5"/>
        <v>1</v>
      </c>
    </row>
    <row r="42" spans="1:29" ht="15">
      <c r="A42" s="472"/>
      <c r="B42" s="422" t="s">
        <v>2653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8"/>
      <c r="Q42" s="1810" t="str">
        <f t="shared" si="11"/>
        <v>内部装修</v>
      </c>
      <c r="R42" s="774" t="s">
        <v>17</v>
      </c>
      <c r="S42" s="775">
        <f t="shared" si="12"/>
        <v>100</v>
      </c>
      <c r="T42" s="774" t="s">
        <v>17</v>
      </c>
      <c r="U42" s="775">
        <f t="shared" si="13"/>
        <v>100</v>
      </c>
      <c r="V42" s="774" t="s">
        <v>17</v>
      </c>
      <c r="W42" s="775">
        <f t="shared" si="14"/>
        <v>100</v>
      </c>
      <c r="X42" s="1813"/>
      <c r="Y42" s="3157"/>
      <c r="Z42" s="1814" t="str">
        <f t="shared" si="15"/>
        <v>内部装修</v>
      </c>
      <c r="AA42" s="1811">
        <f t="shared" si="3"/>
        <v>1</v>
      </c>
      <c r="AB42" s="1811">
        <f t="shared" si="4"/>
        <v>1</v>
      </c>
      <c r="AC42" s="1811">
        <f t="shared" si="5"/>
        <v>1</v>
      </c>
    </row>
    <row r="43" spans="1:29" ht="15">
      <c r="A43" s="472"/>
      <c r="B43" s="422" t="s">
        <v>2561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8"/>
      <c r="Q43" s="1810" t="str">
        <f t="shared" si="11"/>
        <v>内部装修维护情况</v>
      </c>
      <c r="R43" s="774" t="s">
        <v>17</v>
      </c>
      <c r="S43" s="775">
        <f t="shared" si="12"/>
        <v>100</v>
      </c>
      <c r="T43" s="774" t="s">
        <v>17</v>
      </c>
      <c r="U43" s="775">
        <f t="shared" si="13"/>
        <v>100</v>
      </c>
      <c r="V43" s="774" t="s">
        <v>17</v>
      </c>
      <c r="W43" s="775">
        <f t="shared" si="14"/>
        <v>100</v>
      </c>
      <c r="X43" s="1813"/>
      <c r="Y43" s="315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5">
        <f t="shared" si="11"/>
        <v>111</v>
      </c>
      <c r="R44" s="770" t="s">
        <v>17</v>
      </c>
      <c r="S44" s="771">
        <f t="shared" si="12"/>
        <v>100</v>
      </c>
      <c r="T44" s="770" t="s">
        <v>17</v>
      </c>
      <c r="U44" s="771">
        <f t="shared" si="13"/>
        <v>100</v>
      </c>
      <c r="V44" s="770" t="s">
        <v>17</v>
      </c>
      <c r="W44" s="771">
        <f t="shared" si="14"/>
        <v>100</v>
      </c>
      <c r="X44" s="772"/>
      <c r="Y44" s="315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10">
        <f t="shared" si="11"/>
        <v>111</v>
      </c>
      <c r="R45" s="774" t="s">
        <v>17</v>
      </c>
      <c r="S45" s="775">
        <f t="shared" si="12"/>
        <v>100</v>
      </c>
      <c r="T45" s="774" t="s">
        <v>17</v>
      </c>
      <c r="U45" s="775">
        <f t="shared" si="13"/>
        <v>100</v>
      </c>
      <c r="V45" s="774" t="s">
        <v>17</v>
      </c>
      <c r="W45" s="775">
        <f t="shared" si="14"/>
        <v>100</v>
      </c>
      <c r="X45" s="1813"/>
      <c r="Y45" s="3157"/>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230"/>
      <c r="Z46" s="1814">
        <f t="shared" si="15"/>
        <v>111</v>
      </c>
      <c r="AA46" s="1811">
        <f t="shared" si="3"/>
        <v>1</v>
      </c>
      <c r="AB46" s="1811">
        <f t="shared" si="4"/>
        <v>1</v>
      </c>
      <c r="AC46" s="1811">
        <f t="shared" si="5"/>
        <v>1</v>
      </c>
    </row>
    <row r="47" spans="1:29" ht="15">
      <c r="A47" s="479" t="s">
        <v>2562</v>
      </c>
      <c r="B47" s="480"/>
      <c r="C47" s="1407" t="s">
        <v>1</v>
      </c>
      <c r="D47" s="1408"/>
      <c r="E47" s="1409"/>
      <c r="F47" s="1410"/>
      <c r="G47" s="1411"/>
      <c r="H47" s="1412"/>
      <c r="I47" s="1409"/>
      <c r="J47" s="1412"/>
      <c r="K47" s="783"/>
      <c r="L47" s="1143"/>
      <c r="M47" s="1144"/>
      <c r="N47" s="1131"/>
      <c r="O47" s="1144"/>
      <c r="P47" s="3151" t="str">
        <f>A47</f>
        <v>成交单价（元/平方米）</v>
      </c>
      <c r="Q47" s="3151"/>
      <c r="R47" s="3153">
        <f>E47</f>
        <v>0</v>
      </c>
      <c r="S47" s="3153"/>
      <c r="T47" s="3153">
        <f>G47</f>
        <v>0</v>
      </c>
      <c r="U47" s="3153"/>
      <c r="V47" s="3153">
        <f>I47</f>
        <v>0</v>
      </c>
      <c r="W47" s="3153"/>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51" t="str">
        <f>A48</f>
        <v>比较价值（元/平方米）</v>
      </c>
      <c r="Q48" s="315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48" t="str">
        <f>A49</f>
        <v>估价对象XX用房的比较价值（楼面单价，元/平方米）</v>
      </c>
      <c r="Q49" s="3149"/>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2533</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2637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2548</v>
      </c>
      <c r="B100" s="528" t="s">
        <v>2666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2601</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2669</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受贵公司委托，我公司对江苏省镇江市京口区镇江新区丁卯经十五路99号17幢等5幢工业厂房、服务楼用房房地产抵押价值进行了预评估。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1" spans="1:1" ht="76.5">
      <c r="A11" s="1951" t="s">
        <v>1612</v>
      </c>
    </row>
    <row r="12" spans="1:1" ht="18.75">
      <c r="A12" s="1949" t="s">
        <v>1613</v>
      </c>
    </row>
    <row r="13" spans="1:1" ht="38.25" customHeight="1">
      <c r="A13" s="1952" t="str">
        <f>IF(项目基本情况!B8="抵押",IF(项目基本情况!B5=项目基本情况!B6,定义!C51,定义!B51),定义!D51)</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2019年4月29日（评估专业人员实地查勘之日）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2671</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IF(C2="——",ROUND(C50*D3/10000,0),ROUND(C50*D3/10000,0)-D2)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18444.57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239" t="s">
        <v>2636</v>
      </c>
      <c r="Q4" s="3240"/>
      <c r="R4" s="3234" t="s">
        <v>2632</v>
      </c>
      <c r="S4" s="3235"/>
      <c r="T4" s="3234" t="s">
        <v>2633</v>
      </c>
      <c r="U4" s="3235"/>
      <c r="V4" s="3243" t="s">
        <v>2634</v>
      </c>
      <c r="W4" s="3243"/>
      <c r="X4" s="2669"/>
      <c r="Y4" s="3234" t="s">
        <v>2636</v>
      </c>
      <c r="Z4" s="3235"/>
      <c r="AA4" s="3233" t="s">
        <v>2632</v>
      </c>
      <c r="AB4" s="3233" t="s">
        <v>2633</v>
      </c>
      <c r="AC4" s="3236" t="s">
        <v>2634</v>
      </c>
    </row>
    <row r="5" spans="1:29" ht="15">
      <c r="A5" s="404"/>
      <c r="B5" s="405"/>
      <c r="C5" s="3220" t="s">
        <v>2527</v>
      </c>
      <c r="D5" s="3183"/>
      <c r="E5" s="3219" t="s">
        <v>2528</v>
      </c>
      <c r="F5" s="3172"/>
      <c r="G5" s="3220" t="s">
        <v>2529</v>
      </c>
      <c r="H5" s="3183"/>
      <c r="I5" s="3220" t="s">
        <v>2530</v>
      </c>
      <c r="J5" s="3183"/>
      <c r="K5" s="610"/>
      <c r="L5" s="1130"/>
      <c r="M5" s="1131"/>
      <c r="N5" s="1131"/>
      <c r="O5" s="1131"/>
      <c r="P5" s="3241"/>
      <c r="Q5" s="3168"/>
      <c r="R5" s="3180"/>
      <c r="S5" s="3181"/>
      <c r="T5" s="3180"/>
      <c r="U5" s="3181"/>
      <c r="V5" s="3153"/>
      <c r="W5" s="3153"/>
      <c r="X5" s="1813"/>
      <c r="Y5" s="3180"/>
      <c r="Z5" s="3181"/>
      <c r="AA5" s="3159"/>
      <c r="AB5" s="3159"/>
      <c r="AC5" s="3237"/>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242"/>
      <c r="Q6" s="3170"/>
      <c r="R6" s="3180"/>
      <c r="S6" s="3181"/>
      <c r="T6" s="3190"/>
      <c r="U6" s="3191"/>
      <c r="V6" s="3153"/>
      <c r="W6" s="3153"/>
      <c r="X6" s="1813"/>
      <c r="Y6" s="3190"/>
      <c r="Z6" s="3191"/>
      <c r="AA6" s="3160"/>
      <c r="AB6" s="3160"/>
      <c r="AC6" s="3238"/>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2670"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2537</v>
      </c>
      <c r="Q8" s="3174"/>
      <c r="R8" s="770" t="s">
        <v>17</v>
      </c>
      <c r="S8" s="771">
        <f t="shared" si="0"/>
        <v>0</v>
      </c>
      <c r="T8" s="770" t="s">
        <v>17</v>
      </c>
      <c r="U8" s="771">
        <f t="shared" si="1"/>
        <v>0</v>
      </c>
      <c r="V8" s="770" t="s">
        <v>17</v>
      </c>
      <c r="W8" s="771">
        <f t="shared" si="2"/>
        <v>0</v>
      </c>
      <c r="X8" s="772"/>
      <c r="Y8" s="3173" t="s">
        <v>2537</v>
      </c>
      <c r="Z8" s="3174"/>
      <c r="AA8" s="773" t="e">
        <f t="shared" ref="AA8:AA47" si="3">D8/F8</f>
        <v>#DIV/0!</v>
      </c>
      <c r="AB8" s="773" t="e">
        <f t="shared" ref="AB8:AB47" si="4">D8/H8</f>
        <v>#DIV/0!</v>
      </c>
      <c r="AC8" s="2670"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2670">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0">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6"/>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76"/>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0">
        <f t="shared" si="5"/>
        <v>1</v>
      </c>
    </row>
    <row r="15" spans="1:29" ht="15">
      <c r="A15" s="440" t="s">
        <v>2544</v>
      </c>
      <c r="B15" s="629" t="s">
        <v>2672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1" t="s">
        <v>2545</v>
      </c>
      <c r="Q15" s="1810" t="str">
        <f t="shared" si="6"/>
        <v>办公集聚程度</v>
      </c>
      <c r="R15" s="774" t="s">
        <v>17</v>
      </c>
      <c r="S15" s="775">
        <f t="shared" si="0"/>
        <v>100</v>
      </c>
      <c r="T15" s="774" t="s">
        <v>17</v>
      </c>
      <c r="U15" s="775">
        <f t="shared" si="1"/>
        <v>100</v>
      </c>
      <c r="V15" s="774" t="s">
        <v>17</v>
      </c>
      <c r="W15" s="775">
        <f t="shared" si="2"/>
        <v>100</v>
      </c>
      <c r="X15" s="1813"/>
      <c r="Y15" s="3154" t="s">
        <v>2545</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2"/>
      <c r="Q16" s="1810"/>
      <c r="R16" s="774"/>
      <c r="S16" s="775"/>
      <c r="T16" s="774"/>
      <c r="U16" s="775"/>
      <c r="V16" s="774"/>
      <c r="W16" s="775"/>
      <c r="X16" s="1813"/>
      <c r="Y16" s="3155"/>
      <c r="Z16" s="1814"/>
      <c r="AA16" s="1811">
        <v>1</v>
      </c>
      <c r="AB16" s="1811">
        <v>1</v>
      </c>
      <c r="AC16" s="2673">
        <v>1</v>
      </c>
    </row>
    <row r="17" spans="1:29" ht="15">
      <c r="A17" s="428"/>
      <c r="B17" s="631" t="s">
        <v>2084</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2"/>
      <c r="Q18" s="1810"/>
      <c r="R18" s="774"/>
      <c r="S18" s="775"/>
      <c r="T18" s="774"/>
      <c r="U18" s="775"/>
      <c r="V18" s="774"/>
      <c r="W18" s="775"/>
      <c r="X18" s="1813"/>
      <c r="Y18" s="3155"/>
      <c r="Z18" s="1814"/>
      <c r="AA18" s="1811">
        <v>1</v>
      </c>
      <c r="AB18" s="1811">
        <v>1</v>
      </c>
      <c r="AC18" s="2673">
        <v>1</v>
      </c>
    </row>
    <row r="19" spans="1:29" ht="15">
      <c r="A19" s="428"/>
      <c r="B19" s="631" t="s">
        <v>2673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2"/>
      <c r="Q20" s="1810"/>
      <c r="R20" s="774"/>
      <c r="S20" s="775"/>
      <c r="T20" s="774"/>
      <c r="U20" s="775"/>
      <c r="V20" s="774"/>
      <c r="W20" s="775"/>
      <c r="X20" s="1813"/>
      <c r="Y20" s="3155"/>
      <c r="Z20" s="1814"/>
      <c r="AA20" s="1811">
        <v>1</v>
      </c>
      <c r="AB20" s="1811">
        <v>1</v>
      </c>
      <c r="AC20" s="2673">
        <v>1</v>
      </c>
    </row>
    <row r="21" spans="1:29" ht="15">
      <c r="A21" s="428"/>
      <c r="B21" s="633" t="s">
        <v>2674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2"/>
      <c r="Q22" s="1810"/>
      <c r="R22" s="774"/>
      <c r="S22" s="775"/>
      <c r="T22" s="774"/>
      <c r="U22" s="775"/>
      <c r="V22" s="774"/>
      <c r="W22" s="775"/>
      <c r="X22" s="1813"/>
      <c r="Y22" s="3155"/>
      <c r="Z22" s="1814"/>
      <c r="AA22" s="1811">
        <v>1</v>
      </c>
      <c r="AB22" s="1811">
        <v>1</v>
      </c>
      <c r="AC22" s="2673">
        <v>1</v>
      </c>
    </row>
    <row r="23" spans="1:29" ht="15">
      <c r="A23" s="428"/>
      <c r="B23" s="631" t="s">
        <v>2675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2"/>
      <c r="Q23" s="1810" t="str">
        <f>B23</f>
        <v>环境质量</v>
      </c>
      <c r="R23" s="774" t="s">
        <v>17</v>
      </c>
      <c r="S23" s="775">
        <f>F23</f>
        <v>100</v>
      </c>
      <c r="T23" s="774" t="s">
        <v>17</v>
      </c>
      <c r="U23" s="775">
        <f>H23</f>
        <v>100</v>
      </c>
      <c r="V23" s="774" t="s">
        <v>17</v>
      </c>
      <c r="W23" s="775">
        <f>J23</f>
        <v>100</v>
      </c>
      <c r="X23" s="1813"/>
      <c r="Y23" s="315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2"/>
      <c r="Q24" s="1810"/>
      <c r="R24" s="774"/>
      <c r="S24" s="775"/>
      <c r="T24" s="774"/>
      <c r="U24" s="775"/>
      <c r="V24" s="774"/>
      <c r="W24" s="775"/>
      <c r="X24" s="1813"/>
      <c r="Y24" s="3155"/>
      <c r="Z24" s="1814"/>
      <c r="AA24" s="1811">
        <v>1</v>
      </c>
      <c r="AB24" s="1811">
        <v>1</v>
      </c>
      <c r="AC24" s="2673">
        <v>1</v>
      </c>
    </row>
    <row r="25" spans="1:29" ht="27">
      <c r="A25" s="404"/>
      <c r="B25" s="631" t="s">
        <v>2676</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2"/>
      <c r="Q25" s="1810" t="str">
        <f>B25</f>
        <v>毗邻道路的类型与等级</v>
      </c>
      <c r="R25" s="774" t="s">
        <v>17</v>
      </c>
      <c r="S25" s="775">
        <f>F25</f>
        <v>100</v>
      </c>
      <c r="T25" s="774" t="s">
        <v>17</v>
      </c>
      <c r="U25" s="775">
        <f>H25</f>
        <v>100</v>
      </c>
      <c r="V25" s="774" t="s">
        <v>17</v>
      </c>
      <c r="W25" s="775">
        <f>J25</f>
        <v>100</v>
      </c>
      <c r="X25" s="1813"/>
      <c r="Y25" s="315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2"/>
      <c r="Q26" s="1810"/>
      <c r="R26" s="774"/>
      <c r="S26" s="775"/>
      <c r="T26" s="774"/>
      <c r="U26" s="775"/>
      <c r="V26" s="774"/>
      <c r="W26" s="775"/>
      <c r="X26" s="1813"/>
      <c r="Y26" s="3155"/>
      <c r="Z26" s="1814"/>
      <c r="AA26" s="1811">
        <v>1</v>
      </c>
      <c r="AB26" s="1811">
        <v>1</v>
      </c>
      <c r="AC26" s="2673">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2"/>
      <c r="Q27" s="1810" t="str">
        <f t="shared" ref="Q27:Q47" si="11">B27</f>
        <v>楼层</v>
      </c>
      <c r="R27" s="774" t="s">
        <v>17</v>
      </c>
      <c r="S27" s="775">
        <f>F27</f>
        <v>100</v>
      </c>
      <c r="T27" s="774" t="s">
        <v>17</v>
      </c>
      <c r="U27" s="775">
        <f>H27</f>
        <v>100</v>
      </c>
      <c r="V27" s="774" t="s">
        <v>17</v>
      </c>
      <c r="W27" s="775">
        <f>J27</f>
        <v>100</v>
      </c>
      <c r="X27" s="1813"/>
      <c r="Y27" s="3155"/>
      <c r="Z27" s="1814" t="str">
        <f>Q27</f>
        <v>楼层</v>
      </c>
      <c r="AA27" s="1811">
        <f t="shared" si="3"/>
        <v>1</v>
      </c>
      <c r="AB27" s="1811">
        <f t="shared" si="4"/>
        <v>1</v>
      </c>
      <c r="AC27" s="2673">
        <f t="shared" si="5"/>
        <v>1</v>
      </c>
    </row>
    <row r="28" spans="1:29" s="117" customFormat="1" ht="15">
      <c r="A28" s="431"/>
      <c r="B28" s="631" t="s">
        <v>2677</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2"/>
      <c r="Q28" s="1795" t="str">
        <f t="shared" si="11"/>
        <v>朝向</v>
      </c>
      <c r="R28" s="770" t="s">
        <v>17</v>
      </c>
      <c r="S28" s="771">
        <f>F28</f>
        <v>100</v>
      </c>
      <c r="T28" s="770" t="s">
        <v>17</v>
      </c>
      <c r="U28" s="771">
        <f>H28</f>
        <v>100</v>
      </c>
      <c r="V28" s="770" t="s">
        <v>17</v>
      </c>
      <c r="W28" s="771">
        <f>J28</f>
        <v>100</v>
      </c>
      <c r="X28" s="772"/>
      <c r="Y28" s="3155"/>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2"/>
      <c r="Q29" s="1810">
        <f t="shared" si="11"/>
        <v>111</v>
      </c>
      <c r="R29" s="774" t="s">
        <v>17</v>
      </c>
      <c r="S29" s="775">
        <f t="shared" ref="S29:S47" si="12">F29</f>
        <v>100</v>
      </c>
      <c r="T29" s="774" t="s">
        <v>17</v>
      </c>
      <c r="U29" s="775">
        <f t="shared" ref="U29:U47" si="13">H29</f>
        <v>100</v>
      </c>
      <c r="V29" s="774" t="s">
        <v>17</v>
      </c>
      <c r="W29" s="775">
        <f t="shared" ref="W29:W47" si="14">J29</f>
        <v>100</v>
      </c>
      <c r="X29" s="1813"/>
      <c r="Y29" s="3155"/>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55"/>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55"/>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2"/>
      <c r="Q32" s="1810">
        <f t="shared" si="11"/>
        <v>111</v>
      </c>
      <c r="R32" s="774" t="s">
        <v>17</v>
      </c>
      <c r="S32" s="775">
        <f t="shared" si="12"/>
        <v>100</v>
      </c>
      <c r="T32" s="774" t="s">
        <v>17</v>
      </c>
      <c r="U32" s="775">
        <f t="shared" si="13"/>
        <v>100</v>
      </c>
      <c r="V32" s="774" t="s">
        <v>17</v>
      </c>
      <c r="W32" s="775">
        <f t="shared" si="14"/>
        <v>100</v>
      </c>
      <c r="X32" s="1813"/>
      <c r="Y32" s="3155"/>
      <c r="Z32" s="1814">
        <f t="shared" si="15"/>
        <v>111</v>
      </c>
      <c r="AA32" s="1811">
        <f t="shared" si="3"/>
        <v>1</v>
      </c>
      <c r="AB32" s="1811">
        <f t="shared" si="4"/>
        <v>1</v>
      </c>
      <c r="AC32" s="2673">
        <f t="shared" si="5"/>
        <v>1</v>
      </c>
    </row>
    <row r="33" spans="1:29" ht="15">
      <c r="A33" s="440" t="s">
        <v>2548</v>
      </c>
      <c r="B33" s="71" t="s">
        <v>2678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7" t="s">
        <v>2550</v>
      </c>
      <c r="Q33" s="1810" t="str">
        <f t="shared" si="11"/>
        <v>建筑类型</v>
      </c>
      <c r="R33" s="774" t="s">
        <v>17</v>
      </c>
      <c r="S33" s="775">
        <f t="shared" si="12"/>
        <v>100</v>
      </c>
      <c r="T33" s="774" t="s">
        <v>17</v>
      </c>
      <c r="U33" s="775">
        <f t="shared" si="13"/>
        <v>100</v>
      </c>
      <c r="V33" s="774" t="s">
        <v>17</v>
      </c>
      <c r="W33" s="775">
        <f t="shared" si="14"/>
        <v>100</v>
      </c>
      <c r="X33" s="1813"/>
      <c r="Y33" s="3157" t="s">
        <v>2550</v>
      </c>
      <c r="Z33" s="1814" t="str">
        <f t="shared" si="15"/>
        <v>建筑类型</v>
      </c>
      <c r="AA33" s="1811">
        <f t="shared" si="3"/>
        <v>1</v>
      </c>
      <c r="AB33" s="1811">
        <f t="shared" si="4"/>
        <v>1</v>
      </c>
      <c r="AC33" s="2673">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157"/>
      <c r="Z34" s="780" t="str">
        <f t="shared" si="15"/>
        <v>项目建筑规模</v>
      </c>
      <c r="AA34" s="1811" t="e">
        <f t="shared" si="3"/>
        <v>#N/A</v>
      </c>
      <c r="AB34" s="1811" t="e">
        <f t="shared" si="4"/>
        <v>#N/A</v>
      </c>
      <c r="AC34" s="2673"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10" t="str">
        <f t="shared" si="11"/>
        <v>建筑结构</v>
      </c>
      <c r="R35" s="774" t="s">
        <v>17</v>
      </c>
      <c r="S35" s="775">
        <f t="shared" si="12"/>
        <v>100</v>
      </c>
      <c r="T35" s="774" t="s">
        <v>17</v>
      </c>
      <c r="U35" s="775">
        <f t="shared" si="13"/>
        <v>100</v>
      </c>
      <c r="V35" s="774" t="s">
        <v>17</v>
      </c>
      <c r="W35" s="775">
        <f t="shared" si="14"/>
        <v>100</v>
      </c>
      <c r="X35" s="1813"/>
      <c r="Y35" s="3157"/>
      <c r="Z35" s="1814" t="str">
        <f t="shared" si="15"/>
        <v>建筑结构</v>
      </c>
      <c r="AA35" s="1811">
        <f t="shared" si="3"/>
        <v>1</v>
      </c>
      <c r="AB35" s="1811">
        <f t="shared" si="4"/>
        <v>1</v>
      </c>
      <c r="AC35" s="2673">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10" t="str">
        <f t="shared" si="11"/>
        <v>公共部分装修</v>
      </c>
      <c r="R36" s="774" t="s">
        <v>17</v>
      </c>
      <c r="S36" s="775">
        <f t="shared" si="12"/>
        <v>100</v>
      </c>
      <c r="T36" s="774" t="s">
        <v>17</v>
      </c>
      <c r="U36" s="775">
        <f t="shared" si="13"/>
        <v>100</v>
      </c>
      <c r="V36" s="774" t="s">
        <v>17</v>
      </c>
      <c r="W36" s="775">
        <f t="shared" si="14"/>
        <v>100</v>
      </c>
      <c r="X36" s="1813"/>
      <c r="Y36" s="3157"/>
      <c r="Z36" s="1814" t="str">
        <f t="shared" si="15"/>
        <v>公共部分装修</v>
      </c>
      <c r="AA36" s="1811">
        <f t="shared" si="3"/>
        <v>1</v>
      </c>
      <c r="AB36" s="1811">
        <f t="shared" si="4"/>
        <v>1</v>
      </c>
      <c r="AC36" s="2673">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10" t="str">
        <f t="shared" si="11"/>
        <v>成新度</v>
      </c>
      <c r="R37" s="774" t="s">
        <v>17</v>
      </c>
      <c r="S37" s="775" t="e">
        <f t="shared" si="12"/>
        <v>#N/A</v>
      </c>
      <c r="T37" s="774" t="s">
        <v>17</v>
      </c>
      <c r="U37" s="775" t="e">
        <f t="shared" si="13"/>
        <v>#N/A</v>
      </c>
      <c r="V37" s="774" t="s">
        <v>17</v>
      </c>
      <c r="W37" s="775" t="e">
        <f t="shared" si="14"/>
        <v>#N/A</v>
      </c>
      <c r="X37" s="1813"/>
      <c r="Y37" s="3157"/>
      <c r="Z37" s="1814" t="str">
        <f t="shared" si="15"/>
        <v>成新度</v>
      </c>
      <c r="AA37" s="1811" t="e">
        <f t="shared" si="3"/>
        <v>#N/A</v>
      </c>
      <c r="AB37" s="1811" t="e">
        <f t="shared" si="4"/>
        <v>#N/A</v>
      </c>
      <c r="AC37" s="2673"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95" t="str">
        <f t="shared" si="11"/>
        <v>写字楼等级</v>
      </c>
      <c r="R38" s="770" t="s">
        <v>17</v>
      </c>
      <c r="S38" s="771">
        <f t="shared" si="12"/>
        <v>100</v>
      </c>
      <c r="T38" s="770" t="s">
        <v>17</v>
      </c>
      <c r="U38" s="771">
        <f t="shared" si="13"/>
        <v>100</v>
      </c>
      <c r="V38" s="770" t="s">
        <v>17</v>
      </c>
      <c r="W38" s="771">
        <f t="shared" si="14"/>
        <v>100</v>
      </c>
      <c r="X38" s="772"/>
      <c r="Y38" s="3157"/>
      <c r="Z38" s="55" t="str">
        <f t="shared" si="15"/>
        <v>写字楼等级</v>
      </c>
      <c r="AA38" s="773">
        <f t="shared" si="3"/>
        <v>1</v>
      </c>
      <c r="AB38" s="773">
        <f t="shared" si="4"/>
        <v>1</v>
      </c>
      <c r="AC38" s="2670">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2550</v>
      </c>
      <c r="Q39" s="1810" t="str">
        <f t="shared" si="11"/>
        <v>物业管理</v>
      </c>
      <c r="R39" s="774" t="s">
        <v>17</v>
      </c>
      <c r="S39" s="775">
        <f t="shared" si="12"/>
        <v>100</v>
      </c>
      <c r="T39" s="774" t="s">
        <v>17</v>
      </c>
      <c r="U39" s="775">
        <f t="shared" si="13"/>
        <v>100</v>
      </c>
      <c r="V39" s="774" t="s">
        <v>17</v>
      </c>
      <c r="W39" s="775">
        <f t="shared" si="14"/>
        <v>100</v>
      </c>
      <c r="X39" s="1813"/>
      <c r="Y39" s="3157" t="s">
        <v>2550</v>
      </c>
      <c r="Z39" s="1814" t="str">
        <f t="shared" si="15"/>
        <v>物业管理</v>
      </c>
      <c r="AA39" s="1811">
        <f t="shared" si="3"/>
        <v>1</v>
      </c>
      <c r="AB39" s="1811">
        <f t="shared" si="4"/>
        <v>1</v>
      </c>
      <c r="AC39" s="2673">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10" t="str">
        <f t="shared" si="11"/>
        <v>市政基础设施</v>
      </c>
      <c r="R40" s="774" t="s">
        <v>17</v>
      </c>
      <c r="S40" s="775">
        <f t="shared" si="12"/>
        <v>100</v>
      </c>
      <c r="T40" s="774" t="s">
        <v>17</v>
      </c>
      <c r="U40" s="775">
        <f t="shared" si="13"/>
        <v>100</v>
      </c>
      <c r="V40" s="774" t="s">
        <v>17</v>
      </c>
      <c r="W40" s="775">
        <f t="shared" si="14"/>
        <v>100</v>
      </c>
      <c r="X40" s="1813"/>
      <c r="Y40" s="3157"/>
      <c r="Z40" s="1814" t="str">
        <f t="shared" si="15"/>
        <v>市政基础设施</v>
      </c>
      <c r="AA40" s="1811">
        <f t="shared" si="3"/>
        <v>1</v>
      </c>
      <c r="AB40" s="1811">
        <f t="shared" si="4"/>
        <v>1</v>
      </c>
      <c r="AC40" s="2673">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10" t="str">
        <f t="shared" si="11"/>
        <v>层高</v>
      </c>
      <c r="R41" s="774" t="s">
        <v>17</v>
      </c>
      <c r="S41" s="775">
        <f t="shared" si="12"/>
        <v>100</v>
      </c>
      <c r="T41" s="774" t="s">
        <v>17</v>
      </c>
      <c r="U41" s="775">
        <f t="shared" si="13"/>
        <v>100</v>
      </c>
      <c r="V41" s="774" t="s">
        <v>17</v>
      </c>
      <c r="W41" s="775">
        <f t="shared" si="14"/>
        <v>100</v>
      </c>
      <c r="X41" s="1813"/>
      <c r="Y41" s="3157"/>
      <c r="Z41" s="1814" t="str">
        <f t="shared" si="15"/>
        <v>层高</v>
      </c>
      <c r="AA41" s="1811">
        <f t="shared" si="3"/>
        <v>1</v>
      </c>
      <c r="AB41" s="1811">
        <f t="shared" si="4"/>
        <v>1</v>
      </c>
      <c r="AC41" s="2673">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157"/>
      <c r="Z42" s="780" t="str">
        <f t="shared" si="15"/>
        <v>单套建筑面积</v>
      </c>
      <c r="AA42" s="1811">
        <f t="shared" si="3"/>
        <v>1</v>
      </c>
      <c r="AB42" s="1811">
        <f t="shared" si="4"/>
        <v>1</v>
      </c>
      <c r="AC42" s="2673">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10" t="str">
        <f t="shared" si="11"/>
        <v>内部装修</v>
      </c>
      <c r="R43" s="774" t="s">
        <v>17</v>
      </c>
      <c r="S43" s="775">
        <f t="shared" si="12"/>
        <v>100</v>
      </c>
      <c r="T43" s="774" t="s">
        <v>17</v>
      </c>
      <c r="U43" s="775">
        <f t="shared" si="13"/>
        <v>100</v>
      </c>
      <c r="V43" s="774" t="s">
        <v>17</v>
      </c>
      <c r="W43" s="775">
        <f t="shared" si="14"/>
        <v>100</v>
      </c>
      <c r="X43" s="1813"/>
      <c r="Y43" s="3157"/>
      <c r="Z43" s="1814" t="str">
        <f t="shared" si="15"/>
        <v>内部装修</v>
      </c>
      <c r="AA43" s="1811">
        <f t="shared" si="3"/>
        <v>1</v>
      </c>
      <c r="AB43" s="1811">
        <f t="shared" si="4"/>
        <v>1</v>
      </c>
      <c r="AC43" s="2673">
        <f t="shared" si="5"/>
        <v>1</v>
      </c>
    </row>
    <row r="44" spans="1:29" ht="15">
      <c r="A44" s="472"/>
      <c r="B44" s="422" t="s">
        <v>2561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8"/>
      <c r="Q44" s="1810" t="str">
        <f t="shared" si="11"/>
        <v>内部装修维护情况</v>
      </c>
      <c r="R44" s="774" t="s">
        <v>17</v>
      </c>
      <c r="S44" s="775">
        <f t="shared" si="12"/>
        <v>100</v>
      </c>
      <c r="T44" s="774" t="s">
        <v>17</v>
      </c>
      <c r="U44" s="775">
        <f t="shared" si="13"/>
        <v>100</v>
      </c>
      <c r="V44" s="774" t="s">
        <v>17</v>
      </c>
      <c r="W44" s="775">
        <f t="shared" si="14"/>
        <v>100</v>
      </c>
      <c r="X44" s="1813"/>
      <c r="Y44" s="3157"/>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5">
        <f t="shared" si="11"/>
        <v>111</v>
      </c>
      <c r="R45" s="770" t="s">
        <v>17</v>
      </c>
      <c r="S45" s="771">
        <f t="shared" si="12"/>
        <v>100</v>
      </c>
      <c r="T45" s="770" t="s">
        <v>17</v>
      </c>
      <c r="U45" s="771">
        <f t="shared" si="13"/>
        <v>100</v>
      </c>
      <c r="V45" s="770" t="s">
        <v>17</v>
      </c>
      <c r="W45" s="771">
        <f t="shared" si="14"/>
        <v>100</v>
      </c>
      <c r="X45" s="772"/>
      <c r="Y45" s="315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10">
        <f t="shared" si="11"/>
        <v>111</v>
      </c>
      <c r="R46" s="774" t="s">
        <v>17</v>
      </c>
      <c r="S46" s="775">
        <f t="shared" si="12"/>
        <v>100</v>
      </c>
      <c r="T46" s="774" t="s">
        <v>17</v>
      </c>
      <c r="U46" s="775">
        <f t="shared" si="13"/>
        <v>100</v>
      </c>
      <c r="V46" s="774" t="s">
        <v>17</v>
      </c>
      <c r="W46" s="775">
        <f t="shared" si="14"/>
        <v>100</v>
      </c>
      <c r="X46" s="1813"/>
      <c r="Y46" s="3157"/>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10">
        <f t="shared" si="11"/>
        <v>111</v>
      </c>
      <c r="R47" s="774" t="s">
        <v>17</v>
      </c>
      <c r="S47" s="775">
        <f t="shared" si="12"/>
        <v>100</v>
      </c>
      <c r="T47" s="774" t="s">
        <v>17</v>
      </c>
      <c r="U47" s="775">
        <f t="shared" si="13"/>
        <v>100</v>
      </c>
      <c r="V47" s="774" t="s">
        <v>17</v>
      </c>
      <c r="W47" s="775">
        <f t="shared" si="14"/>
        <v>100</v>
      </c>
      <c r="X47" s="1813"/>
      <c r="Y47" s="3230"/>
      <c r="Z47" s="1814">
        <f t="shared" si="15"/>
        <v>111</v>
      </c>
      <c r="AA47" s="1811">
        <f t="shared" si="3"/>
        <v>1</v>
      </c>
      <c r="AB47" s="1811">
        <f t="shared" si="4"/>
        <v>1</v>
      </c>
      <c r="AC47" s="2673">
        <f t="shared" si="5"/>
        <v>1</v>
      </c>
    </row>
    <row r="48" spans="1:29" ht="15">
      <c r="A48" s="479" t="s">
        <v>2562</v>
      </c>
      <c r="B48" s="480"/>
      <c r="C48" s="1407" t="s">
        <v>1</v>
      </c>
      <c r="D48" s="1408"/>
      <c r="E48" s="1409"/>
      <c r="F48" s="1410"/>
      <c r="G48" s="1411"/>
      <c r="H48" s="1412"/>
      <c r="I48" s="1409"/>
      <c r="J48" s="485"/>
      <c r="K48" s="783"/>
      <c r="L48" s="1143"/>
      <c r="M48" s="1131"/>
      <c r="N48" s="1131"/>
      <c r="O48" s="1131"/>
      <c r="P48" s="3176" t="str">
        <f>A48</f>
        <v>成交单价（元/平方米）</v>
      </c>
      <c r="Q48" s="3151"/>
      <c r="R48" s="3226">
        <f>E48</f>
        <v>0</v>
      </c>
      <c r="S48" s="3226"/>
      <c r="T48" s="3226">
        <f>G48</f>
        <v>0</v>
      </c>
      <c r="U48" s="3226"/>
      <c r="V48" s="3226">
        <f>I48</f>
        <v>0</v>
      </c>
      <c r="W48" s="3226"/>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76" t="str">
        <f>A49</f>
        <v>比较价值（元/平方米）</v>
      </c>
      <c r="Q49" s="315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80"/>
      <c r="Q58" s="504"/>
    </row>
    <row r="59" spans="1:29" s="508" customFormat="1" ht="15">
      <c r="A59" s="505" t="s">
        <v>2533</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2570</v>
      </c>
      <c r="B61" s="516"/>
      <c r="C61" s="517"/>
      <c r="D61" s="518"/>
      <c r="E61" s="518"/>
      <c r="F61" s="518"/>
      <c r="G61" s="518"/>
      <c r="H61" s="518"/>
      <c r="I61" s="518"/>
      <c r="J61" s="518"/>
      <c r="K61" s="518"/>
      <c r="L61" s="518"/>
      <c r="M61" s="519"/>
      <c r="N61" s="518"/>
      <c r="O61" s="519"/>
      <c r="P61" s="2681"/>
      <c r="Q61" s="504"/>
    </row>
    <row r="62" spans="1:29" s="117" customFormat="1" ht="15">
      <c r="A62" s="521" t="s">
        <v>2535</v>
      </c>
      <c r="B62" s="510"/>
      <c r="C62" s="522" t="s">
        <v>2637</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2573</v>
      </c>
      <c r="B64" s="528" t="s">
        <v>2539</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2684</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2548</v>
      </c>
      <c r="B101" s="528" t="s">
        <v>2597</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2599</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2601</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2602</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2603</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2686</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2605</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2687</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IF(C2="——",ROUND(C43*D3/10000,0),ROUND(C43*D3/10000,0)-D2)</f>
        <v>#DIV/0!</v>
      </c>
      <c r="C2" s="2585"/>
      <c r="D2" s="1124"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18444.57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9" t="s">
        <v>2688</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4" t="s">
        <v>2545</v>
      </c>
      <c r="Q15" s="1810" t="str">
        <f t="shared" si="6"/>
        <v>产业集聚程度</v>
      </c>
      <c r="R15" s="774" t="s">
        <v>17</v>
      </c>
      <c r="S15" s="775">
        <f t="shared" si="0"/>
        <v>100</v>
      </c>
      <c r="T15" s="774" t="s">
        <v>17</v>
      </c>
      <c r="U15" s="775">
        <f t="shared" si="1"/>
        <v>100</v>
      </c>
      <c r="V15" s="774" t="s">
        <v>17</v>
      </c>
      <c r="W15" s="775">
        <f t="shared" si="2"/>
        <v>100</v>
      </c>
      <c r="X15" s="1813"/>
      <c r="Y15" s="3154" t="s">
        <v>2545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5"/>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451" t="s">
        <v>2673</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5"/>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55"/>
      <c r="Q20" s="1810"/>
      <c r="R20" s="774"/>
      <c r="S20" s="775"/>
      <c r="T20" s="774"/>
      <c r="U20" s="775"/>
      <c r="V20" s="774"/>
      <c r="W20" s="775"/>
      <c r="X20" s="1813"/>
      <c r="Y20" s="3155"/>
      <c r="Z20" s="1814"/>
      <c r="AA20" s="1811">
        <v>1</v>
      </c>
      <c r="AB20" s="1811">
        <v>1</v>
      </c>
      <c r="AC20" s="1811">
        <v>1</v>
      </c>
    </row>
    <row r="21" spans="1:29" ht="15">
      <c r="A21" s="428"/>
      <c r="B21" s="1384" t="s">
        <v>2674</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5"/>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55"/>
      <c r="Q22" s="1810"/>
      <c r="R22" s="774"/>
      <c r="S22" s="775"/>
      <c r="T22" s="774"/>
      <c r="U22" s="775"/>
      <c r="V22" s="774"/>
      <c r="W22" s="775"/>
      <c r="X22" s="1813"/>
      <c r="Y22" s="3155"/>
      <c r="Z22" s="1814"/>
      <c r="AA22" s="1811">
        <v>1</v>
      </c>
      <c r="AB22" s="1811">
        <v>1</v>
      </c>
      <c r="AC22" s="1811">
        <v>1</v>
      </c>
    </row>
    <row r="23" spans="1:29" ht="15">
      <c r="A23" s="428"/>
      <c r="B23" s="451" t="s">
        <v>2675</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5"/>
      <c r="Q23" s="1810" t="str">
        <f>B23</f>
        <v>环境质量</v>
      </c>
      <c r="R23" s="774" t="s">
        <v>17</v>
      </c>
      <c r="S23" s="775">
        <f>F23</f>
        <v>100</v>
      </c>
      <c r="T23" s="774" t="s">
        <v>17</v>
      </c>
      <c r="U23" s="775">
        <f>H23</f>
        <v>100</v>
      </c>
      <c r="V23" s="774" t="s">
        <v>17</v>
      </c>
      <c r="W23" s="775">
        <f>J23</f>
        <v>100</v>
      </c>
      <c r="X23" s="1813"/>
      <c r="Y23" s="3155"/>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55"/>
      <c r="Q24" s="1810"/>
      <c r="R24" s="774"/>
      <c r="S24" s="775"/>
      <c r="T24" s="774"/>
      <c r="U24" s="775"/>
      <c r="V24" s="774"/>
      <c r="W24" s="775"/>
      <c r="X24" s="1813"/>
      <c r="Y24" s="315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5"/>
      <c r="Q25" s="1810">
        <f>B25</f>
        <v>111</v>
      </c>
      <c r="R25" s="774" t="s">
        <v>17</v>
      </c>
      <c r="S25" s="775">
        <f>F25</f>
        <v>100</v>
      </c>
      <c r="T25" s="774" t="s">
        <v>17</v>
      </c>
      <c r="U25" s="775">
        <f>H25</f>
        <v>100</v>
      </c>
      <c r="V25" s="774" t="s">
        <v>17</v>
      </c>
      <c r="W25" s="775">
        <f>J25</f>
        <v>100</v>
      </c>
      <c r="X25" s="1813"/>
      <c r="Y25" s="315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5"/>
      <c r="Q26" s="1810">
        <f t="shared" ref="Q26:Q40" si="11">B26</f>
        <v>111</v>
      </c>
      <c r="R26" s="774" t="s">
        <v>17</v>
      </c>
      <c r="S26" s="775">
        <f>F26</f>
        <v>100</v>
      </c>
      <c r="T26" s="774" t="s">
        <v>17</v>
      </c>
      <c r="U26" s="775">
        <f>H26</f>
        <v>100</v>
      </c>
      <c r="V26" s="774" t="s">
        <v>17</v>
      </c>
      <c r="W26" s="775">
        <f>J26</f>
        <v>100</v>
      </c>
      <c r="X26" s="1813"/>
      <c r="Y26" s="315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5"/>
      <c r="Q27" s="1795">
        <f t="shared" si="11"/>
        <v>111</v>
      </c>
      <c r="R27" s="770" t="s">
        <v>17</v>
      </c>
      <c r="S27" s="771">
        <f>F27</f>
        <v>100</v>
      </c>
      <c r="T27" s="770" t="s">
        <v>17</v>
      </c>
      <c r="U27" s="771">
        <f>H27</f>
        <v>100</v>
      </c>
      <c r="V27" s="770" t="s">
        <v>17</v>
      </c>
      <c r="W27" s="771">
        <f>J27</f>
        <v>100</v>
      </c>
      <c r="X27" s="772"/>
      <c r="Y27" s="315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5"/>
      <c r="Q28" s="1810">
        <f t="shared" si="11"/>
        <v>111</v>
      </c>
      <c r="R28" s="774" t="s">
        <v>17</v>
      </c>
      <c r="S28" s="775">
        <f t="shared" ref="S28:S40" si="12">F28</f>
        <v>100</v>
      </c>
      <c r="T28" s="774" t="s">
        <v>17</v>
      </c>
      <c r="U28" s="775">
        <f t="shared" ref="U28:U40" si="13">H28</f>
        <v>100</v>
      </c>
      <c r="V28" s="774" t="s">
        <v>17</v>
      </c>
      <c r="W28" s="775">
        <f t="shared" ref="W28:W40" si="14">J28</f>
        <v>100</v>
      </c>
      <c r="X28" s="1813"/>
      <c r="Y28" s="3155"/>
      <c r="Z28" s="1814">
        <f t="shared" ref="Z28:Z40" si="15">Q28</f>
        <v>111</v>
      </c>
      <c r="AA28" s="1811">
        <f t="shared" si="3"/>
        <v>1</v>
      </c>
      <c r="AB28" s="1811">
        <f t="shared" si="4"/>
        <v>1</v>
      </c>
      <c r="AC28" s="1811">
        <f t="shared" si="5"/>
        <v>1</v>
      </c>
    </row>
    <row r="29" spans="1:29" ht="28.5">
      <c r="A29" s="466" t="s">
        <v>2548</v>
      </c>
      <c r="B29" s="71" t="s">
        <v>2678</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56" t="s">
        <v>2550</v>
      </c>
      <c r="Q29" s="1810" t="str">
        <f t="shared" si="11"/>
        <v>建筑类型</v>
      </c>
      <c r="R29" s="774" t="s">
        <v>17</v>
      </c>
      <c r="S29" s="775">
        <f t="shared" si="12"/>
        <v>100</v>
      </c>
      <c r="T29" s="774" t="s">
        <v>17</v>
      </c>
      <c r="U29" s="775">
        <f t="shared" si="13"/>
        <v>100</v>
      </c>
      <c r="V29" s="774" t="s">
        <v>17</v>
      </c>
      <c r="W29" s="775">
        <f t="shared" si="14"/>
        <v>100</v>
      </c>
      <c r="X29" s="1813"/>
      <c r="Y29" s="3157" t="s">
        <v>2550</v>
      </c>
      <c r="Z29" s="1814" t="str">
        <f t="shared" si="15"/>
        <v>建筑类型</v>
      </c>
      <c r="AA29" s="1811">
        <f t="shared" si="3"/>
        <v>1</v>
      </c>
      <c r="AB29" s="1811">
        <f t="shared" si="4"/>
        <v>1</v>
      </c>
      <c r="AC29" s="1811">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7"/>
      <c r="Q30" s="776" t="str">
        <f t="shared" si="11"/>
        <v>项目建筑规模</v>
      </c>
      <c r="R30" s="777" t="s">
        <v>17</v>
      </c>
      <c r="S30" s="778" t="e">
        <f t="shared" si="12"/>
        <v>#N/A</v>
      </c>
      <c r="T30" s="777" t="s">
        <v>17</v>
      </c>
      <c r="U30" s="778" t="e">
        <f t="shared" si="13"/>
        <v>#N/A</v>
      </c>
      <c r="V30" s="777" t="s">
        <v>17</v>
      </c>
      <c r="W30" s="778" t="e">
        <f t="shared" si="14"/>
        <v>#N/A</v>
      </c>
      <c r="X30" s="779"/>
      <c r="Y30" s="3157"/>
      <c r="Z30" s="780" t="str">
        <f t="shared" si="15"/>
        <v>项目建筑规模</v>
      </c>
      <c r="AA30" s="1811" t="e">
        <f t="shared" si="3"/>
        <v>#N/A</v>
      </c>
      <c r="AB30" s="1811" t="e">
        <f t="shared" si="4"/>
        <v>#N/A</v>
      </c>
      <c r="AC30" s="1811"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7"/>
      <c r="Q31" s="1810" t="str">
        <f t="shared" si="11"/>
        <v>建筑结构</v>
      </c>
      <c r="R31" s="774" t="s">
        <v>17</v>
      </c>
      <c r="S31" s="775">
        <f t="shared" si="12"/>
        <v>100</v>
      </c>
      <c r="T31" s="774" t="s">
        <v>17</v>
      </c>
      <c r="U31" s="775">
        <f t="shared" si="13"/>
        <v>100</v>
      </c>
      <c r="V31" s="774" t="s">
        <v>17</v>
      </c>
      <c r="W31" s="775">
        <f t="shared" si="14"/>
        <v>100</v>
      </c>
      <c r="X31" s="1813"/>
      <c r="Y31" s="3157"/>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7"/>
      <c r="Q32" s="1810" t="str">
        <f t="shared" si="11"/>
        <v>公共部分装修</v>
      </c>
      <c r="R32" s="774" t="s">
        <v>17</v>
      </c>
      <c r="S32" s="775">
        <f t="shared" si="12"/>
        <v>100</v>
      </c>
      <c r="T32" s="774" t="s">
        <v>17</v>
      </c>
      <c r="U32" s="775">
        <f t="shared" si="13"/>
        <v>100</v>
      </c>
      <c r="V32" s="774" t="s">
        <v>17</v>
      </c>
      <c r="W32" s="775">
        <f t="shared" si="14"/>
        <v>100</v>
      </c>
      <c r="X32" s="1813"/>
      <c r="Y32" s="3157"/>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7"/>
      <c r="Q33" s="1810" t="str">
        <f t="shared" si="11"/>
        <v>成新度</v>
      </c>
      <c r="R33" s="774" t="s">
        <v>17</v>
      </c>
      <c r="S33" s="775" t="e">
        <f t="shared" si="12"/>
        <v>#N/A</v>
      </c>
      <c r="T33" s="774" t="s">
        <v>17</v>
      </c>
      <c r="U33" s="775" t="e">
        <f t="shared" si="13"/>
        <v>#N/A</v>
      </c>
      <c r="V33" s="774" t="s">
        <v>17</v>
      </c>
      <c r="W33" s="775" t="e">
        <f t="shared" si="14"/>
        <v>#N/A</v>
      </c>
      <c r="X33" s="1813"/>
      <c r="Y33" s="3157"/>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7"/>
      <c r="Q34" s="1795" t="str">
        <f t="shared" si="11"/>
        <v>物业管理</v>
      </c>
      <c r="R34" s="770" t="s">
        <v>17</v>
      </c>
      <c r="S34" s="771">
        <f t="shared" si="12"/>
        <v>100</v>
      </c>
      <c r="T34" s="770" t="s">
        <v>17</v>
      </c>
      <c r="U34" s="771">
        <f t="shared" si="13"/>
        <v>100</v>
      </c>
      <c r="V34" s="770" t="s">
        <v>17</v>
      </c>
      <c r="W34" s="771">
        <f t="shared" si="14"/>
        <v>100</v>
      </c>
      <c r="X34" s="772"/>
      <c r="Y34" s="3157"/>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7" t="s">
        <v>2550</v>
      </c>
      <c r="Q35" s="1810" t="str">
        <f t="shared" si="11"/>
        <v>市政基础设施</v>
      </c>
      <c r="R35" s="774" t="s">
        <v>17</v>
      </c>
      <c r="S35" s="775">
        <f t="shared" si="12"/>
        <v>100</v>
      </c>
      <c r="T35" s="774" t="s">
        <v>17</v>
      </c>
      <c r="U35" s="775">
        <f t="shared" si="13"/>
        <v>100</v>
      </c>
      <c r="V35" s="774" t="s">
        <v>17</v>
      </c>
      <c r="W35" s="775">
        <f t="shared" si="14"/>
        <v>100</v>
      </c>
      <c r="X35" s="1813"/>
      <c r="Y35" s="3157" t="s">
        <v>2550</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7"/>
      <c r="Q36" s="1810" t="str">
        <f t="shared" si="11"/>
        <v>内部装修</v>
      </c>
      <c r="R36" s="774" t="s">
        <v>17</v>
      </c>
      <c r="S36" s="775">
        <f t="shared" si="12"/>
        <v>100</v>
      </c>
      <c r="T36" s="774" t="s">
        <v>17</v>
      </c>
      <c r="U36" s="775">
        <f t="shared" si="13"/>
        <v>100</v>
      </c>
      <c r="V36" s="774" t="s">
        <v>17</v>
      </c>
      <c r="W36" s="775">
        <f t="shared" si="14"/>
        <v>100</v>
      </c>
      <c r="X36" s="1813"/>
      <c r="Y36" s="3157"/>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7"/>
      <c r="Q37" s="1810" t="str">
        <f t="shared" si="11"/>
        <v>内部装修状况</v>
      </c>
      <c r="R37" s="774" t="s">
        <v>17</v>
      </c>
      <c r="S37" s="775">
        <f t="shared" si="12"/>
        <v>100</v>
      </c>
      <c r="T37" s="774" t="s">
        <v>17</v>
      </c>
      <c r="U37" s="775">
        <f t="shared" si="13"/>
        <v>100</v>
      </c>
      <c r="V37" s="774" t="s">
        <v>17</v>
      </c>
      <c r="W37" s="775">
        <f t="shared" si="14"/>
        <v>100</v>
      </c>
      <c r="X37" s="1813"/>
      <c r="Y37" s="315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7"/>
      <c r="Q38" s="776">
        <f t="shared" si="11"/>
        <v>111</v>
      </c>
      <c r="R38" s="777" t="s">
        <v>17</v>
      </c>
      <c r="S38" s="778">
        <f t="shared" si="12"/>
        <v>100</v>
      </c>
      <c r="T38" s="777" t="s">
        <v>17</v>
      </c>
      <c r="U38" s="778">
        <f t="shared" si="13"/>
        <v>100</v>
      </c>
      <c r="V38" s="777" t="s">
        <v>17</v>
      </c>
      <c r="W38" s="778">
        <f t="shared" si="14"/>
        <v>100</v>
      </c>
      <c r="X38" s="779"/>
      <c r="Y38" s="315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7"/>
      <c r="Q39" s="1810">
        <f t="shared" si="11"/>
        <v>111</v>
      </c>
      <c r="R39" s="774" t="s">
        <v>17</v>
      </c>
      <c r="S39" s="775">
        <f t="shared" si="12"/>
        <v>100</v>
      </c>
      <c r="T39" s="774" t="s">
        <v>17</v>
      </c>
      <c r="U39" s="775">
        <f t="shared" si="13"/>
        <v>100</v>
      </c>
      <c r="V39" s="774" t="s">
        <v>17</v>
      </c>
      <c r="W39" s="775">
        <f t="shared" si="14"/>
        <v>100</v>
      </c>
      <c r="X39" s="1813"/>
      <c r="Y39" s="3157"/>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0"/>
      <c r="Q40" s="1810">
        <f t="shared" si="11"/>
        <v>111</v>
      </c>
      <c r="R40" s="774" t="s">
        <v>17</v>
      </c>
      <c r="S40" s="775">
        <f t="shared" si="12"/>
        <v>100</v>
      </c>
      <c r="T40" s="774" t="s">
        <v>17</v>
      </c>
      <c r="U40" s="775">
        <f t="shared" si="13"/>
        <v>100</v>
      </c>
      <c r="V40" s="774" t="s">
        <v>17</v>
      </c>
      <c r="W40" s="775">
        <f t="shared" si="14"/>
        <v>100</v>
      </c>
      <c r="X40" s="1813"/>
      <c r="Y40" s="3230"/>
      <c r="Z40" s="1814">
        <f t="shared" si="15"/>
        <v>111</v>
      </c>
      <c r="AA40" s="1811">
        <f t="shared" si="3"/>
        <v>1</v>
      </c>
      <c r="AB40" s="1811">
        <f t="shared" si="4"/>
        <v>1</v>
      </c>
      <c r="AC40" s="1811">
        <f t="shared" si="5"/>
        <v>1</v>
      </c>
    </row>
    <row r="41" spans="1:29" ht="15">
      <c r="A41" s="479" t="s">
        <v>2562</v>
      </c>
      <c r="B41" s="480"/>
      <c r="C41" s="1407" t="s">
        <v>1</v>
      </c>
      <c r="D41" s="1408"/>
      <c r="E41" s="1409"/>
      <c r="F41" s="1410"/>
      <c r="G41" s="1411"/>
      <c r="H41" s="1412"/>
      <c r="I41" s="1409"/>
      <c r="J41" s="1412"/>
      <c r="K41" s="783"/>
      <c r="L41" s="1143"/>
      <c r="M41" s="1144"/>
      <c r="N41" s="1131"/>
      <c r="O41" s="1144"/>
      <c r="P41" s="3151" t="str">
        <f>A41</f>
        <v>成交单价（元/平方米）</v>
      </c>
      <c r="Q41" s="3151"/>
      <c r="R41" s="3226">
        <f>E41</f>
        <v>0</v>
      </c>
      <c r="S41" s="3226"/>
      <c r="T41" s="3226">
        <f>G41</f>
        <v>0</v>
      </c>
      <c r="U41" s="3226"/>
      <c r="V41" s="3226">
        <f>I41</f>
        <v>0</v>
      </c>
      <c r="W41" s="3226"/>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51" t="str">
        <f>A42</f>
        <v>比较价值（元/平方米）</v>
      </c>
      <c r="Q42" s="315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48" t="str">
        <f>A43</f>
        <v>估价对象XX用房的比较价值（楼面单价，元/平方米）</v>
      </c>
      <c r="Q43" s="3149"/>
      <c r="R43" s="3225" t="e">
        <f>IF(F1="售价",ROUND(AVERAGE(R42:V42),0),ROUND(AVERAGE(R42:V42),1))</f>
        <v>#DIV/0!</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83"/>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2312</v>
      </c>
      <c r="B2" s="1418" t="e">
        <f ca="1">IF(C2="——",IF(B37="元/平方米",ROUND(C39*D3/10000,0),ROUND(F3*C39/10000,0)),IF(B37="元/平方米",ROUND(C39*D3/10000,0),ROUND(F3*C39/10000,0))-D2)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2534</v>
      </c>
      <c r="Q7" s="3187"/>
      <c r="R7" s="770" t="s">
        <v>17</v>
      </c>
      <c r="S7" s="771">
        <f t="shared" ref="S7:S14" si="0">F7</f>
        <v>0</v>
      </c>
      <c r="T7" s="770" t="s">
        <v>17</v>
      </c>
      <c r="U7" s="771">
        <f t="shared" ref="U7:U14" si="1">H7</f>
        <v>0</v>
      </c>
      <c r="V7" s="770" t="s">
        <v>17</v>
      </c>
      <c r="W7" s="771">
        <f t="shared" ref="W7:W14"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1" t="s">
        <v>2540</v>
      </c>
      <c r="Q9" s="1795" t="str">
        <f t="shared" ref="Q9:Q14" si="6">B9</f>
        <v>用途</v>
      </c>
      <c r="R9" s="770" t="s">
        <v>17</v>
      </c>
      <c r="S9" s="771">
        <f t="shared" si="0"/>
        <v>100</v>
      </c>
      <c r="T9" s="770" t="s">
        <v>17</v>
      </c>
      <c r="U9" s="771">
        <f t="shared" si="1"/>
        <v>100</v>
      </c>
      <c r="V9" s="770" t="s">
        <v>17</v>
      </c>
      <c r="W9" s="771">
        <f t="shared" si="2"/>
        <v>100</v>
      </c>
      <c r="X9" s="772"/>
      <c r="Y9" s="3025"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1"/>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01" t="s">
        <v>2544</v>
      </c>
      <c r="B14" s="629" t="s">
        <v>2694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4" t="s">
        <v>2545</v>
      </c>
      <c r="Q14" s="1810" t="str">
        <f t="shared" si="6"/>
        <v>交通便捷度</v>
      </c>
      <c r="R14" s="774" t="s">
        <v>17</v>
      </c>
      <c r="S14" s="775">
        <f t="shared" si="0"/>
        <v>100</v>
      </c>
      <c r="T14" s="774" t="s">
        <v>17</v>
      </c>
      <c r="U14" s="775">
        <f t="shared" si="1"/>
        <v>100</v>
      </c>
      <c r="V14" s="774" t="s">
        <v>17</v>
      </c>
      <c r="W14" s="775">
        <f t="shared" si="2"/>
        <v>100</v>
      </c>
      <c r="X14" s="1813"/>
      <c r="Y14" s="3154" t="s">
        <v>2545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5"/>
      <c r="Q15" s="1810"/>
      <c r="R15" s="774"/>
      <c r="S15" s="775"/>
      <c r="T15" s="774"/>
      <c r="U15" s="775"/>
      <c r="V15" s="774"/>
      <c r="W15" s="775"/>
      <c r="X15" s="1813"/>
      <c r="Y15" s="3155"/>
      <c r="Z15" s="1814"/>
      <c r="AA15" s="1811">
        <v>1</v>
      </c>
      <c r="AB15" s="1811">
        <v>1</v>
      </c>
      <c r="AC15" s="1811">
        <v>1</v>
      </c>
    </row>
    <row r="16" spans="1:29" ht="15">
      <c r="A16" s="404"/>
      <c r="B16" s="631" t="s">
        <v>2673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5"/>
      <c r="Q16" s="1810" t="str">
        <f>B16</f>
        <v>公共配套设施</v>
      </c>
      <c r="R16" s="774" t="s">
        <v>17</v>
      </c>
      <c r="S16" s="775">
        <f>F16</f>
        <v>100</v>
      </c>
      <c r="T16" s="774" t="s">
        <v>17</v>
      </c>
      <c r="U16" s="775">
        <f>H16</f>
        <v>100</v>
      </c>
      <c r="V16" s="774" t="s">
        <v>17</v>
      </c>
      <c r="W16" s="775">
        <f>J16</f>
        <v>100</v>
      </c>
      <c r="X16" s="1813"/>
      <c r="Y16" s="315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55"/>
      <c r="Q17" s="1810"/>
      <c r="R17" s="774"/>
      <c r="S17" s="775"/>
      <c r="T17" s="774"/>
      <c r="U17" s="775"/>
      <c r="V17" s="774"/>
      <c r="W17" s="775"/>
      <c r="X17" s="1813"/>
      <c r="Y17" s="3155"/>
      <c r="Z17" s="1814"/>
      <c r="AA17" s="1811">
        <v>1</v>
      </c>
      <c r="AB17" s="1811">
        <v>1</v>
      </c>
      <c r="AC17" s="1811">
        <v>1</v>
      </c>
    </row>
    <row r="18" spans="1:29" ht="15">
      <c r="A18" s="404"/>
      <c r="B18" s="633" t="s">
        <v>2674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5"/>
      <c r="Q18" s="1810" t="str">
        <f>B18</f>
        <v>基础设施水平</v>
      </c>
      <c r="R18" s="774" t="s">
        <v>17</v>
      </c>
      <c r="S18" s="775">
        <f>F18</f>
        <v>100</v>
      </c>
      <c r="T18" s="774" t="s">
        <v>17</v>
      </c>
      <c r="U18" s="775">
        <f>H18</f>
        <v>100</v>
      </c>
      <c r="V18" s="774" t="s">
        <v>17</v>
      </c>
      <c r="W18" s="775">
        <f>J18</f>
        <v>100</v>
      </c>
      <c r="X18" s="1813"/>
      <c r="Y18" s="315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55"/>
      <c r="Q19" s="1810"/>
      <c r="R19" s="774"/>
      <c r="S19" s="775"/>
      <c r="T19" s="774"/>
      <c r="U19" s="775"/>
      <c r="V19" s="774"/>
      <c r="W19" s="775"/>
      <c r="X19" s="1813"/>
      <c r="Y19" s="3155"/>
      <c r="Z19" s="1814"/>
      <c r="AA19" s="1811">
        <v>1</v>
      </c>
      <c r="AB19" s="1811">
        <v>1</v>
      </c>
      <c r="AC19" s="1811">
        <v>1</v>
      </c>
    </row>
    <row r="20" spans="1:29" ht="15">
      <c r="A20" s="404"/>
      <c r="B20" s="631" t="s">
        <v>2695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5"/>
      <c r="Q20" s="1810" t="str">
        <f>B20</f>
        <v>自然及人文环境</v>
      </c>
      <c r="R20" s="774" t="s">
        <v>17</v>
      </c>
      <c r="S20" s="775">
        <f>F20</f>
        <v>100</v>
      </c>
      <c r="T20" s="774" t="s">
        <v>17</v>
      </c>
      <c r="U20" s="775">
        <f>H20</f>
        <v>100</v>
      </c>
      <c r="V20" s="774" t="s">
        <v>17</v>
      </c>
      <c r="W20" s="775">
        <f>J20</f>
        <v>100</v>
      </c>
      <c r="X20" s="1813"/>
      <c r="Y20" s="315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5"/>
      <c r="Q21" s="1810"/>
      <c r="R21" s="774"/>
      <c r="S21" s="775"/>
      <c r="T21" s="774"/>
      <c r="U21" s="775"/>
      <c r="V21" s="774"/>
      <c r="W21" s="775"/>
      <c r="X21" s="1813"/>
      <c r="Y21" s="3155"/>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5"/>
      <c r="Q22" s="1810" t="str">
        <f>B22</f>
        <v>楼层</v>
      </c>
      <c r="R22" s="774" t="s">
        <v>17</v>
      </c>
      <c r="S22" s="775">
        <f>F22</f>
        <v>100</v>
      </c>
      <c r="T22" s="774" t="s">
        <v>17</v>
      </c>
      <c r="U22" s="775">
        <f>H22</f>
        <v>100</v>
      </c>
      <c r="V22" s="774" t="s">
        <v>17</v>
      </c>
      <c r="W22" s="775">
        <f>J22</f>
        <v>100</v>
      </c>
      <c r="X22" s="1813"/>
      <c r="Y22" s="315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5"/>
      <c r="Q23" s="1810">
        <f>B23</f>
        <v>111</v>
      </c>
      <c r="R23" s="774" t="s">
        <v>17</v>
      </c>
      <c r="S23" s="775">
        <f>F23</f>
        <v>100</v>
      </c>
      <c r="T23" s="774" t="s">
        <v>17</v>
      </c>
      <c r="U23" s="775">
        <f>H23</f>
        <v>100</v>
      </c>
      <c r="V23" s="774" t="s">
        <v>17</v>
      </c>
      <c r="W23" s="775">
        <f>J23</f>
        <v>100</v>
      </c>
      <c r="X23" s="1813"/>
      <c r="Y23" s="315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5"/>
      <c r="Q24" s="1810">
        <f t="shared" ref="Q24:Q36" si="11">B24</f>
        <v>111</v>
      </c>
      <c r="R24" s="774" t="s">
        <v>17</v>
      </c>
      <c r="S24" s="775">
        <f>F24</f>
        <v>100</v>
      </c>
      <c r="T24" s="774" t="s">
        <v>17</v>
      </c>
      <c r="U24" s="775">
        <f>H24</f>
        <v>100</v>
      </c>
      <c r="V24" s="774" t="s">
        <v>17</v>
      </c>
      <c r="W24" s="775">
        <f>J24</f>
        <v>100</v>
      </c>
      <c r="X24" s="1813"/>
      <c r="Y24" s="315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5"/>
      <c r="Q25" s="1795">
        <f t="shared" si="11"/>
        <v>111</v>
      </c>
      <c r="R25" s="770" t="s">
        <v>17</v>
      </c>
      <c r="S25" s="771">
        <f>F25</f>
        <v>100</v>
      </c>
      <c r="T25" s="770" t="s">
        <v>17</v>
      </c>
      <c r="U25" s="771">
        <f>H25</f>
        <v>100</v>
      </c>
      <c r="V25" s="770" t="s">
        <v>17</v>
      </c>
      <c r="W25" s="771">
        <f>J25</f>
        <v>100</v>
      </c>
      <c r="X25" s="772"/>
      <c r="Y25" s="3155"/>
      <c r="Z25" s="55">
        <f>Q25</f>
        <v>111</v>
      </c>
      <c r="AA25" s="1811">
        <f>D25/F25</f>
        <v>1</v>
      </c>
      <c r="AB25" s="1811">
        <f>D25/H25</f>
        <v>1</v>
      </c>
      <c r="AC25" s="1811">
        <f>D25/J25</f>
        <v>1</v>
      </c>
    </row>
    <row r="26" spans="1:29" ht="28.5">
      <c r="A26" s="652" t="s">
        <v>2548</v>
      </c>
      <c r="B26" s="70" t="s">
        <v>2697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6" t="s">
        <v>2550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7" t="s">
        <v>2550</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7"/>
      <c r="Q27" s="776" t="str">
        <f t="shared" si="11"/>
        <v>项目停车位配比</v>
      </c>
      <c r="R27" s="777" t="s">
        <v>17</v>
      </c>
      <c r="S27" s="778">
        <f t="shared" si="12"/>
        <v>100</v>
      </c>
      <c r="T27" s="777" t="s">
        <v>17</v>
      </c>
      <c r="U27" s="778">
        <f t="shared" si="13"/>
        <v>100</v>
      </c>
      <c r="V27" s="777" t="s">
        <v>17</v>
      </c>
      <c r="W27" s="778">
        <f t="shared" si="14"/>
        <v>100</v>
      </c>
      <c r="X27" s="779"/>
      <c r="Y27" s="3157"/>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7"/>
      <c r="Q28" s="1810" t="str">
        <f t="shared" si="11"/>
        <v>公共部分装修</v>
      </c>
      <c r="R28" s="774" t="s">
        <v>17</v>
      </c>
      <c r="S28" s="775">
        <f t="shared" si="12"/>
        <v>100</v>
      </c>
      <c r="T28" s="774" t="s">
        <v>17</v>
      </c>
      <c r="U28" s="775">
        <f t="shared" si="13"/>
        <v>100</v>
      </c>
      <c r="V28" s="774" t="s">
        <v>17</v>
      </c>
      <c r="W28" s="775">
        <f t="shared" si="14"/>
        <v>100</v>
      </c>
      <c r="X28" s="1813"/>
      <c r="Y28" s="3157"/>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7"/>
      <c r="Q29" s="1810" t="str">
        <f t="shared" si="11"/>
        <v>成新率</v>
      </c>
      <c r="R29" s="774" t="s">
        <v>17</v>
      </c>
      <c r="S29" s="775" t="e">
        <f t="shared" si="12"/>
        <v>#N/A</v>
      </c>
      <c r="T29" s="774" t="s">
        <v>17</v>
      </c>
      <c r="U29" s="775" t="e">
        <f t="shared" si="13"/>
        <v>#N/A</v>
      </c>
      <c r="V29" s="774" t="s">
        <v>17</v>
      </c>
      <c r="W29" s="775" t="e">
        <f t="shared" si="14"/>
        <v>#N/A</v>
      </c>
      <c r="X29" s="1813"/>
      <c r="Y29" s="3157"/>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7"/>
      <c r="Q30" s="1810" t="str">
        <f t="shared" si="11"/>
        <v>物业等级</v>
      </c>
      <c r="R30" s="774" t="s">
        <v>17</v>
      </c>
      <c r="S30" s="775">
        <f t="shared" si="12"/>
        <v>100</v>
      </c>
      <c r="T30" s="774" t="s">
        <v>17</v>
      </c>
      <c r="U30" s="775">
        <f t="shared" si="13"/>
        <v>100</v>
      </c>
      <c r="V30" s="774" t="s">
        <v>17</v>
      </c>
      <c r="W30" s="775">
        <f t="shared" si="14"/>
        <v>100</v>
      </c>
      <c r="X30" s="1813"/>
      <c r="Y30" s="3157"/>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7"/>
      <c r="Q31" s="1795" t="str">
        <f t="shared" si="11"/>
        <v>停车位面积</v>
      </c>
      <c r="R31" s="770" t="s">
        <v>17</v>
      </c>
      <c r="S31" s="771" t="e">
        <f t="shared" si="12"/>
        <v>#N/A</v>
      </c>
      <c r="T31" s="770" t="s">
        <v>17</v>
      </c>
      <c r="U31" s="771" t="e">
        <f t="shared" si="13"/>
        <v>#N/A</v>
      </c>
      <c r="V31" s="770" t="s">
        <v>17</v>
      </c>
      <c r="W31" s="771" t="e">
        <f t="shared" si="14"/>
        <v>#N/A</v>
      </c>
      <c r="X31" s="772"/>
      <c r="Y31" s="3157"/>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7" t="s">
        <v>2550</v>
      </c>
      <c r="Q32" s="1810" t="str">
        <f t="shared" si="11"/>
        <v>车位类型</v>
      </c>
      <c r="R32" s="774" t="s">
        <v>17</v>
      </c>
      <c r="S32" s="775">
        <f t="shared" si="12"/>
        <v>100</v>
      </c>
      <c r="T32" s="774" t="s">
        <v>17</v>
      </c>
      <c r="U32" s="775">
        <f t="shared" si="13"/>
        <v>100</v>
      </c>
      <c r="V32" s="774" t="s">
        <v>17</v>
      </c>
      <c r="W32" s="775">
        <f t="shared" si="14"/>
        <v>100</v>
      </c>
      <c r="X32" s="1813"/>
      <c r="Y32" s="3157" t="s">
        <v>2550</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7"/>
      <c r="Q33" s="1810" t="str">
        <f t="shared" si="11"/>
        <v>是否直接入户</v>
      </c>
      <c r="R33" s="774" t="s">
        <v>17</v>
      </c>
      <c r="S33" s="775">
        <f t="shared" si="12"/>
        <v>100</v>
      </c>
      <c r="T33" s="774" t="s">
        <v>17</v>
      </c>
      <c r="U33" s="775">
        <f t="shared" si="13"/>
        <v>100</v>
      </c>
      <c r="V33" s="774" t="s">
        <v>17</v>
      </c>
      <c r="W33" s="775">
        <f t="shared" si="14"/>
        <v>100</v>
      </c>
      <c r="X33" s="1813"/>
      <c r="Y33" s="315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7"/>
      <c r="Q34" s="1810">
        <f t="shared" si="11"/>
        <v>111</v>
      </c>
      <c r="R34" s="774" t="s">
        <v>17</v>
      </c>
      <c r="S34" s="775">
        <f t="shared" si="12"/>
        <v>100</v>
      </c>
      <c r="T34" s="774" t="s">
        <v>17</v>
      </c>
      <c r="U34" s="775">
        <f t="shared" si="13"/>
        <v>100</v>
      </c>
      <c r="V34" s="774" t="s">
        <v>17</v>
      </c>
      <c r="W34" s="775">
        <f t="shared" si="14"/>
        <v>100</v>
      </c>
      <c r="X34" s="1813"/>
      <c r="Y34" s="315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7"/>
      <c r="Q35" s="776">
        <f t="shared" si="11"/>
        <v>111</v>
      </c>
      <c r="R35" s="777" t="s">
        <v>17</v>
      </c>
      <c r="S35" s="778">
        <f t="shared" si="12"/>
        <v>100</v>
      </c>
      <c r="T35" s="777" t="s">
        <v>17</v>
      </c>
      <c r="U35" s="778">
        <f t="shared" si="13"/>
        <v>100</v>
      </c>
      <c r="V35" s="777" t="s">
        <v>17</v>
      </c>
      <c r="W35" s="778">
        <f t="shared" si="14"/>
        <v>100</v>
      </c>
      <c r="X35" s="779"/>
      <c r="Y35" s="315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7"/>
      <c r="Q36" s="1810">
        <f t="shared" si="11"/>
        <v>111</v>
      </c>
      <c r="R36" s="774" t="s">
        <v>17</v>
      </c>
      <c r="S36" s="775">
        <f t="shared" si="12"/>
        <v>100</v>
      </c>
      <c r="T36" s="774" t="s">
        <v>17</v>
      </c>
      <c r="U36" s="775">
        <f t="shared" si="13"/>
        <v>100</v>
      </c>
      <c r="V36" s="774" t="s">
        <v>17</v>
      </c>
      <c r="W36" s="775">
        <f t="shared" si="14"/>
        <v>100</v>
      </c>
      <c r="X36" s="1813"/>
      <c r="Y36" s="3157"/>
      <c r="Z36" s="1814">
        <f t="shared" si="15"/>
        <v>111</v>
      </c>
      <c r="AA36" s="1811">
        <f t="shared" si="3"/>
        <v>1</v>
      </c>
      <c r="AB36" s="1811">
        <f t="shared" si="4"/>
        <v>1</v>
      </c>
      <c r="AC36" s="1811">
        <f t="shared" si="5"/>
        <v>1</v>
      </c>
    </row>
    <row r="37" spans="1:29" ht="15">
      <c r="A37" s="479" t="s">
        <v>2705</v>
      </c>
      <c r="B37" s="2694" t="s">
        <v>2706</v>
      </c>
      <c r="C37" s="1407" t="s">
        <v>1</v>
      </c>
      <c r="D37" s="1408"/>
      <c r="E37" s="1409"/>
      <c r="F37" s="1410"/>
      <c r="G37" s="1411"/>
      <c r="H37" s="1412"/>
      <c r="I37" s="1409"/>
      <c r="J37" s="1412"/>
      <c r="K37" s="619"/>
      <c r="L37" s="1143"/>
      <c r="M37" s="1144"/>
      <c r="N37" s="1131"/>
      <c r="O37" s="1144"/>
      <c r="P37" s="3151" t="str">
        <f>A37</f>
        <v>成交单价</v>
      </c>
      <c r="Q37" s="3151"/>
      <c r="R37" s="3226">
        <f>E37</f>
        <v>0</v>
      </c>
      <c r="S37" s="3226"/>
      <c r="T37" s="3226">
        <f>G37</f>
        <v>0</v>
      </c>
      <c r="U37" s="3226"/>
      <c r="V37" s="3226">
        <f>I37</f>
        <v>0</v>
      </c>
      <c r="W37" s="3226"/>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1" t="str">
        <f>A38</f>
        <v>比较价值（元/平方米）</v>
      </c>
      <c r="Q38" s="315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48" t="str">
        <f>A39</f>
        <v>估价对象XX用房的比较价值（楼面单价，元/平方米）</v>
      </c>
      <c r="Q39" s="3149"/>
      <c r="R39" s="3225" t="e">
        <f>IF(F1="售价",ROUND(AVERAGE(R38:V38),0),ROUND(AVERAGE(R38:V38),1))</f>
        <v>#DIV/0!</v>
      </c>
      <c r="S39" s="3225"/>
      <c r="T39" s="3225"/>
      <c r="U39" s="3225"/>
      <c r="V39" s="3225"/>
      <c r="W39" s="32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IF(C2="——",ROUND(C37*D3/10000,0),ROUND(C37*D3/10000,0)-D2)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3" t="s">
        <v>2534</v>
      </c>
      <c r="Q7" s="3187"/>
      <c r="R7" s="770" t="s">
        <v>17</v>
      </c>
      <c r="S7" s="771">
        <f t="shared" ref="S7:S14" si="0">F7</f>
        <v>0</v>
      </c>
      <c r="T7" s="770" t="s">
        <v>17</v>
      </c>
      <c r="U7" s="771">
        <f t="shared" ref="U7:U14" si="1">H7</f>
        <v>0</v>
      </c>
      <c r="V7" s="770" t="s">
        <v>17</v>
      </c>
      <c r="W7" s="771">
        <f t="shared" ref="W7:W14"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1" t="s">
        <v>2540</v>
      </c>
      <c r="Q9" s="1795" t="str">
        <f t="shared" ref="Q9:Q14" si="6">B9</f>
        <v>用途</v>
      </c>
      <c r="R9" s="770" t="s">
        <v>17</v>
      </c>
      <c r="S9" s="771">
        <f t="shared" si="0"/>
        <v>100</v>
      </c>
      <c r="T9" s="770" t="s">
        <v>17</v>
      </c>
      <c r="U9" s="771">
        <f t="shared" si="1"/>
        <v>100</v>
      </c>
      <c r="V9" s="770" t="s">
        <v>17</v>
      </c>
      <c r="W9" s="771">
        <f t="shared" si="2"/>
        <v>100</v>
      </c>
      <c r="X9" s="772"/>
      <c r="Y9" s="3025"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1"/>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40" t="s">
        <v>2544</v>
      </c>
      <c r="B14" s="69" t="s">
        <v>2694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4" t="s">
        <v>2545</v>
      </c>
      <c r="Q14" s="1810" t="str">
        <f t="shared" si="6"/>
        <v>交通便捷度</v>
      </c>
      <c r="R14" s="774" t="s">
        <v>17</v>
      </c>
      <c r="S14" s="775">
        <f t="shared" si="0"/>
        <v>100</v>
      </c>
      <c r="T14" s="774" t="s">
        <v>17</v>
      </c>
      <c r="U14" s="775">
        <f t="shared" si="1"/>
        <v>100</v>
      </c>
      <c r="V14" s="774" t="s">
        <v>17</v>
      </c>
      <c r="W14" s="775">
        <f t="shared" si="2"/>
        <v>100</v>
      </c>
      <c r="X14" s="1813"/>
      <c r="Y14" s="3154" t="s">
        <v>2545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5"/>
      <c r="Q15" s="1810"/>
      <c r="R15" s="774"/>
      <c r="S15" s="775"/>
      <c r="T15" s="774"/>
      <c r="U15" s="775"/>
      <c r="V15" s="774"/>
      <c r="W15" s="775"/>
      <c r="X15" s="1813"/>
      <c r="Y15" s="3155"/>
      <c r="Z15" s="1814"/>
      <c r="AA15" s="1811">
        <v>1</v>
      </c>
      <c r="AB15" s="1811">
        <v>1</v>
      </c>
      <c r="AC15" s="1811">
        <v>1</v>
      </c>
    </row>
    <row r="16" spans="1:29" ht="15">
      <c r="A16" s="428"/>
      <c r="B16" s="451" t="s">
        <v>2673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5"/>
      <c r="Q16" s="1810" t="str">
        <f>B16</f>
        <v>公共配套设施</v>
      </c>
      <c r="R16" s="774" t="s">
        <v>17</v>
      </c>
      <c r="S16" s="775">
        <f>F16</f>
        <v>100</v>
      </c>
      <c r="T16" s="774" t="s">
        <v>17</v>
      </c>
      <c r="U16" s="775">
        <f>H16</f>
        <v>100</v>
      </c>
      <c r="V16" s="774" t="s">
        <v>17</v>
      </c>
      <c r="W16" s="775">
        <f>J16</f>
        <v>100</v>
      </c>
      <c r="X16" s="1813"/>
      <c r="Y16" s="315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55"/>
      <c r="Q17" s="1810"/>
      <c r="R17" s="774"/>
      <c r="S17" s="775"/>
      <c r="T17" s="774"/>
      <c r="U17" s="775"/>
      <c r="V17" s="774"/>
      <c r="W17" s="775"/>
      <c r="X17" s="1813"/>
      <c r="Y17" s="3155"/>
      <c r="Z17" s="1814"/>
      <c r="AA17" s="1811">
        <v>1</v>
      </c>
      <c r="AB17" s="1811">
        <v>1</v>
      </c>
      <c r="AC17" s="1811">
        <v>1</v>
      </c>
    </row>
    <row r="18" spans="1:29" ht="15">
      <c r="A18" s="428"/>
      <c r="B18" s="1384" t="s">
        <v>2674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5"/>
      <c r="Q18" s="1810" t="str">
        <f>B18</f>
        <v>基础设施水平</v>
      </c>
      <c r="R18" s="774" t="s">
        <v>17</v>
      </c>
      <c r="S18" s="775">
        <f>F18</f>
        <v>100</v>
      </c>
      <c r="T18" s="774" t="s">
        <v>17</v>
      </c>
      <c r="U18" s="775">
        <f>H18</f>
        <v>100</v>
      </c>
      <c r="V18" s="774" t="s">
        <v>17</v>
      </c>
      <c r="W18" s="775">
        <f>J18</f>
        <v>100</v>
      </c>
      <c r="X18" s="1813"/>
      <c r="Y18" s="3155"/>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55"/>
      <c r="Q19" s="1810"/>
      <c r="R19" s="774"/>
      <c r="S19" s="775"/>
      <c r="T19" s="774"/>
      <c r="U19" s="775"/>
      <c r="V19" s="774"/>
      <c r="W19" s="775"/>
      <c r="X19" s="1813"/>
      <c r="Y19" s="3155"/>
      <c r="Z19" s="1814"/>
      <c r="AA19" s="1811">
        <v>1</v>
      </c>
      <c r="AB19" s="1811">
        <v>1</v>
      </c>
      <c r="AC19" s="1811">
        <v>1</v>
      </c>
    </row>
    <row r="20" spans="1:29" ht="15">
      <c r="A20" s="428"/>
      <c r="B20" s="451" t="s">
        <v>2695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5"/>
      <c r="Q20" s="1810" t="str">
        <f>B20</f>
        <v>自然及人文环境</v>
      </c>
      <c r="R20" s="774" t="s">
        <v>17</v>
      </c>
      <c r="S20" s="775">
        <f>F20</f>
        <v>100</v>
      </c>
      <c r="T20" s="774" t="s">
        <v>17</v>
      </c>
      <c r="U20" s="775">
        <f>H20</f>
        <v>100</v>
      </c>
      <c r="V20" s="774" t="s">
        <v>17</v>
      </c>
      <c r="W20" s="775">
        <f>J20</f>
        <v>100</v>
      </c>
      <c r="X20" s="1813"/>
      <c r="Y20" s="315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5"/>
      <c r="Q21" s="1810"/>
      <c r="R21" s="774"/>
      <c r="S21" s="775"/>
      <c r="T21" s="774"/>
      <c r="U21" s="775"/>
      <c r="V21" s="774"/>
      <c r="W21" s="775"/>
      <c r="X21" s="1813"/>
      <c r="Y21" s="3155"/>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5"/>
      <c r="Q22" s="1810" t="str">
        <f>B22</f>
        <v>楼层</v>
      </c>
      <c r="R22" s="774" t="s">
        <v>17</v>
      </c>
      <c r="S22" s="775">
        <f>F22</f>
        <v>100</v>
      </c>
      <c r="T22" s="774" t="s">
        <v>17</v>
      </c>
      <c r="U22" s="775">
        <f>H22</f>
        <v>100</v>
      </c>
      <c r="V22" s="774" t="s">
        <v>17</v>
      </c>
      <c r="W22" s="775">
        <f>J22</f>
        <v>100</v>
      </c>
      <c r="X22" s="1813"/>
      <c r="Y22" s="315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5"/>
      <c r="Q23" s="1810">
        <f>B23</f>
        <v>111</v>
      </c>
      <c r="R23" s="774" t="s">
        <v>17</v>
      </c>
      <c r="S23" s="775">
        <f>F23</f>
        <v>100</v>
      </c>
      <c r="T23" s="774" t="s">
        <v>17</v>
      </c>
      <c r="U23" s="775">
        <f>H23</f>
        <v>100</v>
      </c>
      <c r="V23" s="774" t="s">
        <v>17</v>
      </c>
      <c r="W23" s="775">
        <f>J23</f>
        <v>100</v>
      </c>
      <c r="X23" s="1813"/>
      <c r="Y23" s="315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5"/>
      <c r="Q24" s="1810">
        <f t="shared" ref="Q24:Q34" si="11">B24</f>
        <v>111</v>
      </c>
      <c r="R24" s="774" t="s">
        <v>17</v>
      </c>
      <c r="S24" s="775">
        <f>F24</f>
        <v>100</v>
      </c>
      <c r="T24" s="774" t="s">
        <v>17</v>
      </c>
      <c r="U24" s="775">
        <f>H24</f>
        <v>100</v>
      </c>
      <c r="V24" s="774" t="s">
        <v>17</v>
      </c>
      <c r="W24" s="775">
        <f>J24</f>
        <v>100</v>
      </c>
      <c r="X24" s="1813"/>
      <c r="Y24" s="315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55"/>
      <c r="Q25" s="1795">
        <f t="shared" si="11"/>
        <v>111</v>
      </c>
      <c r="R25" s="770" t="s">
        <v>17</v>
      </c>
      <c r="S25" s="771">
        <f>F25</f>
        <v>100</v>
      </c>
      <c r="T25" s="770" t="s">
        <v>17</v>
      </c>
      <c r="U25" s="771">
        <f>H25</f>
        <v>100</v>
      </c>
      <c r="V25" s="770" t="s">
        <v>17</v>
      </c>
      <c r="W25" s="771">
        <f>J25</f>
        <v>100</v>
      </c>
      <c r="X25" s="772"/>
      <c r="Y25" s="3155"/>
      <c r="Z25" s="55">
        <f>Q25</f>
        <v>111</v>
      </c>
      <c r="AA25" s="1811">
        <f>D25/F25</f>
        <v>1</v>
      </c>
      <c r="AB25" s="1811">
        <f>D25/H25</f>
        <v>1</v>
      </c>
      <c r="AC25" s="1811">
        <f>D25/J25</f>
        <v>1</v>
      </c>
    </row>
    <row r="26" spans="1:29" ht="28.5">
      <c r="A26" s="466" t="s">
        <v>2548</v>
      </c>
      <c r="B26" s="71" t="s">
        <v>2699</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56" t="s">
        <v>2550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7" t="s">
        <v>2550</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7"/>
      <c r="Q27" s="776" t="str">
        <f t="shared" si="11"/>
        <v>成新率</v>
      </c>
      <c r="R27" s="777" t="s">
        <v>17</v>
      </c>
      <c r="S27" s="778" t="e">
        <f t="shared" si="12"/>
        <v>#N/A</v>
      </c>
      <c r="T27" s="777" t="s">
        <v>17</v>
      </c>
      <c r="U27" s="778" t="e">
        <f t="shared" si="13"/>
        <v>#N/A</v>
      </c>
      <c r="V27" s="777" t="s">
        <v>17</v>
      </c>
      <c r="W27" s="778" t="e">
        <f t="shared" si="14"/>
        <v>#N/A</v>
      </c>
      <c r="X27" s="779"/>
      <c r="Y27" s="3157"/>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7"/>
      <c r="Q28" s="1810" t="str">
        <f t="shared" si="11"/>
        <v>物业等级</v>
      </c>
      <c r="R28" s="774" t="s">
        <v>17</v>
      </c>
      <c r="S28" s="775">
        <f t="shared" si="12"/>
        <v>100</v>
      </c>
      <c r="T28" s="774" t="s">
        <v>17</v>
      </c>
      <c r="U28" s="775">
        <f t="shared" si="13"/>
        <v>100</v>
      </c>
      <c r="V28" s="774" t="s">
        <v>17</v>
      </c>
      <c r="W28" s="775">
        <f t="shared" si="14"/>
        <v>100</v>
      </c>
      <c r="X28" s="1813"/>
      <c r="Y28" s="3157"/>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7"/>
      <c r="Q29" s="1810" t="str">
        <f t="shared" si="11"/>
        <v>有无电梯</v>
      </c>
      <c r="R29" s="774" t="s">
        <v>17</v>
      </c>
      <c r="S29" s="775">
        <f t="shared" si="12"/>
        <v>100</v>
      </c>
      <c r="T29" s="774" t="s">
        <v>17</v>
      </c>
      <c r="U29" s="775">
        <f t="shared" si="13"/>
        <v>100</v>
      </c>
      <c r="V29" s="774" t="s">
        <v>17</v>
      </c>
      <c r="W29" s="775">
        <f t="shared" si="14"/>
        <v>100</v>
      </c>
      <c r="X29" s="1813"/>
      <c r="Y29" s="3157"/>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7"/>
      <c r="Q30" s="1810" t="str">
        <f t="shared" si="11"/>
        <v>建筑面积</v>
      </c>
      <c r="R30" s="774" t="s">
        <v>17</v>
      </c>
      <c r="S30" s="775" t="e">
        <f t="shared" si="12"/>
        <v>#N/A</v>
      </c>
      <c r="T30" s="774" t="s">
        <v>17</v>
      </c>
      <c r="U30" s="775" t="e">
        <f t="shared" si="13"/>
        <v>#N/A</v>
      </c>
      <c r="V30" s="774" t="s">
        <v>17</v>
      </c>
      <c r="W30" s="775" t="e">
        <f t="shared" si="14"/>
        <v>#N/A</v>
      </c>
      <c r="X30" s="1813"/>
      <c r="Y30" s="3157"/>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7"/>
      <c r="Q31" s="1795" t="str">
        <f t="shared" si="11"/>
        <v>是否封闭</v>
      </c>
      <c r="R31" s="770" t="s">
        <v>17</v>
      </c>
      <c r="S31" s="771">
        <f t="shared" si="12"/>
        <v>100</v>
      </c>
      <c r="T31" s="770" t="s">
        <v>17</v>
      </c>
      <c r="U31" s="771">
        <f t="shared" si="13"/>
        <v>100</v>
      </c>
      <c r="V31" s="770" t="s">
        <v>17</v>
      </c>
      <c r="W31" s="771">
        <f t="shared" si="14"/>
        <v>100</v>
      </c>
      <c r="X31" s="772"/>
      <c r="Y31" s="315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7" t="s">
        <v>2550</v>
      </c>
      <c r="Q32" s="1810">
        <f t="shared" si="11"/>
        <v>111</v>
      </c>
      <c r="R32" s="774" t="s">
        <v>17</v>
      </c>
      <c r="S32" s="775">
        <f t="shared" si="12"/>
        <v>100</v>
      </c>
      <c r="T32" s="774" t="s">
        <v>17</v>
      </c>
      <c r="U32" s="775">
        <f t="shared" si="13"/>
        <v>100</v>
      </c>
      <c r="V32" s="774" t="s">
        <v>17</v>
      </c>
      <c r="W32" s="775">
        <f t="shared" si="14"/>
        <v>100</v>
      </c>
      <c r="X32" s="1813"/>
      <c r="Y32" s="3157" t="s">
        <v>2550</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7"/>
      <c r="Q33" s="1810">
        <f t="shared" si="11"/>
        <v>111</v>
      </c>
      <c r="R33" s="774" t="s">
        <v>17</v>
      </c>
      <c r="S33" s="775">
        <f t="shared" si="12"/>
        <v>100</v>
      </c>
      <c r="T33" s="774" t="s">
        <v>17</v>
      </c>
      <c r="U33" s="775">
        <f t="shared" si="13"/>
        <v>100</v>
      </c>
      <c r="V33" s="774" t="s">
        <v>17</v>
      </c>
      <c r="W33" s="775">
        <f t="shared" si="14"/>
        <v>100</v>
      </c>
      <c r="X33" s="1813"/>
      <c r="Y33" s="3157"/>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57"/>
      <c r="Q34" s="1810">
        <f t="shared" si="11"/>
        <v>111</v>
      </c>
      <c r="R34" s="774" t="s">
        <v>17</v>
      </c>
      <c r="S34" s="775">
        <f t="shared" si="12"/>
        <v>100</v>
      </c>
      <c r="T34" s="774" t="s">
        <v>17</v>
      </c>
      <c r="U34" s="775">
        <f t="shared" si="13"/>
        <v>100</v>
      </c>
      <c r="V34" s="774" t="s">
        <v>17</v>
      </c>
      <c r="W34" s="775">
        <f t="shared" si="14"/>
        <v>100</v>
      </c>
      <c r="X34" s="1813"/>
      <c r="Y34" s="3157"/>
      <c r="Z34" s="1814">
        <f t="shared" si="15"/>
        <v>111</v>
      </c>
      <c r="AA34" s="1811">
        <f t="shared" si="3"/>
        <v>1</v>
      </c>
      <c r="AB34" s="1811">
        <f t="shared" si="4"/>
        <v>1</v>
      </c>
      <c r="AC34" s="1811">
        <f t="shared" si="5"/>
        <v>1</v>
      </c>
    </row>
    <row r="35" spans="1:29" ht="15">
      <c r="A35" s="479" t="s">
        <v>2562</v>
      </c>
      <c r="B35" s="480"/>
      <c r="C35" s="1407" t="s">
        <v>1</v>
      </c>
      <c r="D35" s="1408"/>
      <c r="E35" s="1409"/>
      <c r="F35" s="1410"/>
      <c r="G35" s="1411"/>
      <c r="H35" s="1412"/>
      <c r="I35" s="1409"/>
      <c r="J35" s="1412"/>
      <c r="K35" s="783"/>
      <c r="L35" s="1143"/>
      <c r="M35" s="1144"/>
      <c r="N35" s="1131"/>
      <c r="O35" s="1144"/>
      <c r="P35" s="3151" t="str">
        <f>A35</f>
        <v>成交单价（元/平方米）</v>
      </c>
      <c r="Q35" s="3151"/>
      <c r="R35" s="3226">
        <f>E35</f>
        <v>0</v>
      </c>
      <c r="S35" s="3226"/>
      <c r="T35" s="3226">
        <f>G35</f>
        <v>0</v>
      </c>
      <c r="U35" s="3226"/>
      <c r="V35" s="3226">
        <f>I35</f>
        <v>0</v>
      </c>
      <c r="W35" s="3226"/>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51" t="str">
        <f>A36</f>
        <v>比较价值（元/平方米）</v>
      </c>
      <c r="Q36" s="315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48" t="str">
        <f>A37</f>
        <v>估价对象XX用房的比较价值（楼面单价，元/平方米）</v>
      </c>
      <c r="Q37" s="3149"/>
      <c r="R37" s="3225" t="e">
        <f>IF(F1="售价",ROUND(AVERAGE(R36:V36),0),ROUND(AVERAGE(R36:V36),1))</f>
        <v>#DIV/0!</v>
      </c>
      <c r="S37" s="3225"/>
      <c r="T37" s="3225"/>
      <c r="U37" s="3225"/>
      <c r="V37" s="3225"/>
      <c r="W37" s="32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30"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30"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30" s="117" customFormat="1" ht="15.75" thickBot="1">
      <c r="A7" s="408" t="s">
        <v>2533</v>
      </c>
      <c r="B7" s="409"/>
      <c r="C7" s="410">
        <f>'数据-取费表'!B2</f>
        <v>43584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5" si="3">D8/F8</f>
        <v>#DIV/0!</v>
      </c>
      <c r="AB8" s="773" t="e">
        <f t="shared" ref="AB8:AB45" si="4">D8/H8</f>
        <v>#DIV/0!</v>
      </c>
      <c r="AC8" s="773" t="e">
        <f t="shared" ref="AC8:AC45" si="5">D8/J8</f>
        <v>#DIV/0!</v>
      </c>
    </row>
    <row r="9" spans="1:30" s="117" customFormat="1">
      <c r="A9" s="415" t="s">
        <v>2538</v>
      </c>
      <c r="B9" s="71" t="s">
        <v>2539</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51"/>
      <c r="Q10" s="1795"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9"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1"/>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c r="A15" s="440" t="s">
        <v>2544</v>
      </c>
      <c r="B15" s="69" t="s">
        <v>2078</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4" t="s">
        <v>2545</v>
      </c>
      <c r="Q15" s="1810" t="str">
        <f t="shared" si="6"/>
        <v>居住社区成熟度</v>
      </c>
      <c r="R15" s="774" t="s">
        <v>17</v>
      </c>
      <c r="S15" s="775">
        <f t="shared" si="0"/>
        <v>100</v>
      </c>
      <c r="T15" s="774" t="s">
        <v>17</v>
      </c>
      <c r="U15" s="775">
        <f t="shared" si="1"/>
        <v>100</v>
      </c>
      <c r="V15" s="774" t="s">
        <v>17</v>
      </c>
      <c r="W15" s="775">
        <f t="shared" si="2"/>
        <v>100</v>
      </c>
      <c r="X15" s="1813"/>
      <c r="Y15" s="3154" t="s">
        <v>2545</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451" t="s">
        <v>2638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5"/>
      <c r="Q17" s="1810" t="str">
        <f>B17</f>
        <v>商业繁华度</v>
      </c>
      <c r="R17" s="774" t="s">
        <v>17</v>
      </c>
      <c r="S17" s="775">
        <f>F17</f>
        <v>100</v>
      </c>
      <c r="T17" s="774" t="s">
        <v>17</v>
      </c>
      <c r="U17" s="775">
        <f>H17</f>
        <v>100</v>
      </c>
      <c r="V17" s="774" t="s">
        <v>17</v>
      </c>
      <c r="W17" s="775">
        <f>J17</f>
        <v>100</v>
      </c>
      <c r="X17" s="1813"/>
      <c r="Y17" s="315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451" t="s">
        <v>2672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5"/>
      <c r="Q19" s="1810" t="str">
        <f>B19</f>
        <v>办公集聚程度</v>
      </c>
      <c r="R19" s="774" t="s">
        <v>17</v>
      </c>
      <c r="S19" s="775">
        <f>F19</f>
        <v>100</v>
      </c>
      <c r="T19" s="774" t="s">
        <v>17</v>
      </c>
      <c r="U19" s="775">
        <f>H19</f>
        <v>100</v>
      </c>
      <c r="V19" s="774" t="s">
        <v>17</v>
      </c>
      <c r="W19" s="775">
        <f>J19</f>
        <v>100</v>
      </c>
      <c r="X19" s="1813"/>
      <c r="Y19" s="315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55"/>
      <c r="Q20" s="1810"/>
      <c r="R20" s="774"/>
      <c r="S20" s="775"/>
      <c r="T20" s="774"/>
      <c r="U20" s="775"/>
      <c r="V20" s="774"/>
      <c r="W20" s="775"/>
      <c r="X20" s="1813"/>
      <c r="Y20" s="3155"/>
      <c r="Z20" s="1814"/>
      <c r="AA20" s="1811">
        <v>1</v>
      </c>
      <c r="AB20" s="1811">
        <v>1</v>
      </c>
      <c r="AC20" s="1811">
        <v>1</v>
      </c>
    </row>
    <row r="21" spans="1:29" ht="15">
      <c r="A21" s="428"/>
      <c r="B21" s="451" t="s">
        <v>2694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5"/>
      <c r="Q21" s="1810" t="str">
        <f>B21</f>
        <v>交通便捷度</v>
      </c>
      <c r="R21" s="774" t="s">
        <v>17</v>
      </c>
      <c r="S21" s="775">
        <f>F21</f>
        <v>100</v>
      </c>
      <c r="T21" s="774" t="s">
        <v>17</v>
      </c>
      <c r="U21" s="775">
        <f>H21</f>
        <v>100</v>
      </c>
      <c r="V21" s="774" t="s">
        <v>17</v>
      </c>
      <c r="W21" s="775">
        <f>J21</f>
        <v>100</v>
      </c>
      <c r="X21" s="1813"/>
      <c r="Y21" s="3155"/>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55"/>
      <c r="Q22" s="1810"/>
      <c r="R22" s="774"/>
      <c r="S22" s="775"/>
      <c r="T22" s="774"/>
      <c r="U22" s="775"/>
      <c r="V22" s="774"/>
      <c r="W22" s="775"/>
      <c r="X22" s="1813"/>
      <c r="Y22" s="3155"/>
      <c r="Z22" s="1814"/>
      <c r="AA22" s="1811">
        <v>1</v>
      </c>
      <c r="AB22" s="1811">
        <v>1</v>
      </c>
      <c r="AC22" s="1811">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5"/>
      <c r="Q23" s="1810" t="str">
        <f t="shared" ref="Q23:Q37" si="8">B23</f>
        <v>区域土地利用方向</v>
      </c>
      <c r="R23" s="774" t="s">
        <v>17</v>
      </c>
      <c r="S23" s="775">
        <f>F23</f>
        <v>100</v>
      </c>
      <c r="T23" s="774" t="s">
        <v>17</v>
      </c>
      <c r="U23" s="775">
        <f>H23</f>
        <v>100</v>
      </c>
      <c r="V23" s="774" t="s">
        <v>17</v>
      </c>
      <c r="W23" s="775">
        <f>J23</f>
        <v>100</v>
      </c>
      <c r="X23" s="1813"/>
      <c r="Y23" s="315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55"/>
      <c r="Q24" s="1810"/>
      <c r="R24" s="774"/>
      <c r="S24" s="775"/>
      <c r="T24" s="774"/>
      <c r="U24" s="775"/>
      <c r="V24" s="774"/>
      <c r="W24" s="775"/>
      <c r="X24" s="1813"/>
      <c r="Y24" s="3155"/>
      <c r="Z24" s="1814"/>
      <c r="AA24" s="1811"/>
      <c r="AB24" s="1811"/>
      <c r="AC24" s="1811"/>
    </row>
    <row r="25" spans="1:29" ht="27">
      <c r="A25" s="404"/>
      <c r="B25" s="1384" t="s">
        <v>2734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5"/>
      <c r="Q25" s="1810" t="str">
        <f t="shared" si="8"/>
        <v>自然及人文环境状况</v>
      </c>
      <c r="R25" s="774" t="s">
        <v>17</v>
      </c>
      <c r="S25" s="775">
        <f>F25</f>
        <v>100</v>
      </c>
      <c r="T25" s="774" t="s">
        <v>17</v>
      </c>
      <c r="U25" s="775">
        <f>H25</f>
        <v>100</v>
      </c>
      <c r="V25" s="774" t="s">
        <v>17</v>
      </c>
      <c r="W25" s="775">
        <f>J25</f>
        <v>100</v>
      </c>
      <c r="X25" s="1813"/>
      <c r="Y25" s="315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55"/>
      <c r="Q26" s="1810"/>
      <c r="R26" s="774"/>
      <c r="S26" s="775"/>
      <c r="T26" s="774"/>
      <c r="U26" s="775"/>
      <c r="V26" s="774"/>
      <c r="W26" s="775"/>
      <c r="X26" s="1813"/>
      <c r="Y26" s="3155"/>
      <c r="Z26" s="1814"/>
      <c r="AA26" s="1811">
        <v>1</v>
      </c>
      <c r="AB26" s="1811">
        <v>1</v>
      </c>
      <c r="AC26" s="1811">
        <v>1</v>
      </c>
    </row>
    <row r="27" spans="1:29" s="117" customFormat="1" ht="15">
      <c r="A27" s="649"/>
      <c r="B27" s="1384" t="s">
        <v>2639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5"/>
      <c r="Q27" s="1795" t="str">
        <f t="shared" si="8"/>
        <v>公共配套设施</v>
      </c>
      <c r="R27" s="770" t="s">
        <v>17</v>
      </c>
      <c r="S27" s="771">
        <f>F27</f>
        <v>100</v>
      </c>
      <c r="T27" s="770" t="s">
        <v>17</v>
      </c>
      <c r="U27" s="771">
        <f>H27</f>
        <v>100</v>
      </c>
      <c r="V27" s="770" t="s">
        <v>17</v>
      </c>
      <c r="W27" s="771">
        <f>J27</f>
        <v>100</v>
      </c>
      <c r="X27" s="772"/>
      <c r="Y27" s="315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55"/>
      <c r="Q28" s="1795"/>
      <c r="R28" s="770"/>
      <c r="S28" s="771"/>
      <c r="T28" s="770"/>
      <c r="U28" s="771"/>
      <c r="V28" s="770"/>
      <c r="W28" s="771"/>
      <c r="X28" s="772"/>
      <c r="Y28" s="3155"/>
      <c r="Z28" s="55"/>
      <c r="AA28" s="1811">
        <v>1</v>
      </c>
      <c r="AB28" s="1811">
        <v>1</v>
      </c>
      <c r="AC28" s="1811">
        <v>1</v>
      </c>
    </row>
    <row r="29" spans="1:29" s="117" customFormat="1" ht="15">
      <c r="A29" s="649"/>
      <c r="B29" s="1384" t="s">
        <v>2640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5"/>
      <c r="Q29" s="1795" t="str">
        <f t="shared" ref="Q29" si="9">B29</f>
        <v>基础设施水平</v>
      </c>
      <c r="R29" s="770" t="s">
        <v>17</v>
      </c>
      <c r="S29" s="771">
        <f>F29</f>
        <v>100</v>
      </c>
      <c r="T29" s="770" t="s">
        <v>17</v>
      </c>
      <c r="U29" s="771">
        <f>H29</f>
        <v>100</v>
      </c>
      <c r="V29" s="770" t="s">
        <v>17</v>
      </c>
      <c r="W29" s="771">
        <f>J29</f>
        <v>100</v>
      </c>
      <c r="X29" s="772"/>
      <c r="Y29" s="315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55"/>
      <c r="Q30" s="1795"/>
      <c r="R30" s="770"/>
      <c r="S30" s="771"/>
      <c r="T30" s="770"/>
      <c r="U30" s="771"/>
      <c r="V30" s="770"/>
      <c r="W30" s="771"/>
      <c r="X30" s="772"/>
      <c r="Y30" s="3155"/>
      <c r="Z30" s="55"/>
      <c r="AA30" s="1811">
        <v>1</v>
      </c>
      <c r="AB30" s="1811">
        <v>1</v>
      </c>
      <c r="AC30" s="1811">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5"/>
      <c r="Z31" s="1814" t="str">
        <f t="shared" ref="Z31:Z45" si="13">Q31</f>
        <v>临街状况</v>
      </c>
      <c r="AA31" s="1811">
        <f t="shared" si="3"/>
        <v>1</v>
      </c>
      <c r="AB31" s="1811">
        <f t="shared" si="4"/>
        <v>1</v>
      </c>
      <c r="AC31" s="1811">
        <f t="shared" si="5"/>
        <v>1</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5"/>
      <c r="Q32" s="1810" t="str">
        <f t="shared" si="8"/>
        <v>毗邻道路的类型与等级</v>
      </c>
      <c r="R32" s="774" t="s">
        <v>17</v>
      </c>
      <c r="S32" s="775">
        <f t="shared" si="10"/>
        <v>100</v>
      </c>
      <c r="T32" s="774" t="s">
        <v>17</v>
      </c>
      <c r="U32" s="775">
        <f t="shared" si="11"/>
        <v>100</v>
      </c>
      <c r="V32" s="774" t="s">
        <v>17</v>
      </c>
      <c r="W32" s="775">
        <f t="shared" si="12"/>
        <v>100</v>
      </c>
      <c r="X32" s="1813"/>
      <c r="Y32" s="315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55"/>
      <c r="Q33" s="1810"/>
      <c r="R33" s="774"/>
      <c r="S33" s="775"/>
      <c r="T33" s="774"/>
      <c r="U33" s="775"/>
      <c r="V33" s="774"/>
      <c r="W33" s="775"/>
      <c r="X33" s="1813"/>
      <c r="Y33" s="3155"/>
      <c r="Z33" s="1814"/>
      <c r="AA33" s="1811">
        <v>1</v>
      </c>
      <c r="AB33" s="1811">
        <v>1</v>
      </c>
      <c r="AC33" s="1811">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5"/>
      <c r="Q34" s="1810" t="str">
        <f t="shared" si="8"/>
        <v>土地级别</v>
      </c>
      <c r="R34" s="774" t="s">
        <v>17</v>
      </c>
      <c r="S34" s="775">
        <f t="shared" si="10"/>
        <v>100</v>
      </c>
      <c r="T34" s="774" t="s">
        <v>17</v>
      </c>
      <c r="U34" s="775">
        <f t="shared" si="11"/>
        <v>100</v>
      </c>
      <c r="V34" s="774" t="s">
        <v>17</v>
      </c>
      <c r="W34" s="775">
        <f t="shared" si="12"/>
        <v>100</v>
      </c>
      <c r="X34" s="1813"/>
      <c r="Y34" s="315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5"/>
      <c r="Q35" s="1810">
        <f t="shared" si="8"/>
        <v>111</v>
      </c>
      <c r="R35" s="774" t="s">
        <v>17</v>
      </c>
      <c r="S35" s="775">
        <f t="shared" si="10"/>
        <v>100</v>
      </c>
      <c r="T35" s="774" t="s">
        <v>17</v>
      </c>
      <c r="U35" s="775">
        <f t="shared" si="11"/>
        <v>100</v>
      </c>
      <c r="V35" s="774" t="s">
        <v>17</v>
      </c>
      <c r="W35" s="775">
        <f t="shared" si="12"/>
        <v>100</v>
      </c>
      <c r="X35" s="1813"/>
      <c r="Y35" s="315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6" t="s">
        <v>2550</v>
      </c>
      <c r="Q36" s="1810">
        <f t="shared" si="8"/>
        <v>111</v>
      </c>
      <c r="R36" s="774" t="s">
        <v>17</v>
      </c>
      <c r="S36" s="775">
        <f t="shared" si="10"/>
        <v>100</v>
      </c>
      <c r="T36" s="774" t="s">
        <v>17</v>
      </c>
      <c r="U36" s="775">
        <f t="shared" si="11"/>
        <v>100</v>
      </c>
      <c r="V36" s="774" t="s">
        <v>17</v>
      </c>
      <c r="W36" s="775">
        <f t="shared" si="12"/>
        <v>100</v>
      </c>
      <c r="X36" s="1813"/>
      <c r="Y36" s="3157" t="s">
        <v>2550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7"/>
      <c r="Q37" s="1810">
        <f t="shared" si="8"/>
        <v>111</v>
      </c>
      <c r="R37" s="777" t="s">
        <v>17</v>
      </c>
      <c r="S37" s="778">
        <f t="shared" si="10"/>
        <v>100</v>
      </c>
      <c r="T37" s="777" t="s">
        <v>17</v>
      </c>
      <c r="U37" s="778">
        <f t="shared" si="11"/>
        <v>100</v>
      </c>
      <c r="V37" s="777" t="s">
        <v>17</v>
      </c>
      <c r="W37" s="778">
        <f t="shared" si="12"/>
        <v>100</v>
      </c>
      <c r="X37" s="779"/>
      <c r="Y37" s="3157"/>
      <c r="Z37" s="780">
        <f t="shared" si="13"/>
        <v>111</v>
      </c>
      <c r="AA37" s="1811">
        <f t="shared" si="3"/>
        <v>1</v>
      </c>
      <c r="AB37" s="1811">
        <f t="shared" si="4"/>
        <v>1</v>
      </c>
      <c r="AC37" s="1811">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7"/>
      <c r="Q38" s="1810" t="str">
        <f>B38</f>
        <v>宗地面积</v>
      </c>
      <c r="R38" s="774" t="s">
        <v>17</v>
      </c>
      <c r="S38" s="775" t="e">
        <f t="shared" si="10"/>
        <v>#N/A</v>
      </c>
      <c r="T38" s="774" t="s">
        <v>17</v>
      </c>
      <c r="U38" s="775" t="e">
        <f t="shared" si="11"/>
        <v>#N/A</v>
      </c>
      <c r="V38" s="774" t="s">
        <v>17</v>
      </c>
      <c r="W38" s="775" t="e">
        <f t="shared" si="12"/>
        <v>#N/A</v>
      </c>
      <c r="X38" s="1813"/>
      <c r="Y38" s="3157"/>
      <c r="Z38" s="1814" t="str">
        <f t="shared" si="13"/>
        <v>宗地面积</v>
      </c>
      <c r="AA38" s="1811" t="e">
        <f t="shared" si="3"/>
        <v>#N/A</v>
      </c>
      <c r="AB38" s="1811" t="e">
        <f t="shared" si="4"/>
        <v>#N/A</v>
      </c>
      <c r="AC38" s="1811" t="e">
        <f t="shared" si="5"/>
        <v>#N/A</v>
      </c>
    </row>
    <row r="39" spans="1:29" ht="15">
      <c r="A39" s="472"/>
      <c r="B39" s="422" t="s">
        <v>2737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57"/>
      <c r="Q39" s="1810" t="str">
        <f t="shared" ref="Q39:Q45" si="14">B39</f>
        <v>宗地形状</v>
      </c>
      <c r="R39" s="774" t="s">
        <v>17</v>
      </c>
      <c r="S39" s="775">
        <f t="shared" si="10"/>
        <v>100</v>
      </c>
      <c r="T39" s="774" t="s">
        <v>17</v>
      </c>
      <c r="U39" s="775">
        <f t="shared" si="11"/>
        <v>100</v>
      </c>
      <c r="V39" s="774" t="s">
        <v>17</v>
      </c>
      <c r="W39" s="775">
        <f t="shared" si="12"/>
        <v>100</v>
      </c>
      <c r="X39" s="1813"/>
      <c r="Y39" s="3157"/>
      <c r="Z39" s="1814" t="str">
        <f t="shared" si="13"/>
        <v>宗地形状</v>
      </c>
      <c r="AA39" s="1811">
        <f t="shared" si="3"/>
        <v>1</v>
      </c>
      <c r="AB39" s="1811">
        <f t="shared" si="4"/>
        <v>1</v>
      </c>
      <c r="AC39" s="1811">
        <f t="shared" si="5"/>
        <v>1</v>
      </c>
    </row>
    <row r="40" spans="1:29" ht="15">
      <c r="A40" s="472"/>
      <c r="B40" s="422" t="s">
        <v>2738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57"/>
      <c r="Q40" s="1810" t="str">
        <f t="shared" si="14"/>
        <v>临街宽度及深度</v>
      </c>
      <c r="R40" s="774" t="s">
        <v>17</v>
      </c>
      <c r="S40" s="775">
        <f t="shared" si="10"/>
        <v>100</v>
      </c>
      <c r="T40" s="774" t="s">
        <v>17</v>
      </c>
      <c r="U40" s="775">
        <f t="shared" si="11"/>
        <v>100</v>
      </c>
      <c r="V40" s="774" t="s">
        <v>17</v>
      </c>
      <c r="W40" s="775">
        <f t="shared" si="12"/>
        <v>100</v>
      </c>
      <c r="X40" s="1813"/>
      <c r="Y40" s="3157"/>
      <c r="Z40" s="1814" t="str">
        <f t="shared" si="13"/>
        <v>临街宽度及深度</v>
      </c>
      <c r="AA40" s="1811">
        <f t="shared" si="3"/>
        <v>1</v>
      </c>
      <c r="AB40" s="1811">
        <f t="shared" si="4"/>
        <v>1</v>
      </c>
      <c r="AC40" s="1811">
        <f t="shared" si="5"/>
        <v>1</v>
      </c>
    </row>
    <row r="41" spans="1:29" s="117" customFormat="1" ht="15">
      <c r="A41" s="473"/>
      <c r="B41" s="422" t="s">
        <v>2739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57"/>
      <c r="Q41" s="1810" t="str">
        <f t="shared" si="14"/>
        <v>宗地开发程度</v>
      </c>
      <c r="R41" s="770" t="s">
        <v>17</v>
      </c>
      <c r="S41" s="771">
        <f t="shared" si="10"/>
        <v>100</v>
      </c>
      <c r="T41" s="770" t="s">
        <v>17</v>
      </c>
      <c r="U41" s="771">
        <f t="shared" si="11"/>
        <v>100</v>
      </c>
      <c r="V41" s="770" t="s">
        <v>17</v>
      </c>
      <c r="W41" s="771">
        <f t="shared" si="12"/>
        <v>100</v>
      </c>
      <c r="X41" s="772"/>
      <c r="Y41" s="3157"/>
      <c r="Z41" s="55" t="str">
        <f t="shared" si="13"/>
        <v>宗地开发程度</v>
      </c>
      <c r="AA41" s="773">
        <f t="shared" si="3"/>
        <v>1</v>
      </c>
      <c r="AB41" s="773">
        <f t="shared" si="4"/>
        <v>1</v>
      </c>
      <c r="AC41" s="773">
        <f t="shared" si="5"/>
        <v>1</v>
      </c>
    </row>
    <row r="42" spans="1:29" ht="15">
      <c r="A42" s="472"/>
      <c r="B42" s="422" t="s">
        <v>2740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57" t="s">
        <v>2550</v>
      </c>
      <c r="Q42" s="1810" t="str">
        <f t="shared" si="14"/>
        <v>工程地质条件</v>
      </c>
      <c r="R42" s="774" t="s">
        <v>17</v>
      </c>
      <c r="S42" s="775">
        <f t="shared" si="10"/>
        <v>100</v>
      </c>
      <c r="T42" s="774" t="s">
        <v>17</v>
      </c>
      <c r="U42" s="775">
        <f t="shared" si="11"/>
        <v>100</v>
      </c>
      <c r="V42" s="774" t="s">
        <v>17</v>
      </c>
      <c r="W42" s="775">
        <f t="shared" si="12"/>
        <v>100</v>
      </c>
      <c r="X42" s="1813"/>
      <c r="Y42" s="3157" t="s">
        <v>2550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7"/>
      <c r="Q43" s="1810">
        <f t="shared" si="14"/>
        <v>111</v>
      </c>
      <c r="R43" s="774" t="s">
        <v>17</v>
      </c>
      <c r="S43" s="775">
        <f t="shared" si="10"/>
        <v>100</v>
      </c>
      <c r="T43" s="774" t="s">
        <v>17</v>
      </c>
      <c r="U43" s="775">
        <f t="shared" si="11"/>
        <v>100</v>
      </c>
      <c r="V43" s="774" t="s">
        <v>17</v>
      </c>
      <c r="W43" s="775">
        <f t="shared" si="12"/>
        <v>100</v>
      </c>
      <c r="X43" s="1813"/>
      <c r="Y43" s="315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7"/>
      <c r="Q44" s="1810">
        <f t="shared" si="14"/>
        <v>111</v>
      </c>
      <c r="R44" s="774" t="s">
        <v>17</v>
      </c>
      <c r="S44" s="775">
        <f t="shared" si="10"/>
        <v>100</v>
      </c>
      <c r="T44" s="774" t="s">
        <v>17</v>
      </c>
      <c r="U44" s="775">
        <f t="shared" si="11"/>
        <v>100</v>
      </c>
      <c r="V44" s="774" t="s">
        <v>17</v>
      </c>
      <c r="W44" s="775">
        <f t="shared" si="12"/>
        <v>100</v>
      </c>
      <c r="X44" s="1813"/>
      <c r="Y44" s="3157"/>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7"/>
      <c r="Q45" s="1810">
        <f t="shared" si="14"/>
        <v>111</v>
      </c>
      <c r="R45" s="777" t="s">
        <v>17</v>
      </c>
      <c r="S45" s="778">
        <f t="shared" si="10"/>
        <v>100</v>
      </c>
      <c r="T45" s="777" t="s">
        <v>17</v>
      </c>
      <c r="U45" s="778">
        <f t="shared" si="11"/>
        <v>100</v>
      </c>
      <c r="V45" s="777" t="s">
        <v>17</v>
      </c>
      <c r="W45" s="778">
        <f t="shared" si="12"/>
        <v>100</v>
      </c>
      <c r="X45" s="779"/>
      <c r="Y45" s="3157"/>
      <c r="Z45" s="780">
        <f t="shared" si="13"/>
        <v>111</v>
      </c>
      <c r="AA45" s="1811">
        <f t="shared" si="3"/>
        <v>1</v>
      </c>
      <c r="AB45" s="1811">
        <f t="shared" si="4"/>
        <v>1</v>
      </c>
      <c r="AC45" s="1811">
        <f t="shared" si="5"/>
        <v>1</v>
      </c>
    </row>
    <row r="46" spans="1:29" ht="15">
      <c r="A46" s="479" t="s">
        <v>2705</v>
      </c>
      <c r="B46" s="2703" t="s">
        <v>2741</v>
      </c>
      <c r="C46" s="682" t="s">
        <v>1</v>
      </c>
      <c r="D46" s="481"/>
      <c r="E46" s="482"/>
      <c r="F46" s="483"/>
      <c r="G46" s="484"/>
      <c r="H46" s="485"/>
      <c r="I46" s="482"/>
      <c r="J46" s="485"/>
      <c r="K46" s="783"/>
      <c r="L46" s="1143"/>
      <c r="M46" s="1144"/>
      <c r="N46" s="1131"/>
      <c r="O46" s="1144"/>
      <c r="P46" s="3151" t="str">
        <f>A46</f>
        <v>成交单价</v>
      </c>
      <c r="Q46" s="3151"/>
      <c r="R46" s="3153">
        <f>E46</f>
        <v>0</v>
      </c>
      <c r="S46" s="3153"/>
      <c r="T46" s="3153">
        <f>G46</f>
        <v>0</v>
      </c>
      <c r="U46" s="3153"/>
      <c r="V46" s="3153">
        <f>I46</f>
        <v>0</v>
      </c>
      <c r="W46" s="3153"/>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151" t="str">
        <f>A47</f>
        <v>比较价值（元/平方米）</v>
      </c>
      <c r="Q47" s="3151"/>
      <c r="R47" s="3152" t="e">
        <f>ROUND(PRODUCT(R46,AA7:AA45),0)</f>
        <v>#DIV/0!</v>
      </c>
      <c r="S47" s="3152"/>
      <c r="T47" s="3152" t="e">
        <f>ROUND(PRODUCT(T46,AB7:AB45),0)</f>
        <v>#DIV/0!</v>
      </c>
      <c r="U47" s="3152"/>
      <c r="V47" s="3152" t="e">
        <f>ROUND(PRODUCT(V46,AC7:AC45),0)</f>
        <v>#DIV/0!</v>
      </c>
      <c r="W47" s="3152"/>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3"/>
      <c r="M48" s="1144"/>
      <c r="N48" s="1144"/>
      <c r="O48" s="1144"/>
      <c r="P48" s="3148" t="str">
        <f>A48</f>
        <v>估价对象XX用房的比较价值（楼面单价，元/平方米）</v>
      </c>
      <c r="Q48" s="3149"/>
      <c r="R48" s="3150" t="e">
        <f>ROUND(AVERAGE(R47:V47),0)</f>
        <v>#DIV/0!</v>
      </c>
      <c r="S48" s="3150"/>
      <c r="T48" s="3150"/>
      <c r="U48" s="3150"/>
      <c r="V48" s="3150"/>
      <c r="W48" s="315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4" t="s">
        <v>2745</v>
      </c>
      <c r="D55" s="2705" t="s">
        <v>2746</v>
      </c>
      <c r="E55" s="686" t="s">
        <v>2747</v>
      </c>
      <c r="F55" s="1107" t="s">
        <v>2748</v>
      </c>
      <c r="G55" s="3161" t="s">
        <v>2749</v>
      </c>
      <c r="H55" s="3175"/>
      <c r="I55" s="144" t="s">
        <v>2750</v>
      </c>
      <c r="J55" s="2706" t="str">
        <f>项目基本情况!F35</f>
        <v>江苏省镇江市</v>
      </c>
      <c r="K55" s="2707" t="s">
        <v>2751</v>
      </c>
      <c r="L55" s="1106"/>
      <c r="M55" s="1144"/>
      <c r="N55" s="1144"/>
      <c r="O55" s="1144"/>
    </row>
    <row r="56" spans="1:15" s="692" customFormat="1">
      <c r="A56" s="688" t="s">
        <v>2752</v>
      </c>
      <c r="B56" s="689" t="e">
        <f>C48</f>
        <v>#DIV/0!</v>
      </c>
      <c r="C56" s="690">
        <v>1</v>
      </c>
      <c r="D56" s="1163">
        <v>1</v>
      </c>
      <c r="E56" s="690">
        <f>'数据-汇总表'!E8+'数据-汇总表'!E9</f>
        <v>18444.57</v>
      </c>
      <c r="F56" s="1103" t="e">
        <f t="shared" ref="F56:F65" si="15">ROUND(B56*E56/10000,0)</f>
        <v>#DIV/0!</v>
      </c>
      <c r="G56" s="3176"/>
      <c r="H56" s="3151"/>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177"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177"/>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177"/>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177"/>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708"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0</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708" t="s">
        <v>2754</v>
      </c>
      <c r="H64" s="1104">
        <f>项目基本情况!B37</f>
        <v>0</v>
      </c>
      <c r="I64" s="1108">
        <f>SUMIF(修正!A45:A56,H64,修正!H45:H56)</f>
        <v>0</v>
      </c>
      <c r="J64" s="1112"/>
      <c r="K64" s="1145"/>
      <c r="L64" s="941"/>
      <c r="M64" s="941"/>
      <c r="N64" s="941"/>
      <c r="O64" s="941"/>
    </row>
    <row r="65" spans="1:17" s="692" customFormat="1" ht="15" thickBot="1">
      <c r="A65" s="693" t="s">
        <v>2765</v>
      </c>
      <c r="B65" s="262" t="e">
        <f t="shared" si="17"/>
        <v>#DIV/0!</v>
      </c>
      <c r="C65" s="200">
        <f t="shared" si="16"/>
        <v>0</v>
      </c>
      <c r="D65" s="1164">
        <v>0.25</v>
      </c>
      <c r="E65" s="261">
        <f>'数据-汇总表'!E15</f>
        <v>0</v>
      </c>
      <c r="F65" s="1103" t="e">
        <f t="shared" si="15"/>
        <v>#DIV/0!</v>
      </c>
      <c r="G65" s="2709"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18444.57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10" t="s">
        <v>2767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2768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2787</v>
      </c>
      <c r="B1" s="241"/>
      <c r="C1" s="245" t="s">
        <v>2788</v>
      </c>
      <c r="D1" s="388">
        <f>SUM(D29:D30,D33:D39)</f>
        <v>0</v>
      </c>
      <c r="E1" s="2716"/>
      <c r="F1" s="2716"/>
      <c r="G1" s="2716"/>
      <c r="H1" s="2716"/>
      <c r="I1" s="2716"/>
      <c r="J1" s="2716"/>
      <c r="K1" s="1370"/>
      <c r="L1" s="2717" t="s">
        <v>2789</v>
      </c>
      <c r="M1" s="1080">
        <f>SUMPRODUCT((区片价!B5:B9=I2)*(区片价!C3:F3=E2)*(区片价!C5:F9))</f>
        <v>0</v>
      </c>
      <c r="N1" s="1083">
        <f>SUMPRODUCT((因素修正幅度!B5:B9=I2)*(因素修正幅度!C3:F3=E2)*(因素修正幅度!C5:F9))</f>
        <v>0</v>
      </c>
      <c r="O1" s="2718"/>
      <c r="P1" s="2718"/>
      <c r="Q1" s="1370"/>
      <c r="R1" s="1602" t="s">
        <v>2790</v>
      </c>
      <c r="S1" s="1602" t="s">
        <v>2791</v>
      </c>
      <c r="T1" s="1602" t="s">
        <v>2792</v>
      </c>
      <c r="U1" s="1602" t="s">
        <v>2793</v>
      </c>
      <c r="V1" s="1602" t="s">
        <v>2794</v>
      </c>
      <c r="W1" s="1606"/>
      <c r="X1" s="1606"/>
      <c r="Y1" s="1606"/>
      <c r="Z1" s="1606"/>
      <c r="AA1" s="1606"/>
      <c r="AB1" s="1606"/>
      <c r="AC1" s="1607"/>
      <c r="AD1" s="1608"/>
      <c r="AE1" s="1608"/>
      <c r="AF1" s="1608"/>
      <c r="AG1" s="1608"/>
      <c r="AH1" s="1608"/>
      <c r="AI1" s="1608"/>
      <c r="AJ1" s="1609"/>
    </row>
    <row r="2" spans="1:36" ht="15.75">
      <c r="A2" s="245" t="s">
        <v>2795</v>
      </c>
      <c r="B2" s="248" t="e">
        <f>C26</f>
        <v>#DIV/0!</v>
      </c>
      <c r="C2" s="2720" t="s">
        <v>2796</v>
      </c>
      <c r="D2" s="2721" t="s">
        <v>2797</v>
      </c>
      <c r="E2" s="2722"/>
      <c r="F2" s="2721" t="s">
        <v>2798</v>
      </c>
      <c r="G2" s="2723">
        <f>IF(E2="商业",项目基本情况!B37,IF(E2="办公",项目基本情况!C37,IF(E2="住宅",项目基本情况!D37,项目基本情况!E37)))</f>
        <v>0</v>
      </c>
      <c r="H2" s="2721" t="s">
        <v>2799</v>
      </c>
      <c r="I2" s="2723">
        <f>IF(E2="商业",项目基本情况!B38,IF(E2="办公",项目基本情况!C38,IF(E2="住宅",项目基本情况!D38,项目基本情况!E38)))</f>
        <v>0</v>
      </c>
      <c r="J2" s="2724"/>
      <c r="K2" s="1370"/>
      <c r="L2" s="2725" t="s">
        <v>2800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2801</v>
      </c>
      <c r="B3" s="248" t="e">
        <f>ROUND(B2*10000/D1,0)</f>
        <v>#DIV/0!</v>
      </c>
      <c r="C3" s="2720" t="s">
        <v>2802</v>
      </c>
      <c r="D3" s="2721" t="s">
        <v>2803</v>
      </c>
      <c r="E3" s="2726"/>
      <c r="F3" s="2727" t="s">
        <v>2804</v>
      </c>
      <c r="G3" s="916">
        <f>IF(F3="宗地容积率",'数据-汇总表'!I4,IF(F3="估价对象容积率",'数据-汇总表'!I6,'数据-汇总表'!I7))</f>
        <v>2.5099999999999998</v>
      </c>
      <c r="H3" s="198" t="s">
        <v>2805</v>
      </c>
      <c r="I3" s="944"/>
      <c r="J3" s="2724" t="s">
        <v>2806</v>
      </c>
      <c r="K3" s="1370"/>
      <c r="L3" s="2725" t="s">
        <v>2807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4"/>
      <c r="B4" s="3265"/>
      <c r="C4" s="3265"/>
      <c r="D4" s="3266"/>
      <c r="E4" s="3266"/>
      <c r="F4" s="3266"/>
      <c r="G4" s="3266"/>
      <c r="H4" s="3266"/>
      <c r="I4" s="3266"/>
      <c r="J4" s="3267"/>
      <c r="K4" s="1370"/>
      <c r="L4" s="2725" t="s">
        <v>2808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2809</v>
      </c>
      <c r="C5" s="917" t="e">
        <f>ROUND(IF(E2="商业",C6*C7+C16,(IF(E2="住宅",C6*C12+C16,C6+C16))),0)</f>
        <v>#DIV/0!</v>
      </c>
      <c r="D5" s="1787" t="e">
        <f>ROUND(IF(F17="增加",C6+C16,C6-C16),0)</f>
        <v>#DIV/0!</v>
      </c>
      <c r="E5" s="1787"/>
      <c r="F5" s="2730"/>
      <c r="G5" s="2731"/>
      <c r="H5" s="2731"/>
      <c r="I5" s="2731"/>
      <c r="J5" s="2732"/>
      <c r="K5" s="2733"/>
      <c r="L5" s="2725" t="s">
        <v>2810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2811</v>
      </c>
      <c r="B6" s="2739" t="s">
        <v>2812</v>
      </c>
      <c r="C6" s="918">
        <f>SUMIF(L1:L12,G2,M1:M12)</f>
        <v>0</v>
      </c>
      <c r="D6" s="2740" t="s">
        <v>2813</v>
      </c>
      <c r="E6" s="2741"/>
      <c r="F6" s="2741"/>
      <c r="G6" s="2742"/>
      <c r="H6" s="2742"/>
      <c r="I6" s="2742"/>
      <c r="J6" s="2743"/>
      <c r="K6" s="1842"/>
      <c r="L6" s="2725" t="s">
        <v>2814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48" t="str">
        <f>IF(E2="商业",IF(C8="不临58条商业街","",2),"")</f>
        <v/>
      </c>
      <c r="B7" s="2744" t="s">
        <v>2815</v>
      </c>
      <c r="C7" s="919" t="e">
        <f>IF(C8="不临58条商业街",1,ROUND(1+(1.6*E8+1.2*E9+0.8*E10+0.4*E11)*C9,4))</f>
        <v>#DIV/0!</v>
      </c>
      <c r="D7" s="2745" t="s">
        <v>2816</v>
      </c>
      <c r="E7" s="945"/>
      <c r="F7" s="2746"/>
      <c r="G7" s="2747"/>
      <c r="H7" s="2747"/>
      <c r="I7" s="2747"/>
      <c r="J7" s="2748"/>
      <c r="K7" s="1842"/>
      <c r="L7" s="2725" t="s">
        <v>2817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2818</v>
      </c>
      <c r="X7" s="1604">
        <f>G2</f>
        <v>0</v>
      </c>
      <c r="Y7" s="1604" t="s">
        <v>2819</v>
      </c>
      <c r="Z7" s="1605">
        <f>G3</f>
        <v>2.5099999999999998</v>
      </c>
      <c r="AA7" s="1606"/>
      <c r="AB7" s="1606"/>
      <c r="AC7" s="1607"/>
      <c r="AD7" s="1608"/>
      <c r="AE7" s="1608"/>
      <c r="AF7" s="1608"/>
      <c r="AG7" s="1608"/>
      <c r="AH7" s="1608"/>
      <c r="AI7" s="1608"/>
      <c r="AJ7" s="1609"/>
    </row>
    <row r="8" spans="1:36" ht="15">
      <c r="A8" s="3268"/>
      <c r="B8" s="198" t="s">
        <v>2820</v>
      </c>
      <c r="C8" s="2749"/>
      <c r="D8" s="920" t="s">
        <v>139</v>
      </c>
      <c r="E8" s="921" t="e">
        <f>ROUND(C11/E7,4)</f>
        <v>#DIV/0!</v>
      </c>
      <c r="F8" s="2750" t="s">
        <v>2821</v>
      </c>
      <c r="G8" s="2751"/>
      <c r="H8" s="2751"/>
      <c r="I8" s="2751"/>
      <c r="J8" s="2752"/>
      <c r="K8" s="1370"/>
      <c r="L8" s="2725" t="s">
        <v>2822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1" t="s">
        <v>2823</v>
      </c>
      <c r="X8" s="3262"/>
      <c r="Y8" s="1610" t="s">
        <v>2824</v>
      </c>
      <c r="Z8" s="1610" t="s">
        <v>2825</v>
      </c>
      <c r="AA8" s="1610" t="s">
        <v>2826</v>
      </c>
      <c r="AB8" s="1610" t="s">
        <v>2827</v>
      </c>
      <c r="AC8" s="1610" t="s">
        <v>2828</v>
      </c>
      <c r="AD8" s="1610" t="s">
        <v>2829</v>
      </c>
      <c r="AE8" s="1610" t="s">
        <v>2830</v>
      </c>
      <c r="AF8" s="1610" t="s">
        <v>2831</v>
      </c>
      <c r="AG8" s="1610" t="s">
        <v>2832</v>
      </c>
      <c r="AH8" s="1610" t="s">
        <v>2833</v>
      </c>
      <c r="AI8" s="1610" t="s">
        <v>2834</v>
      </c>
      <c r="AJ8" s="1610" t="s">
        <v>2835</v>
      </c>
    </row>
    <row r="9" spans="1:36" ht="15">
      <c r="A9" s="3268"/>
      <c r="B9" s="198" t="s">
        <v>2836</v>
      </c>
      <c r="C9" s="922">
        <f>SUMIF(修正!C59:C119,C8,修正!E59:E119)</f>
        <v>0</v>
      </c>
      <c r="D9" s="200" t="s">
        <v>140</v>
      </c>
      <c r="E9" s="200" t="e">
        <f>ROUND(C11/E7,4)</f>
        <v>#DIV/0!</v>
      </c>
      <c r="F9" s="2750" t="s">
        <v>2837</v>
      </c>
      <c r="G9" s="2751"/>
      <c r="H9" s="2751"/>
      <c r="I9" s="2751"/>
      <c r="J9" s="2752"/>
      <c r="K9" s="1370"/>
      <c r="L9" s="2725" t="s">
        <v>2838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3" t="s">
        <v>2839</v>
      </c>
      <c r="X9" s="1611" t="s">
        <v>2840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8"/>
      <c r="B10" s="198" t="s">
        <v>2841</v>
      </c>
      <c r="C10" s="200">
        <f>SUMIF(修正!C59:C119,C8,修正!F59:F119)</f>
        <v>0</v>
      </c>
      <c r="D10" s="200" t="s">
        <v>141</v>
      </c>
      <c r="E10" s="200" t="e">
        <f>ROUND(C11/E7,4)</f>
        <v>#DIV/0!</v>
      </c>
      <c r="F10" s="2750" t="s">
        <v>2842</v>
      </c>
      <c r="G10" s="2751"/>
      <c r="H10" s="2751"/>
      <c r="I10" s="2751"/>
      <c r="J10" s="2752"/>
      <c r="K10" s="1370"/>
      <c r="L10" s="2725" t="s">
        <v>2843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8"/>
      <c r="B11" s="2753" t="s">
        <v>2844</v>
      </c>
      <c r="C11" s="923">
        <f>C10/4</f>
        <v>0</v>
      </c>
      <c r="D11" s="923" t="s">
        <v>142</v>
      </c>
      <c r="E11" s="923" t="e">
        <f>ROUND(C11/E7,4)</f>
        <v>#DIV/0!</v>
      </c>
      <c r="F11" s="2754" t="s">
        <v>2845</v>
      </c>
      <c r="G11" s="2755"/>
      <c r="H11" s="2755"/>
      <c r="I11" s="2755"/>
      <c r="J11" s="2756"/>
      <c r="K11" s="1370"/>
      <c r="L11" s="2725" t="s">
        <v>2846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3" t="s">
        <v>2847</v>
      </c>
      <c r="X11" s="1614" t="s">
        <v>2848</v>
      </c>
      <c r="Y11" s="1615">
        <f>$G$3</f>
        <v>2.5099999999999998</v>
      </c>
      <c r="Z11" s="1615">
        <f t="shared" ref="Z11:AJ11" si="3">$G$3</f>
        <v>2.5099999999999998</v>
      </c>
      <c r="AA11" s="1615">
        <f t="shared" si="3"/>
        <v>2.5099999999999998</v>
      </c>
      <c r="AB11" s="1615">
        <f t="shared" si="3"/>
        <v>2.5099999999999998</v>
      </c>
      <c r="AC11" s="1615">
        <f t="shared" si="3"/>
        <v>2.5099999999999998</v>
      </c>
      <c r="AD11" s="1615">
        <f t="shared" si="3"/>
        <v>2.5099999999999998</v>
      </c>
      <c r="AE11" s="1615">
        <f t="shared" si="3"/>
        <v>2.5099999999999998</v>
      </c>
      <c r="AF11" s="1615">
        <f t="shared" si="3"/>
        <v>2.5099999999999998</v>
      </c>
      <c r="AG11" s="1615">
        <f t="shared" si="3"/>
        <v>2.5099999999999998</v>
      </c>
      <c r="AH11" s="1615">
        <f t="shared" si="3"/>
        <v>2.5099999999999998</v>
      </c>
      <c r="AI11" s="1615">
        <f t="shared" si="3"/>
        <v>2.5099999999999998</v>
      </c>
      <c r="AJ11" s="1615">
        <f t="shared" si="3"/>
        <v>2.5099999999999998</v>
      </c>
    </row>
    <row r="12" spans="1:36" ht="25.5" thickBot="1">
      <c r="A12" s="3248" t="s">
        <v>2849</v>
      </c>
      <c r="B12" s="2757" t="s">
        <v>2850</v>
      </c>
      <c r="C12" s="919">
        <f>ROUND(C15*D15*E15*F15*G15*H15*I15*J15,4)</f>
        <v>1</v>
      </c>
      <c r="D12" s="2758" t="s">
        <v>2851</v>
      </c>
      <c r="E12" s="2759"/>
      <c r="F12" s="2759"/>
      <c r="G12" s="2760"/>
      <c r="H12" s="2760"/>
      <c r="I12" s="2760"/>
      <c r="J12" s="2761"/>
      <c r="K12" s="1370"/>
      <c r="L12" s="2762" t="s">
        <v>2852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3"/>
      <c r="X12" s="1616" t="s">
        <v>2853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9"/>
      <c r="B13" s="2763" t="s">
        <v>2854</v>
      </c>
      <c r="C13" s="2764" t="s">
        <v>2855</v>
      </c>
      <c r="D13" s="1808" t="s">
        <v>2856</v>
      </c>
      <c r="E13" s="1808" t="s">
        <v>2857</v>
      </c>
      <c r="F13" s="30" t="s">
        <v>2858</v>
      </c>
      <c r="G13" s="2765" t="s">
        <v>2859</v>
      </c>
      <c r="H13" s="2765" t="s">
        <v>2859</v>
      </c>
      <c r="I13" s="2765" t="s">
        <v>2859</v>
      </c>
      <c r="J13" s="2766" t="s">
        <v>2859</v>
      </c>
      <c r="K13" s="1370"/>
      <c r="L13" s="1370"/>
      <c r="M13" s="1370"/>
      <c r="N13" s="1370"/>
      <c r="O13" s="1370"/>
      <c r="P13" s="1370"/>
      <c r="Q13" s="1370"/>
      <c r="R13" s="1602">
        <v>12</v>
      </c>
      <c r="S13" s="1603"/>
      <c r="T13" s="1602" t="e">
        <f t="shared" si="0"/>
        <v>#DIV/0!</v>
      </c>
      <c r="U13" s="1603"/>
      <c r="V13" s="1602" t="e">
        <f t="shared" si="1"/>
        <v>#DIV/0!</v>
      </c>
      <c r="W13" s="3263"/>
      <c r="X13" s="1616"/>
      <c r="Y13" s="1613">
        <f>(-0.163*(Y12^2)-0.59*Y12+7617)*(10^(-4))/Y11</f>
        <v>0.30346613545816736</v>
      </c>
      <c r="Z13" s="1613">
        <f t="shared" ref="Z13:AJ13" si="5">(-0.163*(Z12^2)-0.59*Z12+7617)*(10^(-4))/Z11</f>
        <v>0.30346613545816736</v>
      </c>
      <c r="AA13" s="1613">
        <f t="shared" si="5"/>
        <v>0.30346613545816736</v>
      </c>
      <c r="AB13" s="1613">
        <f t="shared" si="5"/>
        <v>0.30346613545816736</v>
      </c>
      <c r="AC13" s="1613">
        <f t="shared" si="5"/>
        <v>0.30346613545816736</v>
      </c>
      <c r="AD13" s="1613">
        <f t="shared" si="5"/>
        <v>0.30346613545816736</v>
      </c>
      <c r="AE13" s="1613">
        <f t="shared" si="5"/>
        <v>0.30346613545816736</v>
      </c>
      <c r="AF13" s="1613">
        <f t="shared" si="5"/>
        <v>0.30346613545816736</v>
      </c>
      <c r="AG13" s="1613">
        <f t="shared" si="5"/>
        <v>0.30346613545816736</v>
      </c>
      <c r="AH13" s="1613">
        <f t="shared" si="5"/>
        <v>0.30346613545816736</v>
      </c>
      <c r="AI13" s="1613">
        <f t="shared" si="5"/>
        <v>0.30346613545816736</v>
      </c>
      <c r="AJ13" s="1613">
        <f t="shared" si="5"/>
        <v>0.30346613545816736</v>
      </c>
    </row>
    <row r="14" spans="1:36" ht="15">
      <c r="A14" s="3269"/>
      <c r="B14" s="2767"/>
      <c r="C14" s="2768"/>
      <c r="D14" s="2769"/>
      <c r="E14" s="2769"/>
      <c r="F14" s="2770"/>
      <c r="G14" s="2771" t="s">
        <v>2860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0"/>
      <c r="B15" s="2775" t="s">
        <v>2861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8" t="s">
        <v>2866</v>
      </c>
      <c r="B16" s="2744" t="s">
        <v>2867</v>
      </c>
      <c r="C16" s="2934" t="e">
        <f>ROUND(IF(F17="与级别开发程度一致",0,(G17-E17)/C17),0)</f>
        <v>#DIV/0!</v>
      </c>
      <c r="D16" s="3259" t="s">
        <v>2871</v>
      </c>
      <c r="E16" s="3260"/>
      <c r="F16" s="3259" t="s">
        <v>2868</v>
      </c>
      <c r="G16" s="3260"/>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9"/>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2874</v>
      </c>
      <c r="C19" s="924" t="e">
        <f>ROUND(IF(H19="按公示增长率计算",SUMPRODUCT((地价!A3:A26=YEAR(G19)&amp;"-"&amp;ROUNDUP(MONTH(G19)/3,0))*(地价!X2:AB2=E2)*(地价!X3:AB26)),IF(H19="地价指数",M20/M19,(1+I19)^O19)),4)</f>
        <v>#DIV/0!</v>
      </c>
      <c r="D19" s="2788" t="s">
        <v>2875</v>
      </c>
      <c r="E19" s="925">
        <v>41640</v>
      </c>
      <c r="F19" s="2788" t="s">
        <v>2876</v>
      </c>
      <c r="G19" s="926">
        <f>'数据-取费表'!B2</f>
        <v>43584</v>
      </c>
      <c r="H19" s="2789" t="s">
        <v>2877</v>
      </c>
      <c r="I19" s="927" t="str">
        <f>IF(H19="季度增幅（自定义）",SUMIF(N21:N24,E2,O21:O24),"")</f>
        <v/>
      </c>
      <c r="J19" s="2786"/>
      <c r="K19" s="1377"/>
      <c r="L19" s="2790" t="s">
        <v>2878</v>
      </c>
      <c r="M19" s="1734">
        <f>ROUND(SUMIF(地价!B2:F2,E2,地价!B26:F26),0)</f>
        <v>0</v>
      </c>
      <c r="N19" s="2791" t="s">
        <v>2879</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2880</v>
      </c>
      <c r="C20" s="929" t="e">
        <f>ROUND(POWER(1+G20,J20-I20)*(POWER(1+G20,I20)-1)/(POWER(1+G20,J20)-1),4)</f>
        <v>#DIV/0!</v>
      </c>
      <c r="D20" s="2797" t="s">
        <v>2881</v>
      </c>
      <c r="E20" s="1768">
        <f ca="1">存贷款利率!D4/100</f>
        <v>4.3499999999999997E-2</v>
      </c>
      <c r="F20" s="2797" t="s">
        <v>2872</v>
      </c>
      <c r="G20" s="934">
        <f>SUMIF(M26:P26,E2,M28:P28)</f>
        <v>0</v>
      </c>
      <c r="H20" s="2797" t="s">
        <v>2882</v>
      </c>
      <c r="I20" s="935" t="e">
        <f>SUMIF('数据-取费表'!C6:C15,E2,'数据-取费表'!F6:F15)/COUNTIF('数据-取费表'!C6:C15,E2)</f>
        <v>#DIV/0!</v>
      </c>
      <c r="J20" s="936">
        <f>IF(E2="住宅",70,IF(E2="商业",40,50))</f>
        <v>50</v>
      </c>
      <c r="K20" s="1377"/>
      <c r="L20" s="2798" t="s">
        <v>2883</v>
      </c>
      <c r="M20" s="1735">
        <f>ROUND(SUMPRODUCT((地价!A4:A26=YEAR(G19)&amp;"-"&amp;ROUNDUP(MONTH(G19)/3,0))*(地价!B2:F2=E2)*(地价!B4:F26)),0)</f>
        <v>0</v>
      </c>
      <c r="N20" s="2799" t="s">
        <v>2884</v>
      </c>
      <c r="O20" s="2800" t="s">
        <v>2885</v>
      </c>
      <c r="P20" s="2801" t="s">
        <v>2886</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2887</v>
      </c>
      <c r="C21" s="937">
        <f>IF(B21="容积率修正",IF(G3&lt;=10,D22,J22),C23)</f>
        <v>0</v>
      </c>
      <c r="D21" s="2804"/>
      <c r="E21" s="2804"/>
      <c r="F21" s="2804"/>
      <c r="G21" s="2804"/>
      <c r="H21" s="2804"/>
      <c r="I21" s="2804"/>
      <c r="J21" s="2805"/>
      <c r="K21" s="1377"/>
      <c r="N21" s="2806" t="s">
        <v>2888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2889</v>
      </c>
      <c r="B22" s="2807" t="s">
        <v>2890</v>
      </c>
      <c r="C22" s="1810" t="s">
        <v>2891</v>
      </c>
      <c r="D22" s="1810">
        <f>IF(E22=G22,F22,IF(G3&lt;=10,ROUND(F22+(H22-F22)*(G3-E22)/(G22-E22),4),"——"))</f>
        <v>0</v>
      </c>
      <c r="E22" s="916">
        <f>ROUNDDOWN(G3,1)</f>
        <v>2.5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2893</v>
      </c>
      <c r="B23" s="2808" t="s">
        <v>2894</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2895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2896</v>
      </c>
      <c r="C24" s="924">
        <f>SUMIF(A45:A88,E2,B45:B88)</f>
        <v>0</v>
      </c>
      <c r="D24" s="2785"/>
      <c r="E24" s="2814"/>
      <c r="F24" s="2814"/>
      <c r="G24" s="2814"/>
      <c r="H24" s="2814"/>
      <c r="I24" s="2814"/>
      <c r="J24" s="2815"/>
      <c r="K24" s="1377"/>
      <c r="N24" s="2816" t="s">
        <v>2897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2898</v>
      </c>
      <c r="C25" s="930"/>
      <c r="D25" s="2747"/>
      <c r="E25" s="2747"/>
      <c r="F25" s="2818"/>
      <c r="G25" s="2747"/>
      <c r="H25" s="2747"/>
      <c r="I25" s="2747"/>
      <c r="J25" s="2748"/>
      <c r="K25" s="1370"/>
      <c r="N25" s="2819" t="s">
        <v>2899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2900</v>
      </c>
      <c r="C26" s="206" t="e">
        <f>E29+SUM(E33:E39)</f>
        <v>#DIV/0!</v>
      </c>
      <c r="D26" s="2821"/>
      <c r="E26" s="2772"/>
      <c r="F26" s="2822"/>
      <c r="G26" s="2772"/>
      <c r="H26" s="2772"/>
      <c r="I26" s="2772"/>
      <c r="J26" s="2823"/>
      <c r="K26" s="1370"/>
      <c r="L26" s="2776" t="s">
        <v>2797</v>
      </c>
      <c r="M26" s="920" t="s">
        <v>2862</v>
      </c>
      <c r="N26" s="920" t="s">
        <v>2863</v>
      </c>
      <c r="O26" s="920" t="s">
        <v>2864</v>
      </c>
      <c r="P26" s="2777" t="s">
        <v>2865</v>
      </c>
      <c r="R26" s="1376"/>
      <c r="S26" s="1376"/>
      <c r="T26" s="1371"/>
      <c r="U26" s="1371"/>
      <c r="V26" s="1371"/>
      <c r="W26" s="1370"/>
      <c r="X26" s="1370"/>
      <c r="Y26" s="1370"/>
      <c r="Z26" s="1377"/>
      <c r="AA26" s="1378"/>
      <c r="AB26" s="1378"/>
      <c r="AC26" s="1378"/>
      <c r="AD26" s="1378"/>
    </row>
    <row r="27" spans="1:37" ht="15.75" thickBot="1">
      <c r="A27" s="2820"/>
      <c r="B27" s="2824" t="s">
        <v>2901</v>
      </c>
      <c r="C27" s="931" t="e">
        <f>E30+SUM(I33:I39)</f>
        <v>#DIV/0!</v>
      </c>
      <c r="D27" s="2825"/>
      <c r="E27" s="2826"/>
      <c r="F27" s="2827"/>
      <c r="G27" s="2826"/>
      <c r="H27" s="2826"/>
      <c r="I27" s="2826"/>
      <c r="J27" s="2828"/>
      <c r="K27" s="1370"/>
      <c r="L27" s="2780"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2902</v>
      </c>
      <c r="C28" s="2831" t="s">
        <v>2903</v>
      </c>
      <c r="D28" s="2831" t="s">
        <v>2904</v>
      </c>
      <c r="E28" s="2832" t="s">
        <v>2905</v>
      </c>
      <c r="F28" s="2833"/>
      <c r="G28" s="2760"/>
      <c r="H28" s="2760"/>
      <c r="I28" s="2760"/>
      <c r="J28" s="2761"/>
      <c r="K28" s="1370"/>
      <c r="L28" s="2781"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2906</v>
      </c>
      <c r="C29" s="206" t="e">
        <f>ROUND(C5*C18*C19*C20*C21*C24,0)</f>
        <v>#DIV/0!</v>
      </c>
      <c r="D29" s="2836"/>
      <c r="E29" s="942" t="e">
        <f>ROUND(C29*D29/10000,0)</f>
        <v>#DIV/0!</v>
      </c>
      <c r="F29" s="2837" t="s">
        <v>2907</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2908</v>
      </c>
      <c r="C30" s="229" t="e">
        <f>ROUND(IF(E2="工业",C29*M39,C29*M38),0)</f>
        <v>#DIV/0!</v>
      </c>
      <c r="D30" s="2842"/>
      <c r="E30" s="942" t="e">
        <f>ROUND(C30*D30/10000,0)</f>
        <v>#DIV/0!</v>
      </c>
      <c r="F30" s="2843" t="s">
        <v>2909</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2910</v>
      </c>
      <c r="C31" s="2848" t="s">
        <v>2911</v>
      </c>
      <c r="D31" s="2760"/>
      <c r="E31" s="2848"/>
      <c r="F31" s="2848"/>
      <c r="G31" s="2758" t="s">
        <v>2912</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2903</v>
      </c>
      <c r="D32" s="498" t="s">
        <v>2904</v>
      </c>
      <c r="E32" s="498" t="s">
        <v>2905</v>
      </c>
      <c r="F32" s="388" t="s">
        <v>2913</v>
      </c>
      <c r="G32" s="2851" t="s">
        <v>2903</v>
      </c>
      <c r="H32" s="2851" t="s">
        <v>2904</v>
      </c>
      <c r="I32" s="2851"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6" t="s">
        <v>2914</v>
      </c>
      <c r="B33" s="2852" t="s">
        <v>2915</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4" t="s">
        <v>2916</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4" t="s">
        <v>2917</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58"/>
      <c r="B36" s="2764" t="s">
        <v>2918</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2919</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2920</v>
      </c>
      <c r="M37" s="2856"/>
      <c r="N37" s="1370"/>
      <c r="O37" s="1370"/>
      <c r="P37" s="1370"/>
      <c r="Q37" s="1370"/>
      <c r="R37" s="1370"/>
      <c r="S37" s="1370"/>
      <c r="T37" s="1370"/>
      <c r="U37" s="1370"/>
      <c r="V37" s="1370"/>
      <c r="W37" s="1370"/>
      <c r="X37" s="1370"/>
      <c r="Y37" s="1370"/>
      <c r="Z37" s="1371"/>
    </row>
    <row r="38" spans="1:37">
      <c r="A38" s="2854"/>
      <c r="B38" s="2764" t="s">
        <v>2921</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2922</v>
      </c>
      <c r="M38" s="2857">
        <v>0.25</v>
      </c>
      <c r="N38" s="1370"/>
      <c r="O38" s="1370"/>
      <c r="P38" s="1370"/>
      <c r="Q38" s="1370"/>
      <c r="R38" s="1370"/>
      <c r="S38" s="1370"/>
      <c r="T38" s="1370"/>
      <c r="U38" s="1370"/>
      <c r="V38" s="1370"/>
      <c r="W38" s="1370"/>
      <c r="X38" s="1370"/>
      <c r="Y38" s="1370"/>
      <c r="Z38" s="1371"/>
    </row>
    <row r="39" spans="1:37" ht="13.5" thickBot="1">
      <c r="A39" s="2840"/>
      <c r="B39" s="2858" t="s">
        <v>2923</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2865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3034</v>
      </c>
      <c r="C41" s="388" t="e">
        <f>ROUND(POWER(1+E41,H41-G41)*(POWER(1+E41,G41)-1)/(POWER(1+E41,H41)-1),4)</f>
        <v>#DIV/0!</v>
      </c>
      <c r="D41" s="200" t="s">
        <v>2872</v>
      </c>
      <c r="E41" s="2928">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2924</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2925</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2926</v>
      </c>
      <c r="B47" s="1809" t="s">
        <v>2927</v>
      </c>
      <c r="C47" s="1809" t="s">
        <v>2928</v>
      </c>
      <c r="D47" s="1809" t="s">
        <v>2929</v>
      </c>
      <c r="E47" s="819" t="s">
        <v>2930</v>
      </c>
      <c r="F47" s="2870" t="s">
        <v>2931</v>
      </c>
      <c r="G47" s="1809" t="s">
        <v>754</v>
      </c>
      <c r="H47" s="2871"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9" t="s">
        <v>2934</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2935</v>
      </c>
      <c r="B49" s="2873">
        <f>估价对象房地状况!C18</f>
        <v>0</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2936</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2937</v>
      </c>
      <c r="B51" s="2874" t="s">
        <v>2938</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2939</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2940</v>
      </c>
      <c r="B53" s="2875" t="s">
        <v>2941</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2942</v>
      </c>
      <c r="B54" s="1725">
        <f>估价对象房地状况!C21</f>
        <v>0</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2943</v>
      </c>
      <c r="B55" s="2873">
        <f>估价对象房地状况!C22</f>
        <v>0</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2944</v>
      </c>
      <c r="B56" s="2878">
        <f>估价对象房地状况!C20</f>
        <v>0</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2945</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2926</v>
      </c>
      <c r="B58" s="1809"/>
      <c r="C58" s="1809" t="s">
        <v>2928</v>
      </c>
      <c r="D58" s="1809" t="s">
        <v>2929</v>
      </c>
      <c r="E58" s="819" t="s">
        <v>2930</v>
      </c>
      <c r="F58" s="2870" t="s">
        <v>2946</v>
      </c>
      <c r="G58" s="1809" t="s">
        <v>754</v>
      </c>
      <c r="H58" s="2871"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9" t="s">
        <v>2947</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2935</v>
      </c>
      <c r="B60" s="2873">
        <f>估价对象房地状况!C18</f>
        <v>0</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2936</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2937</v>
      </c>
      <c r="B62" s="2874" t="s">
        <v>2938</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2939</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2940</v>
      </c>
      <c r="B64" s="2875" t="s">
        <v>2941</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2942</v>
      </c>
      <c r="B65" s="1725">
        <f>估价对象房地状况!C21</f>
        <v>0</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2943</v>
      </c>
      <c r="B66" s="1725">
        <f>估价对象房地状况!C22</f>
        <v>0</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2944</v>
      </c>
      <c r="B67" s="2879">
        <f>估价对象房地状况!C20</f>
        <v>0</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2948</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2926</v>
      </c>
      <c r="B69" s="1809"/>
      <c r="C69" s="1809" t="s">
        <v>2928</v>
      </c>
      <c r="D69" s="1809" t="s">
        <v>2929</v>
      </c>
      <c r="E69" s="819" t="s">
        <v>2930</v>
      </c>
      <c r="F69" s="2870" t="s">
        <v>2946</v>
      </c>
      <c r="G69" s="1809" t="s">
        <v>754</v>
      </c>
      <c r="H69" s="2871"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9" t="s">
        <v>2949</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2935</v>
      </c>
      <c r="B71" s="2873">
        <f>估价对象房地状况!C18</f>
        <v>0</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2936</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2950</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2942</v>
      </c>
      <c r="B74" s="1725">
        <f>估价对象房地状况!C21</f>
        <v>0</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2943</v>
      </c>
      <c r="B75" s="1725">
        <f>估价对象房地状况!C22</f>
        <v>0</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2940</v>
      </c>
      <c r="B76" s="2875" t="s">
        <v>2941</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2944</v>
      </c>
      <c r="B77" s="2872">
        <f>估价对象房地状况!C20</f>
        <v>0</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2951</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2952</v>
      </c>
      <c r="B79" s="2866">
        <f>1+E81</f>
        <v>1</v>
      </c>
      <c r="C79" s="814"/>
      <c r="D79" s="814"/>
      <c r="E79" s="815"/>
      <c r="F79" s="2868"/>
      <c r="G79" s="6"/>
      <c r="H79" s="6"/>
      <c r="I79" s="6"/>
      <c r="J79" s="7"/>
      <c r="K79" s="7"/>
      <c r="L79" s="7"/>
      <c r="M79" s="7"/>
      <c r="N79" s="7"/>
      <c r="Z79" s="2719"/>
      <c r="AA79" s="2787"/>
      <c r="AG79" s="1372"/>
      <c r="AK79" s="2787"/>
    </row>
    <row r="80" spans="1:37" ht="24.75">
      <c r="A80" s="2869" t="s">
        <v>2926</v>
      </c>
      <c r="B80" s="1809"/>
      <c r="C80" s="1809" t="s">
        <v>2928</v>
      </c>
      <c r="D80" s="1809" t="s">
        <v>2929</v>
      </c>
      <c r="E80" s="819" t="s">
        <v>2930</v>
      </c>
      <c r="F80" s="2870" t="s">
        <v>2946</v>
      </c>
      <c r="G80" s="1809" t="s">
        <v>754</v>
      </c>
      <c r="H80" s="2871" t="s">
        <v>2932</v>
      </c>
      <c r="I80" s="1809" t="s">
        <v>2933</v>
      </c>
      <c r="J80" s="603" t="s">
        <v>2582</v>
      </c>
      <c r="K80" s="603" t="s">
        <v>2583</v>
      </c>
      <c r="L80" s="603" t="s">
        <v>2584</v>
      </c>
      <c r="M80" s="603" t="s">
        <v>2585</v>
      </c>
      <c r="N80" s="603" t="s">
        <v>2586</v>
      </c>
      <c r="Z80" s="2719"/>
      <c r="AA80" s="2787"/>
      <c r="AG80" s="1372"/>
      <c r="AK80" s="2787"/>
    </row>
    <row r="81" spans="1:37" ht="24">
      <c r="A81" s="2869" t="s">
        <v>2953</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2935</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2936</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2950</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2942</v>
      </c>
      <c r="B85" s="1725">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2943</v>
      </c>
      <c r="B86" s="1725">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2940</v>
      </c>
      <c r="B87" s="2875" t="s">
        <v>2954</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2955</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0" t="s">
        <v>2956</v>
      </c>
      <c r="B90" s="3250"/>
      <c r="C90" s="3250"/>
      <c r="D90" s="3250"/>
      <c r="E90" s="3250"/>
      <c r="F90" s="3250"/>
      <c r="G90" s="3250"/>
      <c r="H90" s="3250"/>
      <c r="I90" s="3250"/>
      <c r="J90" s="3250"/>
      <c r="K90" s="2883"/>
      <c r="L90" s="2883"/>
      <c r="M90" s="2883"/>
      <c r="N90" s="2883"/>
    </row>
    <row r="91" spans="1:37">
      <c r="A91" s="3252" t="s">
        <v>2957</v>
      </c>
      <c r="B91" s="3252" t="s">
        <v>2958</v>
      </c>
      <c r="C91" s="2837" t="s">
        <v>2959</v>
      </c>
      <c r="D91" s="2838"/>
      <c r="E91" s="2838"/>
      <c r="F91" s="2838"/>
      <c r="G91" s="2838"/>
      <c r="H91" s="2838"/>
      <c r="I91" s="2838"/>
      <c r="J91" s="2884"/>
      <c r="K91" s="2885"/>
      <c r="L91" s="2885"/>
      <c r="M91" s="2885"/>
      <c r="N91" s="2885"/>
    </row>
    <row r="92" spans="1:37">
      <c r="A92" s="3252"/>
      <c r="B92" s="3252"/>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53" t="s">
        <v>2960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4"/>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3" t="s">
        <v>2961</v>
      </c>
      <c r="B101" s="2890" t="s">
        <v>2962</v>
      </c>
      <c r="C101" s="2891">
        <f>$G$3</f>
        <v>2.5099999999999998</v>
      </c>
      <c r="D101" s="2891">
        <f t="shared" ref="D101:N101" si="31">$G$3</f>
        <v>2.5099999999999998</v>
      </c>
      <c r="E101" s="2891">
        <f t="shared" si="31"/>
        <v>2.5099999999999998</v>
      </c>
      <c r="F101" s="2891">
        <f t="shared" si="31"/>
        <v>2.5099999999999998</v>
      </c>
      <c r="G101" s="2891">
        <f t="shared" si="31"/>
        <v>2.5099999999999998</v>
      </c>
      <c r="H101" s="2891">
        <f t="shared" si="31"/>
        <v>2.5099999999999998</v>
      </c>
      <c r="I101" s="2891">
        <f t="shared" si="31"/>
        <v>2.5099999999999998</v>
      </c>
      <c r="J101" s="2891">
        <f t="shared" si="31"/>
        <v>2.5099999999999998</v>
      </c>
      <c r="K101" s="2891">
        <f t="shared" si="31"/>
        <v>2.5099999999999998</v>
      </c>
      <c r="L101" s="2891">
        <f t="shared" si="31"/>
        <v>2.5099999999999998</v>
      </c>
      <c r="M101" s="2891">
        <f t="shared" si="31"/>
        <v>2.5099999999999998</v>
      </c>
      <c r="N101" s="2891">
        <f t="shared" si="31"/>
        <v>2.5099999999999998</v>
      </c>
    </row>
    <row r="102" spans="1:14">
      <c r="A102" s="3254"/>
      <c r="B102" s="2886">
        <v>1</v>
      </c>
      <c r="C102" s="2887">
        <f>1.9362/C101</f>
        <v>0.77139442231075706</v>
      </c>
      <c r="D102" s="2887">
        <f>1.9362/D101</f>
        <v>0.77139442231075706</v>
      </c>
      <c r="E102" s="2887">
        <f>1.8629/E101</f>
        <v>0.74219123505976103</v>
      </c>
      <c r="F102" s="2887">
        <f>1.8629/F101</f>
        <v>0.74219123505976103</v>
      </c>
      <c r="G102" s="2887">
        <f>1.8629/G101</f>
        <v>0.74219123505976103</v>
      </c>
      <c r="H102" s="2887">
        <f>1.8629/H101</f>
        <v>0.74219123505976103</v>
      </c>
      <c r="I102" s="2887">
        <f>1.8629/I101</f>
        <v>0.74219123505976103</v>
      </c>
      <c r="J102" s="2887">
        <f>1.942/J101</f>
        <v>0.77370517928286853</v>
      </c>
      <c r="K102" s="2887">
        <f>1.942/K101</f>
        <v>0.77370517928286853</v>
      </c>
      <c r="L102" s="2887">
        <f>1.942/L101</f>
        <v>0.77370517928286853</v>
      </c>
      <c r="M102" s="2887">
        <f>1.942/M101</f>
        <v>0.77370517928286853</v>
      </c>
      <c r="N102" s="2887">
        <f>1.942/N101</f>
        <v>0.77370517928286853</v>
      </c>
    </row>
    <row r="103" spans="1:14">
      <c r="A103" s="3254"/>
      <c r="B103" s="2886">
        <v>2</v>
      </c>
      <c r="C103" s="2887">
        <f>1.4198/C101</f>
        <v>0.5656573705179283</v>
      </c>
      <c r="D103" s="2887">
        <f>1.4198/D101</f>
        <v>0.5656573705179283</v>
      </c>
      <c r="E103" s="2887">
        <f>1.3372/E101</f>
        <v>0.53274900398406377</v>
      </c>
      <c r="F103" s="2887">
        <f>1.3372/F101</f>
        <v>0.53274900398406377</v>
      </c>
      <c r="G103" s="2887">
        <f>1.3372/G101</f>
        <v>0.53274900398406377</v>
      </c>
      <c r="H103" s="2887">
        <f>1.3372/H101</f>
        <v>0.53274900398406377</v>
      </c>
      <c r="I103" s="2887">
        <f>1.3372/I101</f>
        <v>0.53274900398406377</v>
      </c>
      <c r="J103" s="2887">
        <f>1.2799/J101</f>
        <v>0.50992031872509969</v>
      </c>
      <c r="K103" s="2887">
        <f>1.2799/K101</f>
        <v>0.50992031872509969</v>
      </c>
      <c r="L103" s="2887">
        <f>1.2799/L101</f>
        <v>0.50992031872509969</v>
      </c>
      <c r="M103" s="2887">
        <f>1.2799/M101</f>
        <v>0.50992031872509969</v>
      </c>
      <c r="N103" s="2887">
        <f>1.2799/N101</f>
        <v>0.50992031872509969</v>
      </c>
    </row>
    <row r="104" spans="1:14">
      <c r="A104" s="3254"/>
      <c r="B104" s="2886">
        <v>3</v>
      </c>
      <c r="C104" s="2887">
        <f>1.1594/C101</f>
        <v>0.4619123505976096</v>
      </c>
      <c r="D104" s="2887">
        <f>1.1594/D101</f>
        <v>0.4619123505976096</v>
      </c>
      <c r="E104" s="2887">
        <f>1.0788/E101</f>
        <v>0.42980079681274902</v>
      </c>
      <c r="F104" s="2887">
        <f>1.0788/F101</f>
        <v>0.42980079681274902</v>
      </c>
      <c r="G104" s="2887">
        <f>1.0788/G101</f>
        <v>0.42980079681274902</v>
      </c>
      <c r="H104" s="2887">
        <f>1.0788/H101</f>
        <v>0.42980079681274902</v>
      </c>
      <c r="I104" s="2887">
        <f>1.0788/I101</f>
        <v>0.42980079681274902</v>
      </c>
      <c r="J104" s="2887">
        <f>1.0072/J101</f>
        <v>0.40127490039840646</v>
      </c>
      <c r="K104" s="2887">
        <f>1.0072/K101</f>
        <v>0.40127490039840646</v>
      </c>
      <c r="L104" s="2887">
        <f>1.0072/L101</f>
        <v>0.40127490039840646</v>
      </c>
      <c r="M104" s="2887">
        <f>1.0072/M101</f>
        <v>0.40127490039840646</v>
      </c>
      <c r="N104" s="2887">
        <f>1.0072/N101</f>
        <v>0.40127490039840646</v>
      </c>
    </row>
    <row r="105" spans="1:14">
      <c r="A105" s="3254"/>
      <c r="B105" s="2886">
        <v>4</v>
      </c>
      <c r="C105" s="2887">
        <f>0.9622/C101</f>
        <v>0.38334661354581678</v>
      </c>
      <c r="D105" s="2887">
        <f>0.9622/D101</f>
        <v>0.38334661354581678</v>
      </c>
      <c r="E105" s="2887">
        <f>0.8656/E101</f>
        <v>0.34486055776892433</v>
      </c>
      <c r="F105" s="2887">
        <f>0.8656/F101</f>
        <v>0.34486055776892433</v>
      </c>
      <c r="G105" s="2887">
        <f>0.8656/G101</f>
        <v>0.34486055776892433</v>
      </c>
      <c r="H105" s="2887">
        <f>0.8656/H101</f>
        <v>0.34486055776892433</v>
      </c>
      <c r="I105" s="2887">
        <f>0.8656/I101</f>
        <v>0.34486055776892433</v>
      </c>
      <c r="J105" s="2887">
        <f>0.7525/J101</f>
        <v>0.29980079681274902</v>
      </c>
      <c r="K105" s="2887">
        <f>0.7525/K101</f>
        <v>0.29980079681274902</v>
      </c>
      <c r="L105" s="2887">
        <f>0.7525/L101</f>
        <v>0.29980079681274902</v>
      </c>
      <c r="M105" s="2887">
        <f>0.7525/M101</f>
        <v>0.29980079681274902</v>
      </c>
      <c r="N105" s="2887">
        <f>0.7525/N101</f>
        <v>0.29980079681274902</v>
      </c>
    </row>
    <row r="106" spans="1:14">
      <c r="A106" s="3254"/>
      <c r="B106" s="2886">
        <v>5</v>
      </c>
      <c r="C106" s="2887">
        <f>0.8417/C101</f>
        <v>0.3353386454183267</v>
      </c>
      <c r="D106" s="2887">
        <f>0.8417/D101</f>
        <v>0.3353386454183267</v>
      </c>
      <c r="E106" s="2887">
        <f>0.7371/E101</f>
        <v>0.29366533864541833</v>
      </c>
      <c r="F106" s="2887">
        <f>0.7371/F101</f>
        <v>0.29366533864541833</v>
      </c>
      <c r="G106" s="2887">
        <f>0.7371/G101</f>
        <v>0.29366533864541833</v>
      </c>
      <c r="H106" s="2887">
        <f>0.7371/H101</f>
        <v>0.29366533864541833</v>
      </c>
      <c r="I106" s="2887">
        <f>0.7371/I101</f>
        <v>0.29366533864541833</v>
      </c>
      <c r="J106" s="2887">
        <f>0.5659/J101</f>
        <v>0.22545816733067731</v>
      </c>
      <c r="K106" s="2887">
        <f>0.5659/K101</f>
        <v>0.22545816733067731</v>
      </c>
      <c r="L106" s="2887">
        <f>0.5659/L101</f>
        <v>0.22545816733067731</v>
      </c>
      <c r="M106" s="2887">
        <f>0.5659/M101</f>
        <v>0.22545816733067731</v>
      </c>
      <c r="N106" s="2887">
        <f>0.5659/N101</f>
        <v>0.22545816733067731</v>
      </c>
    </row>
    <row r="107" spans="1:14">
      <c r="A107" s="3254"/>
      <c r="B107" s="2886">
        <v>6</v>
      </c>
      <c r="C107" s="2887">
        <f>0.7608/C101</f>
        <v>0.30310756972111558</v>
      </c>
      <c r="D107" s="2887">
        <f>0.7608/D101</f>
        <v>0.30310756972111558</v>
      </c>
      <c r="E107" s="2887">
        <f>0.6482/E101</f>
        <v>0.25824701195219124</v>
      </c>
      <c r="F107" s="2887">
        <f>0.6482/F101</f>
        <v>0.25824701195219124</v>
      </c>
      <c r="G107" s="2887">
        <f>0.6482/G101</f>
        <v>0.25824701195219124</v>
      </c>
      <c r="H107" s="2887">
        <f>0.6482/H101</f>
        <v>0.25824701195219124</v>
      </c>
      <c r="I107" s="2887">
        <f>0.6482/I101</f>
        <v>0.25824701195219124</v>
      </c>
      <c r="J107" s="2887">
        <f>0.4525/J101</f>
        <v>0.18027888446215143</v>
      </c>
      <c r="K107" s="2887">
        <f>0.4525/K101</f>
        <v>0.18027888446215143</v>
      </c>
      <c r="L107" s="2887">
        <f>0.4525/L101</f>
        <v>0.18027888446215143</v>
      </c>
      <c r="M107" s="2887">
        <f>0.4525/M101</f>
        <v>0.18027888446215143</v>
      </c>
      <c r="N107" s="2887">
        <f>0.4525/N101</f>
        <v>0.18027888446215143</v>
      </c>
    </row>
    <row r="108" spans="1:14">
      <c r="A108" s="3254"/>
      <c r="B108" s="3079" t="s">
        <v>2963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5"/>
      <c r="B109" s="3080"/>
      <c r="C109" s="2889">
        <f>(-0.163*(C108^2)-0.59*C108+7617)*(10^(-4))/C101</f>
        <v>0.30346613545816736</v>
      </c>
      <c r="D109" s="2889">
        <f>(-0.163*(D108^2)-0.59*D108+7617)*(10^(-4))/D101</f>
        <v>0.30346613545816736</v>
      </c>
      <c r="E109" s="2889">
        <f>(-0.161*(E108^2)-7.509*E108+6533)*(10^(-4))/E101</f>
        <v>0.26027888446215142</v>
      </c>
      <c r="F109" s="2889">
        <f>(-0.161*(F108^2)-7.509*F108+6533)*(10^(-4))/F101</f>
        <v>0.26027888446215142</v>
      </c>
      <c r="G109" s="2889">
        <f>(-0.161*(G108^2)-7.509*G108+6533)*(10^(-4))/G101</f>
        <v>0.26027888446215142</v>
      </c>
      <c r="H109" s="2889">
        <f>(-0.161*(H108^2)-7.509*H108+6533)*(10^(-4))/H101</f>
        <v>0.26027888446215142</v>
      </c>
      <c r="I109" s="2889">
        <f>(-0.161*(I108^2)-7.509*I108+6533)*(10^(-4))/I101</f>
        <v>0.26027888446215142</v>
      </c>
      <c r="J109" s="2889">
        <f>(-0.214*(J108^2)-21.991*J108+4665)*(10^(-4))/J101</f>
        <v>0.1858565737051793</v>
      </c>
      <c r="K109" s="2889">
        <f>(-0.214*(K108^2)-21.991*K108+4665)*(10^(-4))/K101</f>
        <v>0.1858565737051793</v>
      </c>
      <c r="L109" s="2889">
        <f>(-0.214*(L108^2)-21.991*L108+4665)*(10^(-4))/L101</f>
        <v>0.1858565737051793</v>
      </c>
      <c r="M109" s="2889">
        <f>(-0.214*(M108^2)-21.991*M108+4665)*(10^(-4))/M101</f>
        <v>0.1858565737051793</v>
      </c>
      <c r="N109" s="2889">
        <f>(-0.214*(N108^2)-21.991*N108+4665)*(10^(-4))/N101</f>
        <v>0.1858565737051793</v>
      </c>
    </row>
    <row r="110" spans="1:14">
      <c r="A110" s="3251" t="s">
        <v>2964</v>
      </c>
      <c r="B110" s="3251"/>
      <c r="C110" s="3251"/>
      <c r="D110" s="3251"/>
      <c r="E110" s="3251"/>
      <c r="F110" s="3251"/>
      <c r="G110" s="3251"/>
      <c r="H110" s="3251"/>
      <c r="I110" s="3251"/>
      <c r="J110" s="3251"/>
      <c r="K110" s="2892"/>
      <c r="L110" s="2892"/>
      <c r="M110" s="2892"/>
      <c r="N110" s="2892"/>
    </row>
    <row r="112" spans="1:14" ht="13.5" thickBot="1"/>
    <row r="113" spans="1:13" ht="25.5" thickBot="1">
      <c r="A113" s="903" t="s">
        <v>2965</v>
      </c>
      <c r="B113" s="1287">
        <f>G3</f>
        <v>2.5099999999999998</v>
      </c>
      <c r="C113" s="904" t="s">
        <v>2966</v>
      </c>
      <c r="D113" s="905">
        <f>SUMPRODUCT((A115:A118=F113)*(B114:M114=H113)*B115:M118)</f>
        <v>0</v>
      </c>
      <c r="E113" s="2723" t="s">
        <v>2797</v>
      </c>
      <c r="F113" s="2894">
        <f>E2</f>
        <v>0</v>
      </c>
      <c r="G113" s="2723" t="s">
        <v>2798</v>
      </c>
      <c r="H113" s="2894">
        <f>G2</f>
        <v>0</v>
      </c>
      <c r="I113" s="2723"/>
      <c r="J113" s="2895"/>
      <c r="K113" s="2895"/>
      <c r="L113" s="2895"/>
      <c r="M113" s="2895"/>
    </row>
    <row r="114" spans="1:13">
      <c r="A114" s="908"/>
      <c r="B114" s="2896" t="s">
        <v>2967</v>
      </c>
      <c r="C114" s="2896" t="s">
        <v>2968</v>
      </c>
      <c r="D114" s="2896" t="s">
        <v>2969</v>
      </c>
      <c r="E114" s="2897" t="s">
        <v>2970</v>
      </c>
      <c r="F114" s="2897" t="s">
        <v>2971</v>
      </c>
      <c r="G114" s="2897" t="s">
        <v>2972</v>
      </c>
      <c r="H114" s="2898" t="s">
        <v>2973</v>
      </c>
      <c r="I114" s="2898" t="s">
        <v>2974</v>
      </c>
      <c r="J114" s="2899" t="s">
        <v>2975</v>
      </c>
      <c r="K114" s="2899" t="s">
        <v>2976</v>
      </c>
      <c r="L114" s="2899" t="s">
        <v>2977</v>
      </c>
      <c r="M114" s="2900" t="s">
        <v>2978</v>
      </c>
    </row>
    <row r="115" spans="1:13">
      <c r="A115" s="909" t="s">
        <v>2862</v>
      </c>
      <c r="B115" s="910">
        <f>ROUND(0.9335-0.0094*B113,4)</f>
        <v>0.90990000000000004</v>
      </c>
      <c r="C115" s="910">
        <f>B115</f>
        <v>0.90990000000000004</v>
      </c>
      <c r="D115" s="910">
        <f>ROUND(0.8331-0.0109*B113,4)</f>
        <v>0.80569999999999997</v>
      </c>
      <c r="E115" s="910">
        <f>D115</f>
        <v>0.80569999999999997</v>
      </c>
      <c r="F115" s="910">
        <f>E115</f>
        <v>0.80569999999999997</v>
      </c>
      <c r="G115" s="910">
        <f>F115</f>
        <v>0.80569999999999997</v>
      </c>
      <c r="H115" s="910">
        <f>G115</f>
        <v>0.80569999999999997</v>
      </c>
      <c r="I115" s="910">
        <f>ROUND(0.689-0.0155*B113,4)</f>
        <v>0.65010000000000001</v>
      </c>
      <c r="J115" s="910">
        <f t="shared" ref="J115:M118" si="33">I115</f>
        <v>0.65010000000000001</v>
      </c>
      <c r="K115" s="910">
        <f t="shared" si="33"/>
        <v>0.65010000000000001</v>
      </c>
      <c r="L115" s="910">
        <f t="shared" si="33"/>
        <v>0.65010000000000001</v>
      </c>
      <c r="M115" s="911">
        <f t="shared" si="33"/>
        <v>0.65010000000000001</v>
      </c>
    </row>
    <row r="116" spans="1:13">
      <c r="A116" s="909" t="s">
        <v>2863</v>
      </c>
      <c r="B116" s="910">
        <f>ROUND(0.949-0.012*B113,4)</f>
        <v>0.91890000000000005</v>
      </c>
      <c r="C116" s="910">
        <f>B116</f>
        <v>0.91890000000000005</v>
      </c>
      <c r="D116" s="910">
        <f>ROUND(0.8567-0.013*B113,4)</f>
        <v>0.82410000000000005</v>
      </c>
      <c r="E116" s="910">
        <f t="shared" ref="E116:H117" si="34">D116</f>
        <v>0.82410000000000005</v>
      </c>
      <c r="F116" s="910">
        <f t="shared" si="34"/>
        <v>0.82410000000000005</v>
      </c>
      <c r="G116" s="910">
        <f t="shared" si="34"/>
        <v>0.82410000000000005</v>
      </c>
      <c r="H116" s="910">
        <f t="shared" si="34"/>
        <v>0.82410000000000005</v>
      </c>
      <c r="I116" s="910">
        <f>ROUND(0.7694-0.014*B113,4)</f>
        <v>0.73429999999999995</v>
      </c>
      <c r="J116" s="910">
        <f t="shared" si="33"/>
        <v>0.73429999999999995</v>
      </c>
      <c r="K116" s="910">
        <f t="shared" si="33"/>
        <v>0.73429999999999995</v>
      </c>
      <c r="L116" s="910">
        <f t="shared" si="33"/>
        <v>0.73429999999999995</v>
      </c>
      <c r="M116" s="911">
        <f t="shared" si="33"/>
        <v>0.73429999999999995</v>
      </c>
    </row>
    <row r="117" spans="1:13">
      <c r="A117" s="909" t="s">
        <v>2864</v>
      </c>
      <c r="B117" s="910">
        <f>ROUND(0.8808-0.006*B113,4)</f>
        <v>0.86570000000000003</v>
      </c>
      <c r="C117" s="910">
        <f>B117</f>
        <v>0.86570000000000003</v>
      </c>
      <c r="D117" s="910">
        <f>ROUND(0.8748-0.008*B113,4)</f>
        <v>0.85470000000000002</v>
      </c>
      <c r="E117" s="910">
        <f t="shared" si="34"/>
        <v>0.85470000000000002</v>
      </c>
      <c r="F117" s="910">
        <f t="shared" si="34"/>
        <v>0.85470000000000002</v>
      </c>
      <c r="G117" s="910">
        <f t="shared" si="34"/>
        <v>0.85470000000000002</v>
      </c>
      <c r="H117" s="910">
        <f t="shared" si="34"/>
        <v>0.85470000000000002</v>
      </c>
      <c r="I117" s="910">
        <f>ROUND(0.7412-0.0095*B113,4)</f>
        <v>0.71740000000000004</v>
      </c>
      <c r="J117" s="910">
        <f t="shared" si="33"/>
        <v>0.71740000000000004</v>
      </c>
      <c r="K117" s="910">
        <f t="shared" si="33"/>
        <v>0.71740000000000004</v>
      </c>
      <c r="L117" s="910">
        <f t="shared" si="33"/>
        <v>0.71740000000000004</v>
      </c>
      <c r="M117" s="911">
        <f t="shared" si="33"/>
        <v>0.71740000000000004</v>
      </c>
    </row>
    <row r="118" spans="1:13" ht="13.5" thickBot="1">
      <c r="A118" s="714" t="s">
        <v>2865</v>
      </c>
      <c r="B118" s="912">
        <f>ROUND(0.7275-0.01*B113,4)</f>
        <v>0.70240000000000002</v>
      </c>
      <c r="C118" s="912">
        <f>B118</f>
        <v>0.70240000000000002</v>
      </c>
      <c r="D118" s="912">
        <f>ROUND(0.7043-0.012*B113,4)</f>
        <v>0.67420000000000002</v>
      </c>
      <c r="E118" s="912">
        <f>D118</f>
        <v>0.67420000000000002</v>
      </c>
      <c r="F118" s="912">
        <f>E118</f>
        <v>0.67420000000000002</v>
      </c>
      <c r="G118" s="912">
        <f>ROUND(0.6299-0.0122*B113,4)</f>
        <v>0.59930000000000005</v>
      </c>
      <c r="H118" s="912">
        <f>G118</f>
        <v>0.59930000000000005</v>
      </c>
      <c r="I118" s="912">
        <f>ROUND(0.5667-0.0136*B113,4)</f>
        <v>0.53259999999999996</v>
      </c>
      <c r="J118" s="912">
        <f t="shared" si="33"/>
        <v>0.53259999999999996</v>
      </c>
      <c r="K118" s="912">
        <f t="shared" si="33"/>
        <v>0.53259999999999996</v>
      </c>
      <c r="L118" s="912">
        <f t="shared" si="33"/>
        <v>0.53259999999999996</v>
      </c>
      <c r="M118" s="913">
        <f t="shared" si="33"/>
        <v>0.53259999999999996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2987</v>
      </c>
    </row>
    <row r="2" spans="1:5" ht="15.75">
      <c r="A2" s="2901" t="s">
        <v>2979</v>
      </c>
      <c r="B2" s="2902" t="e">
        <f ca="1">SUMIF(B6:B13,"&lt;&gt;#ref!",B6:B13)</f>
        <v>#DIV/0!</v>
      </c>
      <c r="C2" s="2901" t="s">
        <v>2980</v>
      </c>
      <c r="D2" s="2901" t="s">
        <v>2981</v>
      </c>
      <c r="E2" s="2902">
        <f ca="1">SUMIF(E6:E13,"&lt;&gt;#ref!",E6:E13)</f>
        <v>0</v>
      </c>
    </row>
    <row r="3" spans="1:5" ht="15.75">
      <c r="A3" s="2901" t="s">
        <v>2982</v>
      </c>
      <c r="B3" s="2902" t="e">
        <f ca="1">ROUND(B2*10000/E2,0)</f>
        <v>#DIV/0!</v>
      </c>
      <c r="C3" s="2901" t="s">
        <v>2988</v>
      </c>
      <c r="D3" s="2903"/>
      <c r="E3" s="2903"/>
    </row>
    <row r="4" spans="1:5" ht="15.75">
      <c r="A4" s="2904"/>
      <c r="B4" s="2903"/>
      <c r="C4" s="2903"/>
      <c r="D4" s="2903"/>
      <c r="E4" s="2903"/>
    </row>
    <row r="5" spans="1:5" ht="28.5">
      <c r="A5" s="2905" t="s">
        <v>2983</v>
      </c>
      <c r="B5" s="2901" t="s">
        <v>2984</v>
      </c>
      <c r="C5" s="2902"/>
      <c r="D5" s="2903"/>
      <c r="E5" s="2901" t="s">
        <v>2985</v>
      </c>
    </row>
    <row r="6" spans="1:5" ht="15.75">
      <c r="A6" s="2906" t="s">
        <v>2986</v>
      </c>
      <c r="B6" s="2902" t="e">
        <f ca="1">SUMIF(INDIRECT("'"&amp;A6&amp;"'"&amp;"!A:A"),"总价",INDIRECT("'"&amp;A6&amp;"'"&amp;"!B:B"))</f>
        <v>#DIV/0!</v>
      </c>
      <c r="C6" s="2901" t="s">
        <v>2980</v>
      </c>
      <c r="D6" s="2903"/>
      <c r="E6" s="2574">
        <f ca="1">SUMIF(INDIRECT("'"&amp;A6&amp;"'"&amp;"!C:C"),"建筑面积",INDIRECT("'"&amp;A6&amp;"'"&amp;"!D:D"))</f>
        <v>0</v>
      </c>
    </row>
    <row r="7" spans="1:5" ht="15.75">
      <c r="A7" s="2906"/>
      <c r="B7" s="2902" t="e">
        <f ca="1">SUMIF(INDIRECT("'"&amp;A7&amp;"'"&amp;"!A:A"),"总价",INDIRECT("'"&amp;A7&amp;"'"&amp;"!B:B"))</f>
        <v>#REF!</v>
      </c>
      <c r="C7" s="2901" t="s">
        <v>2980</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2980</v>
      </c>
      <c r="D8" s="2903"/>
      <c r="E8" s="2574" t="e">
        <f t="shared" ca="1" si="0"/>
        <v>#REF!</v>
      </c>
    </row>
    <row r="9" spans="1:5" ht="15.75">
      <c r="A9" s="2906"/>
      <c r="B9" s="2902" t="e">
        <f t="shared" ca="1" si="1"/>
        <v>#REF!</v>
      </c>
      <c r="C9" s="2901" t="s">
        <v>2980</v>
      </c>
      <c r="D9" s="2903"/>
      <c r="E9" s="2574" t="e">
        <f t="shared" ca="1" si="0"/>
        <v>#REF!</v>
      </c>
    </row>
    <row r="10" spans="1:5" ht="15.75">
      <c r="A10" s="2906"/>
      <c r="B10" s="2902" t="e">
        <f t="shared" ca="1" si="1"/>
        <v>#REF!</v>
      </c>
      <c r="C10" s="2901" t="s">
        <v>2980</v>
      </c>
      <c r="D10" s="2903"/>
      <c r="E10" s="2574" t="e">
        <f t="shared" ca="1" si="0"/>
        <v>#REF!</v>
      </c>
    </row>
    <row r="11" spans="1:5" ht="15.75">
      <c r="A11" s="2906"/>
      <c r="B11" s="2902" t="e">
        <f t="shared" ca="1" si="1"/>
        <v>#REF!</v>
      </c>
      <c r="C11" s="2901" t="s">
        <v>2980</v>
      </c>
      <c r="D11" s="2903"/>
      <c r="E11" s="2574" t="e">
        <f t="shared" ca="1" si="0"/>
        <v>#REF!</v>
      </c>
    </row>
    <row r="12" spans="1:5" ht="15.75">
      <c r="A12" s="2906"/>
      <c r="B12" s="2902" t="e">
        <f t="shared" ca="1" si="1"/>
        <v>#REF!</v>
      </c>
      <c r="C12" s="2901" t="s">
        <v>2980</v>
      </c>
      <c r="D12" s="2903"/>
      <c r="E12" s="2574" t="e">
        <f t="shared" ca="1" si="0"/>
        <v>#REF!</v>
      </c>
    </row>
    <row r="13" spans="1:5" ht="15.75">
      <c r="A13" s="2906"/>
      <c r="B13" s="2902" t="e">
        <f t="shared" ca="1" si="1"/>
        <v>#REF!</v>
      </c>
      <c r="C13" s="2901" t="s">
        <v>2980</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3022</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3037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5">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3029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3028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3018</v>
      </c>
      <c r="B11" s="1469">
        <v>439</v>
      </c>
      <c r="C11" s="1469">
        <v>327</v>
      </c>
      <c r="D11" s="1469">
        <f>C11</f>
        <v>327</v>
      </c>
      <c r="E11" s="1469">
        <v>627</v>
      </c>
      <c r="F11" s="1470">
        <v>283</v>
      </c>
      <c r="G11" s="327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3019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1"/>
      <c r="B4" s="2963" t="s">
        <v>1626</v>
      </c>
      <c r="C4" s="2963"/>
      <c r="D4" s="2963"/>
      <c r="E4" s="1961"/>
    </row>
    <row r="5" spans="1:5" ht="16.5" thickTop="1">
      <c r="A5" s="1959"/>
      <c r="B5" s="2961" t="s">
        <v>1618</v>
      </c>
      <c r="C5" s="1962" t="s">
        <v>1619</v>
      </c>
      <c r="D5" s="1040">
        <f ca="1">结果表!H101</f>
        <v>10152</v>
      </c>
      <c r="E5" s="1959"/>
    </row>
    <row r="6" spans="1:5" ht="15.75">
      <c r="A6" s="1959"/>
      <c r="B6" s="2961"/>
      <c r="C6" s="1962" t="s">
        <v>1620</v>
      </c>
      <c r="D6" s="1040" t="str">
        <f ca="1">NUMBERSTRING(INT(D5*10000),2)&amp;"元整"</f>
        <v>壹亿零壹佰伍拾贰万元整</v>
      </c>
      <c r="E6" s="1959"/>
    </row>
    <row r="7" spans="1:5" ht="15.75">
      <c r="A7" s="1959"/>
      <c r="B7" s="2966"/>
      <c r="C7" s="1963" t="s">
        <v>1621</v>
      </c>
      <c r="D7" s="1041">
        <f ca="1">结果表!H102</f>
        <v>5504</v>
      </c>
      <c r="E7" s="1959"/>
    </row>
    <row r="8" spans="1:5" ht="15.75">
      <c r="A8" s="1959"/>
      <c r="B8" s="2967" t="str">
        <f>结果表!E103</f>
        <v>2.估价师知悉的法定优先受偿款</v>
      </c>
      <c r="C8" s="1964" t="s">
        <v>1622</v>
      </c>
      <c r="D8" s="1041">
        <f>结果表!H103</f>
        <v>0</v>
      </c>
      <c r="E8" s="1959"/>
    </row>
    <row r="9" spans="1:5" ht="15.75">
      <c r="A9" s="1959"/>
      <c r="B9" s="296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0" t="str">
        <f>结果表!E107</f>
        <v>3.房地产抵押价值</v>
      </c>
      <c r="C13" s="1967" t="s">
        <v>1619</v>
      </c>
      <c r="D13" s="1043">
        <f ca="1">结果表!H107</f>
        <v>10152</v>
      </c>
      <c r="E13" s="1959"/>
    </row>
    <row r="14" spans="1:5" ht="15.75">
      <c r="A14" s="1959"/>
      <c r="B14" s="2961"/>
      <c r="C14" s="1962" t="s">
        <v>1620</v>
      </c>
      <c r="D14" s="1040" t="str">
        <f ca="1">NUMBERSTRING(INT(D13*10000),2)&amp;"元整"</f>
        <v>壹亿零壹佰伍拾贰万元整</v>
      </c>
      <c r="E14" s="1959"/>
    </row>
    <row r="15" spans="1:5" ht="15">
      <c r="A15" s="1959"/>
      <c r="B15" s="2966"/>
      <c r="C15" s="1963" t="s">
        <v>1630</v>
      </c>
      <c r="D15" s="1052">
        <f ca="1">结果表!H108</f>
        <v>5504</v>
      </c>
      <c r="E15" s="1959"/>
    </row>
    <row r="16" spans="1:5" ht="15">
      <c r="A16" s="1959"/>
      <c r="B16" s="2967" t="str">
        <f>结果表!E109</f>
        <v>——</v>
      </c>
      <c r="C16" s="1967" t="s">
        <v>1631</v>
      </c>
      <c r="D16" s="1968" t="str">
        <f>结果表!H109</f>
        <v>——</v>
      </c>
      <c r="E16" s="1959"/>
    </row>
    <row r="17" spans="1:5" ht="15.75">
      <c r="A17" s="1959"/>
      <c r="B17" s="2968"/>
      <c r="C17" s="1962" t="s">
        <v>1632</v>
      </c>
      <c r="D17" s="1040" t="e">
        <f>NUMBERSTRING(INT(D16*10000),2)&amp;"元整"</f>
        <v>#VALUE!</v>
      </c>
      <c r="E17" s="1959"/>
    </row>
    <row r="18" spans="1:5" ht="15">
      <c r="A18" s="1959"/>
      <c r="B18" s="2969"/>
      <c r="C18" s="1963" t="s">
        <v>1621</v>
      </c>
      <c r="D18" s="1052" t="str">
        <f>结果表!H110</f>
        <v>——</v>
      </c>
      <c r="E18" s="1959"/>
    </row>
    <row r="19" spans="1:5" ht="15.75">
      <c r="A19" s="1959"/>
      <c r="B19" s="2960" t="str">
        <f>结果表!E111</f>
        <v>——</v>
      </c>
      <c r="C19" s="1967" t="s">
        <v>1619</v>
      </c>
      <c r="D19" s="1041" t="str">
        <f>结果表!H111</f>
        <v>——</v>
      </c>
      <c r="E19" s="1959"/>
    </row>
    <row r="20" spans="1:5" ht="15.75">
      <c r="A20" s="1959"/>
      <c r="B20" s="2961"/>
      <c r="C20" s="1962" t="s">
        <v>1632</v>
      </c>
      <c r="D20" s="1040" t="e">
        <f>NUMBERSTRING(INT(D19*10000),2)&amp;"元整"</f>
        <v>#VALUE!</v>
      </c>
      <c r="E20" s="1959"/>
    </row>
    <row r="21" spans="1:5" ht="15.75" thickBot="1">
      <c r="A21" s="1959"/>
      <c r="B21" s="296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4" t="s">
        <v>2990</v>
      </c>
      <c r="D1" s="3285"/>
      <c r="E1" s="3285"/>
      <c r="F1" s="3285"/>
      <c r="G1" s="3285"/>
      <c r="H1" s="3285"/>
      <c r="I1" s="3285"/>
      <c r="J1" s="3285"/>
      <c r="K1" s="3285"/>
      <c r="L1" s="3285"/>
      <c r="M1" s="3285"/>
      <c r="N1" s="3285"/>
      <c r="O1" s="3285"/>
      <c r="P1" s="3285"/>
      <c r="Q1" s="3285"/>
      <c r="R1" s="3285"/>
      <c r="S1" s="3286"/>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2999</v>
      </c>
      <c r="B17" s="2908"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10" t="s">
        <v>3003</v>
      </c>
      <c r="E20" s="1793"/>
      <c r="F20" s="1204" t="e">
        <f ca="1">SUMIF(INDIRECT("'"&amp;H20&amp;"'"&amp;"!A:A"),"承租人权益价值",INDIRECT("'"&amp;H20&amp;"'"&amp;"!c:c"))</f>
        <v>#REF!</v>
      </c>
      <c r="G20" s="1204" t="s">
        <v>3004</v>
      </c>
      <c r="H20" s="2911"/>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0" t="s">
        <v>33</v>
      </c>
      <c r="D22" s="3061"/>
      <c r="E22" s="3061"/>
      <c r="F22" s="3061"/>
      <c r="G22" s="3061"/>
      <c r="H22" s="3061"/>
      <c r="I22" s="3061"/>
      <c r="J22" s="3061"/>
      <c r="K22" s="3061"/>
      <c r="L22" s="3061"/>
      <c r="M22" s="3061"/>
      <c r="N22" s="3061"/>
      <c r="O22" s="3061"/>
      <c r="P22" s="3061"/>
      <c r="Q22" s="3283"/>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36857</v>
      </c>
      <c r="C2" s="2" t="s">
        <v>133</v>
      </c>
      <c r="D2" s="243"/>
      <c r="E2" s="243"/>
      <c r="F2" s="243"/>
      <c r="G2" s="243"/>
    </row>
    <row r="3" spans="1:7" s="244" customFormat="1" ht="18" customHeight="1" thickBot="1">
      <c r="A3" s="247" t="s">
        <v>85</v>
      </c>
      <c r="B3" s="248">
        <f ca="1">ROUND(B2*10000/'数据-汇总表'!E3,0)</f>
        <v>19983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194</v>
      </c>
      <c r="D10" s="1032">
        <f>'数据-汇总表'!E6</f>
        <v>18444.57</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369</v>
      </c>
      <c r="D19" s="1036">
        <f>'数据-汇总表'!E3</f>
        <v>18444.57</v>
      </c>
      <c r="E19" s="255">
        <f>'数据-取费表'!B31</f>
        <v>200</v>
      </c>
      <c r="F19" s="275"/>
      <c r="G19" s="1" t="s">
        <v>1071</v>
      </c>
    </row>
    <row r="20" spans="1:7" s="258" customFormat="1" ht="13.5" customHeight="1">
      <c r="A20" s="948" t="s">
        <v>1054</v>
      </c>
      <c r="B20" s="254" t="s">
        <v>104</v>
      </c>
      <c r="C20" s="276">
        <f>ROUND((C5+C19)*F20,0)</f>
        <v>524</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2065</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4301</v>
      </c>
      <c r="D27" s="279">
        <f>C29</f>
        <v>5.0000000000000001E-3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4301</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5280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4611</v>
      </c>
      <c r="D34" s="261"/>
      <c r="E34" s="264"/>
      <c r="F34" s="301">
        <f>IF('数据-取费表'!B24=0,1,'数据-取费表'!N16)</f>
        <v>1</v>
      </c>
      <c r="G34" s="263" t="s">
        <v>116</v>
      </c>
    </row>
    <row r="35" spans="1:7" ht="13.5" customHeight="1">
      <c r="A35" s="951" t="s">
        <v>796</v>
      </c>
      <c r="B35" s="259" t="s">
        <v>60</v>
      </c>
      <c r="C35" s="264">
        <f>ROUND(C34*F35,0)</f>
        <v>231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369</v>
      </c>
      <c r="D37" s="261">
        <f>'数据-汇总表'!E3</f>
        <v>18444.57</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132</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257</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251</v>
      </c>
      <c r="D42" s="282"/>
      <c r="E42" s="282"/>
      <c r="F42" s="283"/>
      <c r="G42" s="3145" t="s">
        <v>121</v>
      </c>
    </row>
    <row r="43" spans="1:7" ht="13.5" customHeight="1">
      <c r="A43" s="951" t="s">
        <v>792</v>
      </c>
      <c r="B43" s="259" t="s">
        <v>1061</v>
      </c>
      <c r="C43" s="282">
        <f ca="1">ROUND(IF('数据-取费表'!B22&lt;=1,C39*F22*'数据-取费表'!B21/2,C39*(POWER((1+F22),'数据-取费表'!B21/2)-1)),0)</f>
        <v>6</v>
      </c>
      <c r="D43" s="282"/>
      <c r="E43" s="282"/>
      <c r="F43" s="283"/>
      <c r="G43" s="3146"/>
    </row>
    <row r="44" spans="1:7" ht="13.5" customHeight="1">
      <c r="A44" s="951" t="s">
        <v>793</v>
      </c>
      <c r="B44" s="259" t="s">
        <v>1063</v>
      </c>
      <c r="C44" s="282">
        <f ca="1">ROUND(IF('数据-取费表'!B22&lt;=1,C40*F22*'数据-取费表'!B21/2,C40*(POWER((1+F22),'数据-取费表'!B21/2)-1)),4)</f>
        <v>1.1999999999999999E-3</v>
      </c>
      <c r="D44" s="282"/>
      <c r="E44" s="282"/>
      <c r="F44" s="283"/>
      <c r="G44" s="3147"/>
    </row>
    <row r="45" spans="1:7" s="258" customFormat="1" ht="13.5" customHeight="1">
      <c r="A45" s="948" t="s">
        <v>786</v>
      </c>
      <c r="B45" s="288" t="s">
        <v>112</v>
      </c>
      <c r="C45" s="289">
        <f>C46</f>
        <v>1082</v>
      </c>
      <c r="D45" s="279">
        <f>C47</f>
        <v>5.0000000000000001E-3</v>
      </c>
      <c r="E45" s="280" t="s">
        <v>129</v>
      </c>
      <c r="F45" s="290"/>
      <c r="G45" s="291" t="s">
        <v>1069</v>
      </c>
    </row>
    <row r="46" spans="1:7" s="258" customFormat="1" ht="13.5" customHeight="1">
      <c r="A46" s="951" t="s">
        <v>794</v>
      </c>
      <c r="B46" s="292" t="s">
        <v>1062</v>
      </c>
      <c r="C46" s="293">
        <f>ROUND((C33+C39)*F27,0)</f>
        <v>1082</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7374</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6415</v>
      </c>
      <c r="D51" s="276"/>
      <c r="E51" s="276"/>
      <c r="F51" s="308"/>
      <c r="G51" s="278" t="s">
        <v>64</v>
      </c>
    </row>
    <row r="52" spans="1:7" s="252" customFormat="1" ht="16.5" thickBot="1">
      <c r="A52" s="309" t="s">
        <v>65</v>
      </c>
      <c r="B52" s="310"/>
      <c r="C52" s="311">
        <f ca="1">C31+C51</f>
        <v>36857</v>
      </c>
      <c r="D52" s="310"/>
      <c r="E52" s="310"/>
      <c r="F52" s="310"/>
      <c r="G52" s="312"/>
    </row>
    <row r="55" spans="1:7" ht="15">
      <c r="B55" s="314" t="s">
        <v>66</v>
      </c>
      <c r="C55" s="315"/>
    </row>
    <row r="56" spans="1:7">
      <c r="B56" s="317" t="s">
        <v>67</v>
      </c>
      <c r="C56" s="318">
        <f ca="1">ROUND(C51/C52,3)</f>
        <v>0.17399999999999999</v>
      </c>
    </row>
    <row r="57" spans="1:7">
      <c r="B57" s="317" t="s">
        <v>68</v>
      </c>
      <c r="C57" s="319">
        <f ca="1">1-C56</f>
        <v>0.82600000000000007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1634</v>
      </c>
      <c r="E3" s="1044" t="s">
        <v>1640</v>
      </c>
      <c r="F3" s="1044" t="s">
        <v>1634</v>
      </c>
      <c r="G3" s="1044" t="s">
        <v>1635</v>
      </c>
      <c r="H3" s="1044" t="s">
        <v>1634</v>
      </c>
      <c r="I3" s="1044" t="s">
        <v>1635</v>
      </c>
    </row>
    <row r="4" spans="1:9" ht="45">
      <c r="A4" s="1973" t="str">
        <f>项目基本情况!S2</f>
        <v>江苏省镇江市京口区镇江新区丁卯经十五路99号17幢等5幢工业厂房、服务楼用房房地产</v>
      </c>
      <c r="B4" s="1044">
        <f>项目基本情况!C17</f>
        <v>18444.57</v>
      </c>
      <c r="C4" s="1044">
        <f>项目基本情况!C18</f>
        <v>7338.5</v>
      </c>
      <c r="D4" s="1044">
        <f ca="1">结果表!D118</f>
        <v>1401</v>
      </c>
      <c r="E4" s="1044">
        <f ca="1">结果表!E118</f>
        <v>760</v>
      </c>
      <c r="F4" s="1044">
        <f ca="1">结果表!F118</f>
        <v>8751</v>
      </c>
      <c r="G4" s="1044">
        <f ca="1">结果表!G118</f>
        <v>4744</v>
      </c>
      <c r="H4" s="1044">
        <f ca="1">结果表!H118</f>
        <v>10152</v>
      </c>
      <c r="I4" s="1044">
        <f ca="1">结果表!I118</f>
        <v>5504</v>
      </c>
    </row>
    <row r="5" spans="1:9" ht="30" customHeight="1">
      <c r="A5" s="2972" t="s">
        <v>1636</v>
      </c>
      <c r="B5" s="2972"/>
      <c r="C5" s="2972"/>
      <c r="D5" s="2973" t="str">
        <f ca="1">结果表!D119</f>
        <v>壹仟肆佰零壹万元整</v>
      </c>
      <c r="E5" s="2973"/>
      <c r="F5" s="2973" t="str">
        <f ca="1">结果表!F119</f>
        <v>捌仟柒佰伍拾壹万元整</v>
      </c>
      <c r="G5" s="2973"/>
      <c r="H5" s="2973" t="str">
        <f ca="1">结果表!H119</f>
        <v>壹亿零壹佰伍拾贰万元整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1636</v>
      </c>
      <c r="B7" s="2972"/>
      <c r="C7" s="2972"/>
      <c r="D7" s="2975" t="str">
        <f>结果表!D121</f>
        <v>零元整</v>
      </c>
      <c r="E7" s="2976"/>
      <c r="F7" s="2976"/>
      <c r="G7" s="2976"/>
      <c r="H7" s="2976"/>
      <c r="I7" s="2977"/>
    </row>
    <row r="8" spans="1:9" ht="15.75">
      <c r="A8" s="2974" t="str">
        <f>结果表!A122</f>
        <v>房地产抵押价值</v>
      </c>
      <c r="B8" s="2974"/>
      <c r="C8" s="2974"/>
      <c r="D8" s="2974">
        <f ca="1">结果表!D122</f>
        <v>10152</v>
      </c>
      <c r="E8" s="2974"/>
      <c r="F8" s="2974"/>
      <c r="G8" s="2974"/>
      <c r="H8" s="2974"/>
      <c r="I8" s="2974"/>
    </row>
    <row r="9" spans="1:9" ht="15">
      <c r="A9" s="2972" t="s">
        <v>1636</v>
      </c>
      <c r="B9" s="2972"/>
      <c r="C9" s="2972"/>
      <c r="D9" s="2973" t="str">
        <f ca="1">结果表!D123</f>
        <v>壹亿零壹佰伍拾贰万元整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1636</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1" t="s">
        <v>1658</v>
      </c>
      <c r="B1" s="2981"/>
      <c r="C1" s="2981"/>
      <c r="D1" s="2981"/>
    </row>
    <row r="2" spans="1:4" ht="18">
      <c r="A2" s="2982" t="s">
        <v>1642</v>
      </c>
      <c r="B2" s="2982"/>
      <c r="C2" s="2982"/>
      <c r="D2" s="2982"/>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2" t="s">
        <v>1648</v>
      </c>
      <c r="B6" s="2982"/>
      <c r="C6" s="2982"/>
      <c r="D6" s="298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3"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（1）根据估价对象《房屋所有权证》复印件、，截至价值时点，估价对象抵押权未见登记。</v>
      </c>
      <c r="B15" s="2984"/>
      <c r="C15" s="2984"/>
      <c r="D15" s="2984"/>
    </row>
    <row r="16" spans="1:4" ht="30" customHeight="1">
      <c r="A16" s="2987" t="s">
        <v>1652</v>
      </c>
      <c r="B16" s="2987"/>
      <c r="C16" s="2987"/>
      <c r="D16" s="2987"/>
    </row>
    <row r="17" spans="1:4" ht="144" customHeight="1">
      <c r="A17" s="2987" t="s">
        <v>1653</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5" t="s">
        <v>1665</v>
      </c>
      <c r="B15" s="2990" t="s">
        <v>136</v>
      </c>
      <c r="C15" s="2991"/>
    </row>
    <row r="16" spans="1:7" ht="13.5">
      <c r="A16" s="2996"/>
      <c r="B16" s="2990" t="s">
        <v>69</v>
      </c>
      <c r="C16" s="2991"/>
    </row>
    <row r="17" spans="1:3" ht="13.5">
      <c r="A17" s="2996"/>
      <c r="B17" s="2993" t="s">
        <v>1666</v>
      </c>
      <c r="C17" s="2000" t="s">
        <v>1665</v>
      </c>
    </row>
    <row r="18" spans="1:3" ht="13.5">
      <c r="A18" s="2996"/>
      <c r="B18" s="2993"/>
      <c r="C18" s="2000" t="s">
        <v>1667</v>
      </c>
    </row>
    <row r="19" spans="1:3" ht="13.5">
      <c r="A19" s="2996"/>
      <c r="B19" s="2993"/>
      <c r="C19" s="2000" t="s">
        <v>1668</v>
      </c>
    </row>
    <row r="20" spans="1:3" ht="13.5">
      <c r="A20" s="2997"/>
      <c r="B20" s="2992" t="s">
        <v>1669</v>
      </c>
      <c r="C20" s="2991"/>
    </row>
    <row r="21" spans="1:3" ht="13.5">
      <c r="A21" s="2001" t="s">
        <v>1670</v>
      </c>
      <c r="B21" s="2002"/>
      <c r="C21" s="2003"/>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0" t="s">
        <v>1676</v>
      </c>
    </row>
    <row r="26" spans="1:3" ht="13.5">
      <c r="A26" s="2994"/>
      <c r="B26" s="2993"/>
      <c r="C26" s="2000" t="s">
        <v>1677</v>
      </c>
    </row>
    <row r="27" spans="1:3" ht="13.5">
      <c r="A27" s="2994"/>
      <c r="B27" s="2993"/>
      <c r="C27" s="2000" t="s">
        <v>1678</v>
      </c>
    </row>
    <row r="28" spans="1:3" ht="13.5">
      <c r="A28" s="2994"/>
      <c r="B28" s="2993"/>
      <c r="C28" s="2000" t="s">
        <v>1679</v>
      </c>
    </row>
    <row r="29" spans="1:3" ht="13.5">
      <c r="A29" s="2994"/>
      <c r="B29" s="2993"/>
      <c r="C29" s="2000" t="s">
        <v>1680</v>
      </c>
    </row>
    <row r="30" spans="1:3" ht="13.5">
      <c r="A30" s="2994"/>
      <c r="B30" s="2993"/>
      <c r="C30" s="2000" t="s">
        <v>1681</v>
      </c>
    </row>
    <row r="31" spans="1:3" ht="13.5">
      <c r="A31" s="2994"/>
      <c r="B31" s="2993"/>
      <c r="C31" s="2000" t="s">
        <v>1682</v>
      </c>
    </row>
    <row r="32" spans="1:3" ht="13.5">
      <c r="A32" s="2994"/>
      <c r="B32" s="2993"/>
      <c r="C32" s="2000" t="s">
        <v>1683</v>
      </c>
    </row>
    <row r="33" spans="1:3" ht="13.5">
      <c r="A33" s="2994"/>
      <c r="B33" s="299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3030</v>
      </c>
      <c r="B14" s="1022">
        <f ca="1">IF(C14&lt;B2,"已过期",1120040230)</f>
        <v>1120040230</v>
      </c>
      <c r="C14" s="2344">
        <v>43835</v>
      </c>
      <c r="D14" s="2347" t="s">
        <v>3030</v>
      </c>
      <c r="E14" s="1022">
        <f ca="1">IF(F14&lt;B2,"已过期",98030020)</f>
        <v>98030020</v>
      </c>
      <c r="F14" s="1030">
        <v>47118</v>
      </c>
    </row>
    <row r="15" spans="1:6" ht="24" customHeight="1">
      <c r="A15" s="1703" t="s">
        <v>3031</v>
      </c>
      <c r="B15" s="1022">
        <f ca="1">IF(C15&lt;B2,"已过期",1120070085)</f>
        <v>1120070085</v>
      </c>
      <c r="C15" s="2344">
        <v>43814</v>
      </c>
      <c r="D15" s="2348" t="s">
        <v>3031</v>
      </c>
      <c r="E15" s="1022">
        <f ca="1">IF(F15&lt;B2,"已过期",2004110128)</f>
        <v>2004110128</v>
      </c>
      <c r="F15" s="1023">
        <v>47118</v>
      </c>
    </row>
    <row r="16" spans="1:6" ht="24" customHeight="1">
      <c r="A16" s="1702" t="s">
        <v>3032</v>
      </c>
      <c r="B16" s="1022">
        <f ca="1">IF(C16&lt;B2,"已过期",1120140022)</f>
        <v>1120140022</v>
      </c>
      <c r="C16" s="2927">
        <v>44029</v>
      </c>
      <c r="D16" s="2347" t="s">
        <v>3032</v>
      </c>
      <c r="E16" s="1022">
        <f ca="1">IF(F16&lt;B2,"已过期",2008110059)</f>
        <v>2008110059</v>
      </c>
      <c r="F16" s="1030">
        <v>47177</v>
      </c>
    </row>
    <row r="17" spans="1:7" ht="24" customHeight="1">
      <c r="A17" s="1702"/>
      <c r="B17" s="1022"/>
      <c r="C17" s="2344"/>
      <c r="D17" s="2347" t="s">
        <v>3033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2019-05-08T07:07:14Z</dcterms:modified>
</cp:coreProperties>
</file>