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21840" windowHeight="13740" tabRatio="721" activeTab="2"/>
  </bookViews>
  <sheets>
    <sheet name="待确认" sheetId="16" r:id="rId1"/>
    <sheet name="面积" sheetId="15" r:id="rId2"/>
    <sheet name="汇总表" sheetId="1" r:id="rId3"/>
    <sheet name="1员工工资" sheetId="2" r:id="rId4"/>
    <sheet name="2工程人员工资" sheetId="3" r:id="rId5"/>
    <sheet name="2-1设施设备维修" sheetId="4" r:id="rId6"/>
    <sheet name="2-2设施设备运行1" sheetId="5" r:id="rId7"/>
    <sheet name="2-3设施设备运行2" sheetId="6" r:id="rId8"/>
    <sheet name="3清洁卫生" sheetId="7" r:id="rId9"/>
    <sheet name="3-1环境人员工资" sheetId="8" r:id="rId10"/>
    <sheet name="4绿化养护" sheetId="9" r:id="rId11"/>
    <sheet name="5秩序维护人员工资 " sheetId="10" r:id="rId12"/>
    <sheet name="5-1秩序维护费用" sheetId="11" r:id="rId13"/>
    <sheet name="6办公费" sheetId="12" r:id="rId14"/>
    <sheet name="7固定资产折旧" sheetId="13" r:id="rId15"/>
    <sheet name="8公众责任保险费用" sheetId="14" r:id="rId16"/>
    <sheet name="Sheet1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D34" i="1" s="1"/>
  <c r="J4" i="5"/>
  <c r="H22" i="1"/>
  <c r="D22" i="1" l="1"/>
  <c r="I9" i="5"/>
  <c r="J9" i="5" s="1"/>
  <c r="I5" i="5"/>
  <c r="J5" i="5" s="1"/>
  <c r="E5" i="5"/>
  <c r="E6" i="5"/>
  <c r="I6" i="5" s="1"/>
  <c r="J6" i="5" s="1"/>
  <c r="E7" i="5"/>
  <c r="I7" i="5" s="1"/>
  <c r="J7" i="5" s="1"/>
  <c r="E8" i="5"/>
  <c r="I8" i="5" s="1"/>
  <c r="J8" i="5" s="1"/>
  <c r="E4" i="5"/>
  <c r="I4" i="5" s="1"/>
  <c r="I10" i="5"/>
  <c r="J10" i="5" s="1"/>
  <c r="E10" i="5"/>
  <c r="E5" i="6"/>
  <c r="I5" i="6" s="1"/>
  <c r="J5" i="6" s="1"/>
  <c r="E6" i="6"/>
  <c r="I6" i="6" s="1"/>
  <c r="J6" i="6" s="1"/>
  <c r="E4" i="6"/>
  <c r="I4" i="6" s="1"/>
  <c r="I15" i="6" s="1"/>
  <c r="I16" i="6" s="1"/>
  <c r="G32" i="4"/>
  <c r="J4" i="6" l="1"/>
  <c r="D30" i="4"/>
  <c r="E30" i="4" s="1"/>
  <c r="E4" i="2"/>
  <c r="D31" i="4" l="1"/>
  <c r="D32" i="4" s="1"/>
  <c r="G5" i="10"/>
  <c r="E5" i="10"/>
  <c r="F5" i="10" s="1"/>
  <c r="H5" i="10" s="1"/>
  <c r="E6" i="10"/>
  <c r="F6" i="10" s="1"/>
  <c r="G6" i="10"/>
  <c r="C7" i="10"/>
  <c r="C13" i="2"/>
  <c r="E4" i="12"/>
  <c r="E9" i="12"/>
  <c r="E8" i="2"/>
  <c r="F8" i="2" s="1"/>
  <c r="H8" i="2" s="1"/>
  <c r="G8" i="2"/>
  <c r="E4" i="3"/>
  <c r="F4" i="3" s="1"/>
  <c r="G4" i="3"/>
  <c r="F22" i="4"/>
  <c r="C5" i="3"/>
  <c r="G4" i="10"/>
  <c r="G3" i="10"/>
  <c r="E4" i="10"/>
  <c r="F4" i="10" s="1"/>
  <c r="F13" i="10"/>
  <c r="G4" i="8"/>
  <c r="G3" i="8"/>
  <c r="G3" i="3"/>
  <c r="G5" i="2"/>
  <c r="F13" i="3"/>
  <c r="I25" i="15"/>
  <c r="I27" i="15"/>
  <c r="I34" i="15"/>
  <c r="I40" i="15" s="1"/>
  <c r="I48" i="15" s="1"/>
  <c r="I22" i="15"/>
  <c r="H47" i="15"/>
  <c r="H48" i="15" s="1"/>
  <c r="H40" i="15"/>
  <c r="H22" i="15"/>
  <c r="F42" i="15"/>
  <c r="F47" i="15" s="1"/>
  <c r="F48" i="15" s="1"/>
  <c r="G42" i="15"/>
  <c r="F43" i="15"/>
  <c r="G43" i="15" s="1"/>
  <c r="F44" i="15"/>
  <c r="G44" i="15" s="1"/>
  <c r="F45" i="15"/>
  <c r="G45" i="15" s="1"/>
  <c r="F25" i="15"/>
  <c r="F40" i="15" s="1"/>
  <c r="G25" i="15"/>
  <c r="F26" i="15"/>
  <c r="G26" i="15"/>
  <c r="G27" i="15"/>
  <c r="F28" i="15"/>
  <c r="G28" i="15" s="1"/>
  <c r="F29" i="15"/>
  <c r="G29" i="15" s="1"/>
  <c r="F30" i="15"/>
  <c r="G30" i="15" s="1"/>
  <c r="F31" i="15"/>
  <c r="G31" i="15"/>
  <c r="F33" i="15"/>
  <c r="G33" i="15" s="1"/>
  <c r="G34" i="15"/>
  <c r="G35" i="15"/>
  <c r="G5" i="15"/>
  <c r="F6" i="15"/>
  <c r="G6" i="15" s="1"/>
  <c r="F7" i="15"/>
  <c r="G7" i="15" s="1"/>
  <c r="G8" i="15"/>
  <c r="G9" i="15"/>
  <c r="F11" i="15"/>
  <c r="F22" i="15" s="1"/>
  <c r="G12" i="15"/>
  <c r="G14" i="15"/>
  <c r="F15" i="15"/>
  <c r="G15" i="15" s="1"/>
  <c r="G16" i="15"/>
  <c r="E47" i="15"/>
  <c r="E48" i="15" s="1"/>
  <c r="E40" i="15"/>
  <c r="E22" i="15"/>
  <c r="D42" i="15"/>
  <c r="D47" i="15" s="1"/>
  <c r="D43" i="15"/>
  <c r="D44" i="15"/>
  <c r="D45" i="15"/>
  <c r="D46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40" i="15" s="1"/>
  <c r="D36" i="15"/>
  <c r="D37" i="15"/>
  <c r="D38" i="15"/>
  <c r="D39" i="15"/>
  <c r="D5" i="15"/>
  <c r="D6" i="15"/>
  <c r="D22" i="15" s="1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F20" i="2"/>
  <c r="D9" i="2"/>
  <c r="G9" i="2" s="1"/>
  <c r="D6" i="2"/>
  <c r="G6" i="2" s="1"/>
  <c r="F11" i="8"/>
  <c r="C5" i="8"/>
  <c r="E3" i="8"/>
  <c r="F3" i="8" s="1"/>
  <c r="H3" i="8" s="1"/>
  <c r="E4" i="8"/>
  <c r="F4" i="8" s="1"/>
  <c r="H4" i="8" s="1"/>
  <c r="D7" i="12"/>
  <c r="D6" i="12"/>
  <c r="F4" i="2"/>
  <c r="E3" i="10"/>
  <c r="F3" i="10" s="1"/>
  <c r="H3" i="10" s="1"/>
  <c r="E5" i="2"/>
  <c r="F5" i="2" s="1"/>
  <c r="H5" i="2" s="1"/>
  <c r="E6" i="2"/>
  <c r="F6" i="2"/>
  <c r="E3" i="3"/>
  <c r="F3" i="3" s="1"/>
  <c r="J7" i="6"/>
  <c r="C4" i="13"/>
  <c r="D7" i="11"/>
  <c r="D6" i="11"/>
  <c r="D4" i="11"/>
  <c r="D3" i="11"/>
  <c r="D11" i="1"/>
  <c r="E4" i="7"/>
  <c r="E5" i="7"/>
  <c r="E3" i="7"/>
  <c r="E6" i="7" s="1"/>
  <c r="I14" i="5"/>
  <c r="J17" i="5"/>
  <c r="J16" i="5"/>
  <c r="F21" i="4"/>
  <c r="F20" i="4"/>
  <c r="F15" i="4"/>
  <c r="F18" i="4"/>
  <c r="F12" i="4"/>
  <c r="F13" i="4"/>
  <c r="F14" i="4"/>
  <c r="F16" i="4"/>
  <c r="F17" i="4"/>
  <c r="F11" i="4"/>
  <c r="F10" i="4"/>
  <c r="F8" i="4"/>
  <c r="F9" i="4"/>
  <c r="F3" i="2"/>
  <c r="G3" i="2" s="1"/>
  <c r="E7" i="2"/>
  <c r="F7" i="2" s="1"/>
  <c r="E10" i="2"/>
  <c r="F10" i="2" s="1"/>
  <c r="E11" i="2"/>
  <c r="F11" i="2" s="1"/>
  <c r="E12" i="2"/>
  <c r="F12" i="2" s="1"/>
  <c r="E3" i="2"/>
  <c r="F6" i="4"/>
  <c r="F7" i="4"/>
  <c r="F5" i="4"/>
  <c r="J14" i="5"/>
  <c r="J18" i="5" s="1"/>
  <c r="H3" i="3" l="1"/>
  <c r="B5" i="12"/>
  <c r="B6" i="12" s="1"/>
  <c r="H4" i="3"/>
  <c r="D8" i="11"/>
  <c r="H6" i="10"/>
  <c r="H4" i="10"/>
  <c r="H5" i="8"/>
  <c r="D7" i="1" s="1"/>
  <c r="F23" i="4"/>
  <c r="H5" i="3"/>
  <c r="G11" i="2"/>
  <c r="H11" i="2" s="1"/>
  <c r="H6" i="2"/>
  <c r="H3" i="2"/>
  <c r="G12" i="2"/>
  <c r="H12" i="2" s="1"/>
  <c r="G47" i="15"/>
  <c r="G10" i="2"/>
  <c r="H10" i="2" s="1"/>
  <c r="G7" i="2"/>
  <c r="H7" i="2" s="1"/>
  <c r="H7" i="10"/>
  <c r="D9" i="1" s="1"/>
  <c r="D48" i="15"/>
  <c r="G4" i="2"/>
  <c r="H4" i="2"/>
  <c r="G40" i="15"/>
  <c r="D16" i="1"/>
  <c r="B28" i="1" s="1"/>
  <c r="D17" i="1"/>
  <c r="B4" i="9" s="1"/>
  <c r="E9" i="2"/>
  <c r="F9" i="2" s="1"/>
  <c r="H9" i="2" s="1"/>
  <c r="G11" i="15"/>
  <c r="G22" i="15" s="1"/>
  <c r="B7" i="12" l="1"/>
  <c r="E7" i="12" s="1"/>
  <c r="H14" i="1"/>
  <c r="D6" i="1"/>
  <c r="E5" i="12"/>
  <c r="B8" i="12"/>
  <c r="E8" i="12" s="1"/>
  <c r="E6" i="12"/>
  <c r="H13" i="2"/>
  <c r="D5" i="1" s="1"/>
  <c r="C3" i="14"/>
  <c r="C4" i="14" s="1"/>
  <c r="D12" i="1" s="1"/>
  <c r="D4" i="9"/>
  <c r="B31" i="1"/>
  <c r="B32" i="1" s="1"/>
  <c r="D15" i="1"/>
  <c r="G48" i="15"/>
  <c r="D14" i="1"/>
  <c r="H29" i="1" s="1"/>
  <c r="E10" i="12" l="1"/>
  <c r="D10" i="1" s="1"/>
  <c r="D9" i="9"/>
  <c r="D8" i="1" s="1"/>
  <c r="A9" i="9"/>
  <c r="D13" i="1" l="1"/>
  <c r="H13" i="1" l="1"/>
  <c r="H16" i="1" s="1"/>
  <c r="H30" i="1"/>
  <c r="H19" i="1"/>
  <c r="H20" i="1" s="1"/>
  <c r="B27" i="1"/>
  <c r="B29" i="1" s="1"/>
</calcChain>
</file>

<file path=xl/sharedStrings.xml><?xml version="1.0" encoding="utf-8"?>
<sst xmlns="http://schemas.openxmlformats.org/spreadsheetml/2006/main" count="445" uniqueCount="301">
  <si>
    <t>(kw)</t>
  </si>
  <si>
    <t>——</t>
    <phoneticPr fontId="5" type="noConversion"/>
  </si>
  <si>
    <t>0.5%-2%</t>
    <phoneticPr fontId="5" type="noConversion"/>
  </si>
  <si>
    <t>天通苑B、G、I区拟接收楼栋情况明细表</t>
  </si>
  <si>
    <t>所在区域</t>
  </si>
  <si>
    <t>楼号</t>
  </si>
  <si>
    <t>规划层数
（地上/地下）</t>
  </si>
  <si>
    <t>实测数据</t>
  </si>
  <si>
    <t>超高层层次</t>
  </si>
  <si>
    <t>面积</t>
  </si>
  <si>
    <t>地上面积</t>
  </si>
  <si>
    <t>地下面积</t>
  </si>
  <si>
    <t>总数</t>
  </si>
  <si>
    <t>层高4.8m及以上</t>
  </si>
  <si>
    <t>层高4.8m以下</t>
  </si>
  <si>
    <t>其中层高4.8米以上</t>
  </si>
  <si>
    <t>B区
天通中苑二区
（12栋、5个地库）</t>
  </si>
  <si>
    <t>1#楼（B-5)</t>
  </si>
  <si>
    <t>17层（15/-2）</t>
  </si>
  <si>
    <t>2#楼（B-3)</t>
  </si>
  <si>
    <t>15层（13/-2）</t>
  </si>
  <si>
    <t>11、12</t>
  </si>
  <si>
    <t>3#楼（B-1)</t>
  </si>
  <si>
    <t>5#楼（B-2)</t>
  </si>
  <si>
    <t>14层（12/-2）</t>
  </si>
  <si>
    <t>6#楼（B-4)</t>
  </si>
  <si>
    <t>7#楼（B-2a)</t>
  </si>
  <si>
    <t>4层（3/-1）</t>
  </si>
  <si>
    <t>8#楼（B-6)</t>
  </si>
  <si>
    <t>9、10</t>
  </si>
  <si>
    <t>9#楼（B-9)</t>
  </si>
  <si>
    <t>18层（16/-2）</t>
  </si>
  <si>
    <t>10#楼（B-4a)</t>
  </si>
  <si>
    <t>11#楼（B-10)</t>
  </si>
  <si>
    <t>12#楼（B-7)</t>
  </si>
  <si>
    <t>10、11</t>
  </si>
  <si>
    <t>14#楼（B-8)</t>
  </si>
  <si>
    <t>1#地下车库</t>
  </si>
  <si>
    <t>1层（0/-1）</t>
  </si>
  <si>
    <t>2#地下车库</t>
  </si>
  <si>
    <t>3#地下车库</t>
  </si>
  <si>
    <t>J-B1#车库</t>
  </si>
  <si>
    <t>J-B2#车库</t>
  </si>
  <si>
    <t>B区合计</t>
  </si>
  <si>
    <t>G区
天通中苑二区
（12栋、4个地库）</t>
  </si>
  <si>
    <t>19#楼（G4A)</t>
  </si>
  <si>
    <t>20#楼（G5)</t>
  </si>
  <si>
    <t>12层（10/-2）</t>
  </si>
  <si>
    <t>7、8</t>
  </si>
  <si>
    <t>21#楼（G2)</t>
  </si>
  <si>
    <t>25层（23/-2）</t>
  </si>
  <si>
    <t>21、22</t>
  </si>
  <si>
    <t>24#楼（G6)</t>
  </si>
  <si>
    <t>13层（11/-2）</t>
  </si>
  <si>
    <t>25#楼（G8)</t>
  </si>
  <si>
    <t>26层（24/-2）</t>
  </si>
  <si>
    <t>18、19</t>
  </si>
  <si>
    <t>26#楼（G8)</t>
  </si>
  <si>
    <t>27#楼（G8)</t>
  </si>
  <si>
    <t>28#楼（G10)</t>
  </si>
  <si>
    <t>11层（9/-2）</t>
  </si>
  <si>
    <t>29#楼（G6A)</t>
  </si>
  <si>
    <t>30#楼（G11)</t>
  </si>
  <si>
    <t>8、9</t>
  </si>
  <si>
    <t>31#楼（G9)</t>
  </si>
  <si>
    <t>32#楼（G7)</t>
  </si>
  <si>
    <t>4#车库</t>
  </si>
  <si>
    <t>5#车库</t>
  </si>
  <si>
    <t>2层（0/-2）</t>
  </si>
  <si>
    <t>J-G1#车库</t>
  </si>
  <si>
    <t>J-G2#车库</t>
  </si>
  <si>
    <t>G区合计</t>
  </si>
  <si>
    <t>I区
天通中苑一区
（4栋）</t>
  </si>
  <si>
    <t>66#楼（I4)</t>
  </si>
  <si>
    <t>7层（5/-2）</t>
  </si>
  <si>
    <t>3、4</t>
  </si>
  <si>
    <t>73#楼（I5)</t>
  </si>
  <si>
    <t>74#楼（I6)</t>
  </si>
  <si>
    <t>77#楼（I7)</t>
  </si>
  <si>
    <t>I8地下车库</t>
  </si>
  <si>
    <t>I区合计</t>
  </si>
  <si>
    <t>总计</t>
  </si>
  <si>
    <t>单位：平方米</t>
  </si>
  <si>
    <t>待确认事项</t>
    <phoneticPr fontId="5" type="noConversion"/>
  </si>
  <si>
    <t>实测面积中B10和B8首层商业面积</t>
    <phoneticPr fontId="5" type="noConversion"/>
  </si>
  <si>
    <t>地下商业用房物业费是否与地上一致，是否计入</t>
    <phoneticPr fontId="5" type="noConversion"/>
  </si>
  <si>
    <r>
      <rPr>
        <sz val="12"/>
        <color rgb="FF000000"/>
        <rFont val="宋体"/>
        <family val="3"/>
        <charset val="134"/>
      </rPr>
      <t>项目</t>
    </r>
  </si>
  <si>
    <r>
      <rPr>
        <sz val="12"/>
        <color rgb="FF000000"/>
        <rFont val="宋体"/>
        <family val="3"/>
        <charset val="134"/>
      </rPr>
      <t>数量</t>
    </r>
  </si>
  <si>
    <r>
      <rPr>
        <sz val="12"/>
        <color rgb="FF000000"/>
        <rFont val="宋体"/>
        <family val="3"/>
        <charset val="134"/>
      </rPr>
      <t>功率</t>
    </r>
  </si>
  <si>
    <r>
      <rPr>
        <sz val="12"/>
        <color rgb="FF000000"/>
        <rFont val="宋体"/>
        <family val="3"/>
        <charset val="134"/>
      </rPr>
      <t>合计功率</t>
    </r>
  </si>
  <si>
    <r>
      <rPr>
        <sz val="12"/>
        <color rgb="FF000000"/>
        <rFont val="宋体"/>
        <family val="3"/>
        <charset val="134"/>
      </rPr>
      <t>运行</t>
    </r>
  </si>
  <si>
    <r>
      <rPr>
        <sz val="12"/>
        <color rgb="FF000000"/>
        <rFont val="宋体"/>
        <family val="3"/>
        <charset val="134"/>
      </rPr>
      <t>电费标准</t>
    </r>
  </si>
  <si>
    <r>
      <rPr>
        <sz val="12"/>
        <color rgb="FF000000"/>
        <rFont val="宋体"/>
        <family val="3"/>
        <charset val="134"/>
      </rPr>
      <t>全年用电</t>
    </r>
  </si>
  <si>
    <r>
      <rPr>
        <sz val="12"/>
        <color rgb="FF000000"/>
        <rFont val="宋体"/>
        <family val="3"/>
        <charset val="134"/>
      </rPr>
      <t>年费用</t>
    </r>
  </si>
  <si>
    <r>
      <rPr>
        <sz val="12"/>
        <color rgb="FF000000"/>
        <rFont val="宋体"/>
        <family val="3"/>
        <charset val="134"/>
      </rPr>
      <t>时间</t>
    </r>
  </si>
  <si>
    <r>
      <rPr>
        <sz val="12"/>
        <color rgb="FF000000"/>
        <rFont val="宋体"/>
        <family val="3"/>
        <charset val="134"/>
      </rPr>
      <t>系数</t>
    </r>
  </si>
  <si>
    <r>
      <rPr>
        <sz val="12"/>
        <color rgb="FF000000"/>
        <rFont val="宋体"/>
        <family val="3"/>
        <charset val="134"/>
      </rPr>
      <t>（度）</t>
    </r>
  </si>
  <si>
    <r>
      <rPr>
        <sz val="12"/>
        <color rgb="FF000000"/>
        <rFont val="宋体"/>
        <family val="3"/>
        <charset val="134"/>
      </rPr>
      <t>给排水系统</t>
    </r>
  </si>
  <si>
    <r>
      <rPr>
        <sz val="12"/>
        <color rgb="FF000000"/>
        <rFont val="宋体"/>
        <family val="3"/>
        <charset val="134"/>
      </rPr>
      <t>生活水泵</t>
    </r>
  </si>
  <si>
    <r>
      <rPr>
        <sz val="12"/>
        <color rgb="FF000000"/>
        <rFont val="宋体"/>
        <family val="3"/>
        <charset val="134"/>
      </rPr>
      <t>中水泵</t>
    </r>
  </si>
  <si>
    <r>
      <rPr>
        <sz val="12"/>
        <color rgb="FF000000"/>
        <rFont val="宋体"/>
        <family val="3"/>
        <charset val="134"/>
      </rPr>
      <t>雨、污水泵</t>
    </r>
  </si>
  <si>
    <r>
      <rPr>
        <b/>
        <sz val="12"/>
        <color rgb="FF000000"/>
        <rFont val="宋体"/>
        <family val="3"/>
        <charset val="134"/>
      </rPr>
      <t>合计</t>
    </r>
  </si>
  <si>
    <r>
      <t xml:space="preserve">2.3  </t>
    </r>
    <r>
      <rPr>
        <b/>
        <sz val="14"/>
        <color rgb="FF000000"/>
        <rFont val="宋体"/>
        <family val="3"/>
        <charset val="134"/>
      </rPr>
      <t>物业共用部位、共用设施设备运行费用</t>
    </r>
    <phoneticPr fontId="5" type="noConversion"/>
  </si>
  <si>
    <r>
      <rPr>
        <sz val="12"/>
        <color rgb="FF000000"/>
        <rFont val="宋体"/>
        <family val="3"/>
        <charset val="134"/>
      </rPr>
      <t>（元</t>
    </r>
    <r>
      <rPr>
        <sz val="12"/>
        <color rgb="FF000000"/>
        <rFont val="Arial"/>
        <family val="2"/>
      </rPr>
      <t>/</t>
    </r>
    <r>
      <rPr>
        <sz val="12"/>
        <color rgb="FF000000"/>
        <rFont val="宋体"/>
        <family val="3"/>
        <charset val="134"/>
      </rPr>
      <t>度）</t>
    </r>
  </si>
  <si>
    <r>
      <rPr>
        <sz val="12"/>
        <color rgb="FF000000"/>
        <rFont val="宋体"/>
        <family val="3"/>
        <charset val="134"/>
      </rPr>
      <t>（元</t>
    </r>
    <r>
      <rPr>
        <sz val="12"/>
        <color rgb="FF000000"/>
        <rFont val="Arial"/>
        <family val="2"/>
      </rPr>
      <t>/</t>
    </r>
    <r>
      <rPr>
        <sz val="12"/>
        <color rgb="FF000000"/>
        <rFont val="宋体"/>
        <family val="3"/>
        <charset val="134"/>
      </rPr>
      <t>年）</t>
    </r>
  </si>
  <si>
    <r>
      <rPr>
        <b/>
        <sz val="12"/>
        <color rgb="FF000000"/>
        <rFont val="宋体"/>
        <family val="3"/>
        <charset val="134"/>
      </rPr>
      <t>序号</t>
    </r>
  </si>
  <si>
    <r>
      <rPr>
        <b/>
        <sz val="12"/>
        <color rgb="FF000000"/>
        <rFont val="宋体"/>
        <family val="3"/>
        <charset val="134"/>
      </rPr>
      <t>服务内容</t>
    </r>
  </si>
  <si>
    <r>
      <rPr>
        <b/>
        <sz val="12"/>
        <color rgb="FF000000"/>
        <rFont val="宋体"/>
        <family val="3"/>
        <charset val="134"/>
      </rPr>
      <t>全年费用</t>
    </r>
  </si>
  <si>
    <r>
      <rPr>
        <b/>
        <sz val="12"/>
        <color rgb="FF000000"/>
        <rFont val="宋体"/>
        <family val="3"/>
        <charset val="134"/>
      </rPr>
      <t>备注</t>
    </r>
  </si>
  <si>
    <r>
      <rPr>
        <b/>
        <sz val="12"/>
        <color rgb="FF000000"/>
        <rFont val="宋体"/>
        <family val="3"/>
        <charset val="134"/>
      </rPr>
      <t>（元</t>
    </r>
    <r>
      <rPr>
        <b/>
        <sz val="12"/>
        <color rgb="FF000000"/>
        <rFont val="Arial"/>
        <family val="2"/>
      </rPr>
      <t>/</t>
    </r>
    <r>
      <rPr>
        <b/>
        <sz val="12"/>
        <color rgb="FF000000"/>
        <rFont val="宋体"/>
        <family val="3"/>
        <charset val="134"/>
      </rPr>
      <t>年）</t>
    </r>
  </si>
  <si>
    <r>
      <rPr>
        <sz val="12"/>
        <color rgb="FF000000"/>
        <rFont val="宋体"/>
        <family val="3"/>
        <charset val="134"/>
      </rPr>
      <t>员工工资明细表</t>
    </r>
  </si>
  <si>
    <r>
      <rPr>
        <sz val="12"/>
        <color rgb="FF000000"/>
        <rFont val="宋体"/>
        <family val="3"/>
        <charset val="134"/>
      </rPr>
      <t>管理服务人员工资、社会保险等</t>
    </r>
  </si>
  <si>
    <r>
      <rPr>
        <sz val="12"/>
        <color rgb="FF000000"/>
        <rFont val="宋体"/>
        <family val="3"/>
        <charset val="134"/>
      </rPr>
      <t>详见附表</t>
    </r>
    <r>
      <rPr>
        <sz val="12"/>
        <color rgb="FF000000"/>
        <rFont val="Arial"/>
        <family val="2"/>
      </rPr>
      <t>1</t>
    </r>
  </si>
  <si>
    <r>
      <rPr>
        <sz val="12"/>
        <color rgb="FF000000"/>
        <rFont val="宋体"/>
        <family val="3"/>
        <charset val="134"/>
      </rPr>
      <t>物业公用部位、共用设施设备的日常运行、维护费用</t>
    </r>
  </si>
  <si>
    <r>
      <rPr>
        <sz val="12"/>
        <color rgb="FF000000"/>
        <rFont val="宋体"/>
        <family val="3"/>
        <charset val="134"/>
      </rPr>
      <t>详见附表</t>
    </r>
    <r>
      <rPr>
        <sz val="12"/>
        <color rgb="FF000000"/>
        <rFont val="Arial"/>
        <family val="2"/>
      </rPr>
      <t>2</t>
    </r>
  </si>
  <si>
    <r>
      <rPr>
        <sz val="12"/>
        <color rgb="FF000000"/>
        <rFont val="宋体"/>
        <family val="3"/>
        <charset val="134"/>
      </rPr>
      <t>物业管理区域清洁卫生费用</t>
    </r>
  </si>
  <si>
    <r>
      <rPr>
        <sz val="12"/>
        <color rgb="FF000000"/>
        <rFont val="宋体"/>
        <family val="3"/>
        <charset val="134"/>
      </rPr>
      <t>详见附表</t>
    </r>
    <r>
      <rPr>
        <sz val="12"/>
        <color rgb="FF000000"/>
        <rFont val="Arial"/>
        <family val="2"/>
      </rPr>
      <t>3</t>
    </r>
  </si>
  <si>
    <r>
      <rPr>
        <sz val="12"/>
        <color rgb="FF000000"/>
        <rFont val="宋体"/>
        <family val="3"/>
        <charset val="134"/>
      </rPr>
      <t>物业管理区域绿化养护费用</t>
    </r>
  </si>
  <si>
    <r>
      <rPr>
        <sz val="12"/>
        <color rgb="FF000000"/>
        <rFont val="宋体"/>
        <family val="3"/>
        <charset val="134"/>
      </rPr>
      <t>详见附表</t>
    </r>
    <r>
      <rPr>
        <sz val="12"/>
        <color rgb="FF000000"/>
        <rFont val="Arial"/>
        <family val="2"/>
      </rPr>
      <t>4</t>
    </r>
  </si>
  <si>
    <r>
      <rPr>
        <sz val="12"/>
        <color rgb="FF000000"/>
        <rFont val="宋体"/>
        <family val="3"/>
        <charset val="134"/>
      </rPr>
      <t>物业管理区域秩序维护费用</t>
    </r>
  </si>
  <si>
    <r>
      <rPr>
        <sz val="12"/>
        <color rgb="FF000000"/>
        <rFont val="宋体"/>
        <family val="3"/>
        <charset val="134"/>
      </rPr>
      <t>详见附表</t>
    </r>
    <r>
      <rPr>
        <sz val="12"/>
        <color rgb="FF000000"/>
        <rFont val="Arial"/>
        <family val="2"/>
      </rPr>
      <t>5</t>
    </r>
  </si>
  <si>
    <r>
      <rPr>
        <sz val="12"/>
        <color rgb="FF000000"/>
        <rFont val="宋体"/>
        <family val="3"/>
        <charset val="134"/>
      </rPr>
      <t>物业办公费用及管理支出</t>
    </r>
  </si>
  <si>
    <r>
      <rPr>
        <sz val="12"/>
        <color rgb="FF000000"/>
        <rFont val="宋体"/>
        <family val="3"/>
        <charset val="134"/>
      </rPr>
      <t>详见附表</t>
    </r>
    <r>
      <rPr>
        <sz val="12"/>
        <color rgb="FF000000"/>
        <rFont val="Arial"/>
        <family val="2"/>
      </rPr>
      <t>6</t>
    </r>
  </si>
  <si>
    <r>
      <rPr>
        <sz val="12"/>
        <color rgb="FF000000"/>
        <rFont val="宋体"/>
        <family val="3"/>
        <charset val="134"/>
      </rPr>
      <t>物业服务企业固定资产折旧费</t>
    </r>
  </si>
  <si>
    <r>
      <rPr>
        <sz val="12"/>
        <color rgb="FF000000"/>
        <rFont val="宋体"/>
        <family val="3"/>
        <charset val="134"/>
      </rPr>
      <t>详见附表</t>
    </r>
    <r>
      <rPr>
        <sz val="12"/>
        <color rgb="FF000000"/>
        <rFont val="Arial"/>
        <family val="2"/>
      </rPr>
      <t>7</t>
    </r>
  </si>
  <si>
    <r>
      <rPr>
        <sz val="12"/>
        <color rgb="FF000000"/>
        <rFont val="宋体"/>
        <family val="3"/>
        <charset val="134"/>
      </rPr>
      <t>物业公用部位、公用设施设备及公众责任保险费用</t>
    </r>
  </si>
  <si>
    <r>
      <rPr>
        <sz val="12"/>
        <color rgb="FF000000"/>
        <rFont val="宋体"/>
        <family val="3"/>
        <charset val="134"/>
      </rPr>
      <t>详见附表</t>
    </r>
    <r>
      <rPr>
        <sz val="12"/>
        <color rgb="FF000000"/>
        <rFont val="Arial"/>
        <family val="2"/>
      </rPr>
      <t>8</t>
    </r>
  </si>
  <si>
    <r>
      <rPr>
        <b/>
        <sz val="12"/>
        <color rgb="FF000000"/>
        <rFont val="宋体"/>
        <family val="3"/>
        <charset val="134"/>
      </rPr>
      <t>小计</t>
    </r>
  </si>
  <si>
    <r>
      <rPr>
        <sz val="12"/>
        <color rgb="FF000000"/>
        <rFont val="宋体"/>
        <family val="3"/>
        <charset val="134"/>
      </rPr>
      <t>法定税金成本</t>
    </r>
  </si>
  <si>
    <r>
      <rPr>
        <sz val="12"/>
        <color rgb="FF000000"/>
        <rFont val="宋体"/>
        <family val="3"/>
        <charset val="134"/>
      </rPr>
      <t>预计利润</t>
    </r>
  </si>
  <si>
    <r>
      <rPr>
        <b/>
        <sz val="12"/>
        <color rgb="FF000000"/>
        <rFont val="宋体"/>
        <family val="3"/>
        <charset val="134"/>
      </rPr>
      <t>物业管理服务年费用合计（元）</t>
    </r>
  </si>
  <si>
    <r>
      <rPr>
        <b/>
        <sz val="12"/>
        <color rgb="FF000000"/>
        <rFont val="宋体"/>
        <family val="3"/>
        <charset val="134"/>
      </rPr>
      <t>物业费计费总建筑面积（㎡）</t>
    </r>
  </si>
  <si>
    <r>
      <rPr>
        <b/>
        <sz val="12"/>
        <color rgb="FF000000"/>
        <rFont val="宋体"/>
        <family val="3"/>
        <charset val="134"/>
      </rPr>
      <t>物业管理服务费用折合月平米标准</t>
    </r>
  </si>
  <si>
    <r>
      <rPr>
        <b/>
        <sz val="12"/>
        <color rgb="FF000000"/>
        <rFont val="宋体"/>
        <family val="3"/>
        <charset val="134"/>
      </rPr>
      <t>物业类型</t>
    </r>
  </si>
  <si>
    <r>
      <rPr>
        <b/>
        <sz val="12"/>
        <color rgb="FF000000"/>
        <rFont val="宋体"/>
        <family val="3"/>
        <charset val="134"/>
      </rPr>
      <t>收费面积</t>
    </r>
  </si>
  <si>
    <r>
      <rPr>
        <b/>
        <sz val="12"/>
        <color rgb="FF000000"/>
        <rFont val="宋体"/>
        <family val="3"/>
        <charset val="134"/>
      </rPr>
      <t>单价</t>
    </r>
  </si>
  <si>
    <r>
      <t>(</t>
    </r>
    <r>
      <rPr>
        <b/>
        <sz val="12"/>
        <color rgb="FF000000"/>
        <rFont val="宋体"/>
        <family val="3"/>
        <charset val="134"/>
      </rPr>
      <t>元</t>
    </r>
    <r>
      <rPr>
        <b/>
        <sz val="12"/>
        <color rgb="FF000000"/>
        <rFont val="Arial"/>
        <family val="2"/>
      </rPr>
      <t>/</t>
    </r>
    <r>
      <rPr>
        <b/>
        <sz val="12"/>
        <color rgb="FF000000"/>
        <rFont val="宋体"/>
        <family val="3"/>
        <charset val="134"/>
      </rPr>
      <t>㎡</t>
    </r>
    <r>
      <rPr>
        <b/>
        <sz val="12"/>
        <color rgb="FF000000"/>
        <rFont val="Arial"/>
        <family val="2"/>
      </rPr>
      <t>·</t>
    </r>
    <r>
      <rPr>
        <b/>
        <sz val="12"/>
        <color rgb="FF000000"/>
        <rFont val="宋体"/>
        <family val="3"/>
        <charset val="134"/>
      </rPr>
      <t>月</t>
    </r>
    <r>
      <rPr>
        <b/>
        <sz val="12"/>
        <color rgb="FF000000"/>
        <rFont val="Arial"/>
        <family val="2"/>
      </rPr>
      <t>)</t>
    </r>
  </si>
  <si>
    <r>
      <rPr>
        <b/>
        <sz val="12"/>
        <color rgb="FF000000"/>
        <rFont val="宋体"/>
        <family val="3"/>
        <charset val="134"/>
      </rPr>
      <t>说明：</t>
    </r>
    <r>
      <rPr>
        <b/>
        <sz val="12"/>
        <color rgb="FF000000"/>
        <rFont val="Arial"/>
        <family val="2"/>
      </rPr>
      <t>1</t>
    </r>
    <r>
      <rPr>
        <b/>
        <sz val="12"/>
        <color rgb="FF000000"/>
        <rFont val="宋体"/>
        <family val="3"/>
        <charset val="134"/>
      </rPr>
      <t>、本项目物业服务标准为北京市住宅物业三级服务标准</t>
    </r>
  </si>
  <si>
    <r>
      <t>2</t>
    </r>
    <r>
      <rPr>
        <b/>
        <sz val="12"/>
        <color rgb="FF000000"/>
        <rFont val="宋体"/>
        <family val="3"/>
        <charset val="134"/>
      </rPr>
      <t>、本测算收费面积以最终测算面积为准</t>
    </r>
  </si>
  <si>
    <r>
      <rPr>
        <sz val="11"/>
        <color rgb="FF000000"/>
        <rFont val="宋体"/>
        <family val="3"/>
        <charset val="134"/>
      </rPr>
      <t>总办</t>
    </r>
  </si>
  <si>
    <r>
      <rPr>
        <sz val="11"/>
        <color rgb="FF000000"/>
        <rFont val="宋体"/>
        <family val="3"/>
        <charset val="134"/>
      </rPr>
      <t>部门</t>
    </r>
  </si>
  <si>
    <r>
      <rPr>
        <sz val="11"/>
        <color rgb="FF000000"/>
        <rFont val="宋体"/>
        <family val="3"/>
        <charset val="134"/>
      </rPr>
      <t>岗位</t>
    </r>
  </si>
  <si>
    <r>
      <rPr>
        <sz val="12"/>
        <color rgb="FF000000"/>
        <rFont val="宋体"/>
        <family val="3"/>
        <charset val="134"/>
      </rPr>
      <t>人数</t>
    </r>
  </si>
  <si>
    <r>
      <rPr>
        <sz val="12"/>
        <color rgb="FF000000"/>
        <rFont val="宋体"/>
        <family val="3"/>
        <charset val="134"/>
      </rPr>
      <t>月工资</t>
    </r>
  </si>
  <si>
    <r>
      <rPr>
        <sz val="12"/>
        <color rgb="FF000000"/>
        <rFont val="宋体"/>
        <family val="3"/>
        <charset val="134"/>
      </rPr>
      <t>月合计</t>
    </r>
  </si>
  <si>
    <r>
      <rPr>
        <sz val="12"/>
        <color rgb="FF000000"/>
        <rFont val="宋体"/>
        <family val="3"/>
        <charset val="134"/>
      </rPr>
      <t>全年工资总额</t>
    </r>
  </si>
  <si>
    <r>
      <rPr>
        <sz val="12"/>
        <color rgb="FF000000"/>
        <rFont val="宋体"/>
        <family val="3"/>
        <charset val="134"/>
      </rPr>
      <t>年人工成本总计</t>
    </r>
  </si>
  <si>
    <r>
      <rPr>
        <sz val="12"/>
        <color rgb="FF000000"/>
        <rFont val="宋体"/>
        <family val="3"/>
        <charset val="134"/>
      </rPr>
      <t>备注</t>
    </r>
  </si>
  <si>
    <r>
      <rPr>
        <sz val="11"/>
        <color rgb="FF000000"/>
        <rFont val="宋体"/>
        <family val="3"/>
        <charset val="134"/>
      </rPr>
      <t>项目经理</t>
    </r>
  </si>
  <si>
    <r>
      <rPr>
        <sz val="11"/>
        <color rgb="FF000000"/>
        <rFont val="宋体"/>
        <family val="3"/>
        <charset val="134"/>
      </rPr>
      <t>项目副经理</t>
    </r>
    <phoneticPr fontId="5" type="noConversion"/>
  </si>
  <si>
    <r>
      <rPr>
        <sz val="11"/>
        <color rgb="FF000000"/>
        <rFont val="宋体"/>
        <family val="3"/>
        <charset val="134"/>
      </rPr>
      <t>出纳</t>
    </r>
  </si>
  <si>
    <r>
      <rPr>
        <sz val="11"/>
        <color rgb="FF000000"/>
        <rFont val="宋体"/>
        <family val="3"/>
        <charset val="134"/>
      </rPr>
      <t>文员兼库管</t>
    </r>
  </si>
  <si>
    <r>
      <rPr>
        <sz val="11"/>
        <color rgb="FF000000"/>
        <rFont val="宋体"/>
        <family val="3"/>
        <charset val="134"/>
      </rPr>
      <t>客服部</t>
    </r>
  </si>
  <si>
    <r>
      <rPr>
        <sz val="11"/>
        <color rgb="FF000000"/>
        <rFont val="宋体"/>
        <family val="3"/>
        <charset val="134"/>
      </rPr>
      <t>客服经理</t>
    </r>
  </si>
  <si>
    <r>
      <rPr>
        <sz val="11"/>
        <color rgb="FF000000"/>
        <rFont val="宋体"/>
        <family val="3"/>
        <charset val="134"/>
      </rPr>
      <t>领班</t>
    </r>
  </si>
  <si>
    <r>
      <rPr>
        <sz val="11"/>
        <color rgb="FF000000"/>
        <rFont val="宋体"/>
        <family val="3"/>
        <charset val="134"/>
      </rPr>
      <t>客服</t>
    </r>
  </si>
  <si>
    <r>
      <rPr>
        <sz val="11"/>
        <color rgb="FF000000"/>
        <rFont val="宋体"/>
        <family val="3"/>
        <charset val="134"/>
      </rPr>
      <t>绿化保洁部</t>
    </r>
  </si>
  <si>
    <r>
      <rPr>
        <sz val="11"/>
        <color rgb="FF000000"/>
        <rFont val="宋体"/>
        <family val="3"/>
        <charset val="134"/>
      </rPr>
      <t>环境经理</t>
    </r>
  </si>
  <si>
    <r>
      <rPr>
        <sz val="11"/>
        <color rgb="FF000000"/>
        <rFont val="宋体"/>
        <family val="3"/>
        <charset val="134"/>
      </rPr>
      <t>工程部</t>
    </r>
  </si>
  <si>
    <r>
      <rPr>
        <sz val="11"/>
        <color rgb="FF000000"/>
        <rFont val="宋体"/>
        <family val="3"/>
        <charset val="134"/>
      </rPr>
      <t>工程经理</t>
    </r>
  </si>
  <si>
    <r>
      <rPr>
        <sz val="11"/>
        <color rgb="FF000000"/>
        <rFont val="宋体"/>
        <family val="3"/>
        <charset val="134"/>
      </rPr>
      <t>秩序部</t>
    </r>
  </si>
  <si>
    <r>
      <rPr>
        <sz val="11"/>
        <color rgb="FF000000"/>
        <rFont val="宋体"/>
        <family val="3"/>
        <charset val="134"/>
      </rPr>
      <t>秩序经理</t>
    </r>
  </si>
  <si>
    <r>
      <rPr>
        <sz val="12"/>
        <color rgb="FF000000"/>
        <rFont val="宋体"/>
        <family val="3"/>
        <charset val="134"/>
      </rPr>
      <t>保险及各项经费（</t>
    </r>
    <r>
      <rPr>
        <sz val="12"/>
        <color rgb="FF000000"/>
        <rFont val="Arial"/>
        <family val="2"/>
      </rPr>
      <t>40.1%</t>
    </r>
    <r>
      <rPr>
        <sz val="12"/>
        <color rgb="FF000000"/>
        <rFont val="宋体"/>
        <family val="3"/>
        <charset val="134"/>
      </rPr>
      <t>）</t>
    </r>
    <phoneticPr fontId="5" type="noConversion"/>
  </si>
  <si>
    <r>
      <rPr>
        <b/>
        <sz val="12"/>
        <color rgb="FF000000"/>
        <rFont val="宋体"/>
        <family val="3"/>
        <charset val="134"/>
      </rPr>
      <t>总</t>
    </r>
    <r>
      <rPr>
        <b/>
        <sz val="12"/>
        <color rgb="FF000000"/>
        <rFont val="Arial"/>
        <family val="2"/>
      </rPr>
      <t xml:space="preserve">       </t>
    </r>
    <r>
      <rPr>
        <b/>
        <sz val="12"/>
        <color rgb="FF000000"/>
        <rFont val="宋体"/>
        <family val="3"/>
        <charset val="134"/>
      </rPr>
      <t>计</t>
    </r>
  </si>
  <si>
    <r>
      <t xml:space="preserve"> </t>
    </r>
    <r>
      <rPr>
        <sz val="12"/>
        <color rgb="FF000000"/>
        <rFont val="宋体"/>
        <family val="3"/>
        <charset val="134"/>
      </rPr>
      <t>社会保险</t>
    </r>
    <r>
      <rPr>
        <sz val="12"/>
        <color rgb="FF000000"/>
        <rFont val="Arial"/>
        <family val="2"/>
      </rPr>
      <t>28.1%</t>
    </r>
    <r>
      <rPr>
        <sz val="12"/>
        <color rgb="FF000000"/>
        <rFont val="宋体"/>
        <family val="3"/>
        <charset val="134"/>
      </rPr>
      <t>（医疗</t>
    </r>
    <r>
      <rPr>
        <sz val="12"/>
        <color rgb="FF000000"/>
        <rFont val="Arial"/>
        <family val="2"/>
      </rPr>
      <t>10%</t>
    </r>
    <r>
      <rPr>
        <sz val="12"/>
        <color rgb="FF000000"/>
        <rFont val="宋体"/>
        <family val="3"/>
        <charset val="134"/>
      </rPr>
      <t>、养老</t>
    </r>
    <r>
      <rPr>
        <sz val="12"/>
        <color rgb="FF000000"/>
        <rFont val="Arial"/>
        <family val="2"/>
      </rPr>
      <t>16%</t>
    </r>
    <r>
      <rPr>
        <sz val="12"/>
        <color rgb="FF000000"/>
        <rFont val="宋体"/>
        <family val="3"/>
        <charset val="134"/>
      </rPr>
      <t>、工伤</t>
    </r>
    <r>
      <rPr>
        <sz val="12"/>
        <color rgb="FF000000"/>
        <rFont val="Arial"/>
        <family val="2"/>
      </rPr>
      <t>0.5%</t>
    </r>
    <r>
      <rPr>
        <sz val="12"/>
        <color rgb="FF000000"/>
        <rFont val="宋体"/>
        <family val="3"/>
        <charset val="134"/>
      </rPr>
      <t>、失业</t>
    </r>
    <r>
      <rPr>
        <sz val="12"/>
        <color rgb="FF000000"/>
        <rFont val="Arial"/>
        <family val="2"/>
      </rPr>
      <t>0.8%</t>
    </r>
    <r>
      <rPr>
        <sz val="12"/>
        <color rgb="FF000000"/>
        <rFont val="宋体"/>
        <family val="3"/>
        <charset val="134"/>
      </rPr>
      <t>、生育</t>
    </r>
    <r>
      <rPr>
        <sz val="12"/>
        <color rgb="FF000000"/>
        <rFont val="Arial"/>
        <family val="2"/>
      </rPr>
      <t>0.8%</t>
    </r>
    <r>
      <rPr>
        <sz val="12"/>
        <color rgb="FF000000"/>
        <rFont val="宋体"/>
        <family val="3"/>
        <charset val="134"/>
      </rPr>
      <t>）、住房公积金</t>
    </r>
    <r>
      <rPr>
        <sz val="12"/>
        <color rgb="FF000000"/>
        <rFont val="Arial"/>
        <family val="2"/>
      </rPr>
      <t>12%</t>
    </r>
    <r>
      <rPr>
        <sz val="12"/>
        <color rgb="FF000000"/>
        <rFont val="宋体"/>
        <family val="3"/>
        <charset val="134"/>
      </rPr>
      <t>。</t>
    </r>
    <r>
      <rPr>
        <sz val="12"/>
        <color rgb="FF000000"/>
        <rFont val="Arial"/>
        <family val="2"/>
      </rPr>
      <t xml:space="preserve"> </t>
    </r>
    <phoneticPr fontId="5" type="noConversion"/>
  </si>
  <si>
    <r>
      <rPr>
        <b/>
        <sz val="14"/>
        <color rgb="FF000000"/>
        <rFont val="宋体"/>
        <family val="3"/>
        <charset val="134"/>
      </rPr>
      <t>附表</t>
    </r>
    <r>
      <rPr>
        <b/>
        <sz val="14"/>
        <color rgb="FF000000"/>
        <rFont val="Arial"/>
        <family val="2"/>
      </rPr>
      <t xml:space="preserve">1  </t>
    </r>
    <r>
      <rPr>
        <b/>
        <sz val="14"/>
        <color rgb="FF000000"/>
        <rFont val="宋体"/>
        <family val="3"/>
        <charset val="134"/>
      </rPr>
      <t>员工工资明细表</t>
    </r>
    <r>
      <rPr>
        <b/>
        <sz val="14"/>
        <color rgb="FF000000"/>
        <rFont val="Arial"/>
        <family val="2"/>
      </rPr>
      <t xml:space="preserve"> </t>
    </r>
    <phoneticPr fontId="5" type="noConversion"/>
  </si>
  <si>
    <r>
      <rPr>
        <sz val="12"/>
        <color rgb="FF000000"/>
        <rFont val="宋体"/>
        <family val="3"/>
        <charset val="134"/>
      </rPr>
      <t>保险及各项经费（</t>
    </r>
    <r>
      <rPr>
        <sz val="12"/>
        <color rgb="FF000000"/>
        <rFont val="Arial"/>
        <family val="2"/>
      </rPr>
      <t>40.1%</t>
    </r>
    <r>
      <rPr>
        <sz val="12"/>
        <color rgb="FF000000"/>
        <rFont val="宋体"/>
        <family val="3"/>
        <charset val="134"/>
      </rPr>
      <t>）</t>
    </r>
    <phoneticPr fontId="5" type="noConversion"/>
  </si>
  <si>
    <r>
      <rPr>
        <sz val="11"/>
        <color theme="1"/>
        <rFont val="宋体"/>
        <family val="2"/>
      </rPr>
      <t>社保缴费</t>
    </r>
    <phoneticPr fontId="5" type="noConversion"/>
  </si>
  <si>
    <r>
      <rPr>
        <sz val="11"/>
        <color theme="1"/>
        <rFont val="宋体"/>
        <family val="2"/>
      </rPr>
      <t>险种</t>
    </r>
    <phoneticPr fontId="5" type="noConversion"/>
  </si>
  <si>
    <r>
      <rPr>
        <sz val="11"/>
        <color theme="1"/>
        <rFont val="宋体"/>
        <family val="2"/>
      </rPr>
      <t>养老</t>
    </r>
    <phoneticPr fontId="5" type="noConversion"/>
  </si>
  <si>
    <r>
      <rPr>
        <sz val="11"/>
        <color theme="1"/>
        <rFont val="宋体"/>
        <family val="2"/>
      </rPr>
      <t>失业</t>
    </r>
    <phoneticPr fontId="5" type="noConversion"/>
  </si>
  <si>
    <r>
      <rPr>
        <sz val="11"/>
        <color theme="1"/>
        <rFont val="宋体"/>
        <family val="2"/>
      </rPr>
      <t>工伤</t>
    </r>
    <phoneticPr fontId="5" type="noConversion"/>
  </si>
  <si>
    <r>
      <rPr>
        <sz val="11"/>
        <color theme="1"/>
        <rFont val="宋体"/>
        <family val="2"/>
      </rPr>
      <t>生育</t>
    </r>
    <phoneticPr fontId="5" type="noConversion"/>
  </si>
  <si>
    <r>
      <rPr>
        <sz val="11"/>
        <color theme="1"/>
        <rFont val="宋体"/>
        <family val="2"/>
      </rPr>
      <t>医疗</t>
    </r>
    <phoneticPr fontId="5" type="noConversion"/>
  </si>
  <si>
    <r>
      <rPr>
        <sz val="11"/>
        <color theme="1"/>
        <rFont val="宋体"/>
        <family val="2"/>
      </rPr>
      <t>公积金</t>
    </r>
    <phoneticPr fontId="5" type="noConversion"/>
  </si>
  <si>
    <r>
      <rPr>
        <sz val="11"/>
        <color theme="1"/>
        <rFont val="宋体"/>
        <family val="2"/>
      </rPr>
      <t>基数</t>
    </r>
    <phoneticPr fontId="5" type="noConversion"/>
  </si>
  <si>
    <r>
      <rPr>
        <sz val="11"/>
        <color theme="1"/>
        <rFont val="宋体"/>
        <family val="2"/>
      </rPr>
      <t>原</t>
    </r>
    <phoneticPr fontId="5" type="noConversion"/>
  </si>
  <si>
    <r>
      <rPr>
        <sz val="11"/>
        <color theme="1"/>
        <rFont val="宋体"/>
        <family val="2"/>
      </rPr>
      <t>单位缴存比例</t>
    </r>
    <phoneticPr fontId="5" type="noConversion"/>
  </si>
  <si>
    <r>
      <rPr>
        <sz val="12"/>
        <color rgb="FF000000"/>
        <rFont val="宋体"/>
        <family val="3"/>
        <charset val="134"/>
      </rPr>
      <t>部门</t>
    </r>
  </si>
  <si>
    <r>
      <rPr>
        <sz val="12"/>
        <color rgb="FF000000"/>
        <rFont val="宋体"/>
        <family val="3"/>
        <charset val="134"/>
      </rPr>
      <t>岗位</t>
    </r>
  </si>
  <si>
    <r>
      <rPr>
        <sz val="12"/>
        <color rgb="FF000000"/>
        <rFont val="宋体"/>
        <family val="3"/>
        <charset val="134"/>
      </rPr>
      <t>工程部</t>
    </r>
    <phoneticPr fontId="5" type="noConversion"/>
  </si>
  <si>
    <r>
      <rPr>
        <sz val="12"/>
        <color rgb="FF000000"/>
        <rFont val="宋体"/>
        <family val="3"/>
        <charset val="134"/>
      </rPr>
      <t>工程领班</t>
    </r>
    <phoneticPr fontId="5" type="noConversion"/>
  </si>
  <si>
    <r>
      <rPr>
        <sz val="12"/>
        <color rgb="FF000000"/>
        <rFont val="宋体"/>
        <family val="3"/>
        <charset val="134"/>
      </rPr>
      <t>综合维修</t>
    </r>
  </si>
  <si>
    <r>
      <rPr>
        <b/>
        <sz val="14"/>
        <color rgb="FF000000"/>
        <rFont val="宋体"/>
        <family val="3"/>
        <charset val="134"/>
      </rPr>
      <t>附表</t>
    </r>
    <r>
      <rPr>
        <b/>
        <sz val="14"/>
        <color rgb="FF000000"/>
        <rFont val="Arial"/>
        <family val="2"/>
      </rPr>
      <t xml:space="preserve">2  </t>
    </r>
    <r>
      <rPr>
        <b/>
        <sz val="14"/>
        <color rgb="FF000000"/>
        <rFont val="宋体"/>
        <family val="3"/>
        <charset val="134"/>
      </rPr>
      <t>工程人员工资明细表</t>
    </r>
    <r>
      <rPr>
        <b/>
        <sz val="14"/>
        <color rgb="FF000000"/>
        <rFont val="Arial"/>
        <family val="2"/>
      </rPr>
      <t xml:space="preserve"> </t>
    </r>
    <phoneticPr fontId="5" type="noConversion"/>
  </si>
  <si>
    <r>
      <rPr>
        <sz val="12"/>
        <color rgb="FF000000"/>
        <rFont val="宋体"/>
        <family val="3"/>
        <charset val="134"/>
      </rPr>
      <t>每区</t>
    </r>
    <r>
      <rPr>
        <sz val="12"/>
        <color rgb="FF000000"/>
        <rFont val="Arial"/>
        <family val="2"/>
      </rPr>
      <t>3</t>
    </r>
    <r>
      <rPr>
        <sz val="12"/>
        <color rgb="FF000000"/>
        <rFont val="宋体"/>
        <family val="3"/>
        <charset val="134"/>
      </rPr>
      <t>名领班</t>
    </r>
  </si>
  <si>
    <r>
      <t xml:space="preserve"> </t>
    </r>
    <r>
      <rPr>
        <sz val="12"/>
        <color rgb="FF000000"/>
        <rFont val="宋体"/>
        <family val="3"/>
        <charset val="134"/>
      </rPr>
      <t>社会保险</t>
    </r>
    <r>
      <rPr>
        <sz val="12"/>
        <color rgb="FF000000"/>
        <rFont val="Arial"/>
        <family val="2"/>
      </rPr>
      <t>28.1%</t>
    </r>
    <r>
      <rPr>
        <sz val="12"/>
        <color rgb="FF000000"/>
        <rFont val="宋体"/>
        <family val="3"/>
        <charset val="134"/>
      </rPr>
      <t>（医疗</t>
    </r>
    <r>
      <rPr>
        <sz val="12"/>
        <color rgb="FF000000"/>
        <rFont val="Arial"/>
        <family val="2"/>
      </rPr>
      <t>10%</t>
    </r>
    <r>
      <rPr>
        <sz val="12"/>
        <color rgb="FF000000"/>
        <rFont val="宋体"/>
        <family val="3"/>
        <charset val="134"/>
      </rPr>
      <t>、养老</t>
    </r>
    <r>
      <rPr>
        <sz val="12"/>
        <color rgb="FF000000"/>
        <rFont val="Arial"/>
        <family val="2"/>
      </rPr>
      <t>16%</t>
    </r>
    <r>
      <rPr>
        <sz val="12"/>
        <color rgb="FF000000"/>
        <rFont val="宋体"/>
        <family val="3"/>
        <charset val="134"/>
      </rPr>
      <t>、工伤</t>
    </r>
    <r>
      <rPr>
        <sz val="12"/>
        <color rgb="FF000000"/>
        <rFont val="Arial"/>
        <family val="2"/>
      </rPr>
      <t>0.5%</t>
    </r>
    <r>
      <rPr>
        <sz val="12"/>
        <color rgb="FF000000"/>
        <rFont val="宋体"/>
        <family val="3"/>
        <charset val="134"/>
      </rPr>
      <t>、失业</t>
    </r>
    <r>
      <rPr>
        <sz val="12"/>
        <color rgb="FF000000"/>
        <rFont val="Arial"/>
        <family val="2"/>
      </rPr>
      <t>0.8%</t>
    </r>
    <r>
      <rPr>
        <sz val="12"/>
        <color rgb="FF000000"/>
        <rFont val="宋体"/>
        <family val="3"/>
        <charset val="134"/>
      </rPr>
      <t>、生育</t>
    </r>
    <r>
      <rPr>
        <sz val="12"/>
        <color rgb="FF000000"/>
        <rFont val="Arial"/>
        <family val="2"/>
      </rPr>
      <t>0.8%</t>
    </r>
    <r>
      <rPr>
        <sz val="12"/>
        <color rgb="FF000000"/>
        <rFont val="宋体"/>
        <family val="3"/>
        <charset val="134"/>
      </rPr>
      <t>）、住房公积金</t>
    </r>
    <r>
      <rPr>
        <sz val="12"/>
        <color rgb="FF000000"/>
        <rFont val="Arial"/>
        <family val="2"/>
      </rPr>
      <t>12%</t>
    </r>
    <r>
      <rPr>
        <sz val="12"/>
        <color rgb="FF000000"/>
        <rFont val="宋体"/>
        <family val="3"/>
        <charset val="134"/>
      </rPr>
      <t>。</t>
    </r>
    <r>
      <rPr>
        <sz val="12"/>
        <color rgb="FF000000"/>
        <rFont val="Arial"/>
        <family val="2"/>
      </rPr>
      <t xml:space="preserve">  </t>
    </r>
    <phoneticPr fontId="5" type="noConversion"/>
  </si>
  <si>
    <r>
      <rPr>
        <sz val="12"/>
        <color rgb="FF000000"/>
        <rFont val="宋体"/>
        <family val="3"/>
        <charset val="134"/>
      </rPr>
      <t>分项</t>
    </r>
  </si>
  <si>
    <r>
      <rPr>
        <sz val="12"/>
        <color rgb="FF000000"/>
        <rFont val="宋体"/>
        <family val="3"/>
        <charset val="134"/>
      </rPr>
      <t>计算过程</t>
    </r>
  </si>
  <si>
    <r>
      <rPr>
        <sz val="10.5"/>
        <color rgb="FF000000"/>
        <rFont val="宋体"/>
        <family val="3"/>
        <charset val="134"/>
      </rPr>
      <t>合计</t>
    </r>
  </si>
  <si>
    <r>
      <rPr>
        <sz val="12"/>
        <color rgb="FF000000"/>
        <rFont val="宋体"/>
        <family val="3"/>
        <charset val="134"/>
      </rPr>
      <t>月份</t>
    </r>
  </si>
  <si>
    <r>
      <rPr>
        <sz val="12"/>
        <color rgb="FF000000"/>
        <rFont val="宋体"/>
        <family val="3"/>
        <charset val="134"/>
      </rPr>
      <t>每月费用</t>
    </r>
  </si>
  <si>
    <r>
      <rPr>
        <sz val="12"/>
        <color rgb="FF000000"/>
        <rFont val="宋体"/>
        <family val="3"/>
        <charset val="134"/>
      </rPr>
      <t>台数</t>
    </r>
  </si>
  <si>
    <r>
      <rPr>
        <sz val="12"/>
        <rFont val="宋体"/>
        <family val="3"/>
        <charset val="134"/>
      </rPr>
      <t>生活水泵</t>
    </r>
  </si>
  <si>
    <r>
      <rPr>
        <sz val="11"/>
        <rFont val="宋体"/>
        <family val="3"/>
        <charset val="134"/>
      </rPr>
      <t>中水泵</t>
    </r>
  </si>
  <si>
    <r>
      <rPr>
        <sz val="11"/>
        <rFont val="宋体"/>
        <family val="3"/>
        <charset val="134"/>
      </rPr>
      <t>污水泵</t>
    </r>
  </si>
  <si>
    <r>
      <rPr>
        <sz val="11"/>
        <rFont val="宋体"/>
        <family val="3"/>
        <charset val="134"/>
      </rPr>
      <t>电梯系统</t>
    </r>
  </si>
  <si>
    <r>
      <rPr>
        <sz val="11"/>
        <rFont val="宋体"/>
        <family val="3"/>
        <charset val="134"/>
      </rPr>
      <t>电梯维保费</t>
    </r>
  </si>
  <si>
    <r>
      <rPr>
        <sz val="11"/>
        <rFont val="宋体"/>
        <family val="3"/>
        <charset val="134"/>
      </rPr>
      <t>电梯年检费</t>
    </r>
  </si>
  <si>
    <r>
      <rPr>
        <sz val="11"/>
        <rFont val="宋体"/>
        <family val="3"/>
        <charset val="134"/>
      </rPr>
      <t>弱电系统及设备维护费</t>
    </r>
  </si>
  <si>
    <r>
      <rPr>
        <sz val="11"/>
        <rFont val="宋体"/>
        <family val="3"/>
        <charset val="134"/>
      </rPr>
      <t>消防报警</t>
    </r>
  </si>
  <si>
    <r>
      <rPr>
        <sz val="11"/>
        <rFont val="宋体"/>
        <family val="3"/>
        <charset val="134"/>
      </rPr>
      <t>视频监控</t>
    </r>
  </si>
  <si>
    <r>
      <rPr>
        <sz val="11"/>
        <rFont val="宋体"/>
        <family val="3"/>
        <charset val="134"/>
      </rPr>
      <t>消防器材</t>
    </r>
  </si>
  <si>
    <r>
      <rPr>
        <sz val="11"/>
        <rFont val="宋体"/>
        <family val="3"/>
        <charset val="134"/>
      </rPr>
      <t>消防泵</t>
    </r>
  </si>
  <si>
    <r>
      <rPr>
        <sz val="11"/>
        <rFont val="宋体"/>
        <family val="3"/>
        <charset val="134"/>
      </rPr>
      <t>喷淋泵</t>
    </r>
  </si>
  <si>
    <r>
      <rPr>
        <sz val="11"/>
        <rFont val="宋体"/>
        <family val="3"/>
        <charset val="134"/>
      </rPr>
      <t>稳压泵</t>
    </r>
  </si>
  <si>
    <r>
      <rPr>
        <sz val="11"/>
        <rFont val="宋体"/>
        <family val="3"/>
        <charset val="134"/>
      </rPr>
      <t>灭火器</t>
    </r>
  </si>
  <si>
    <r>
      <rPr>
        <sz val="11"/>
        <rFont val="宋体"/>
        <family val="3"/>
        <charset val="134"/>
      </rPr>
      <t>供电系统</t>
    </r>
  </si>
  <si>
    <r>
      <rPr>
        <sz val="11"/>
        <rFont val="宋体"/>
        <family val="3"/>
        <charset val="134"/>
      </rPr>
      <t>供电维护</t>
    </r>
  </si>
  <si>
    <r>
      <rPr>
        <sz val="11"/>
        <rFont val="宋体"/>
        <family val="3"/>
        <charset val="134"/>
      </rPr>
      <t>照明维护费</t>
    </r>
  </si>
  <si>
    <r>
      <rPr>
        <sz val="11"/>
        <rFont val="宋体"/>
        <family val="3"/>
        <charset val="134"/>
      </rPr>
      <t>土建系统</t>
    </r>
  </si>
  <si>
    <r>
      <rPr>
        <sz val="11"/>
        <rFont val="宋体"/>
        <family val="3"/>
        <charset val="134"/>
      </rPr>
      <t>土建维修</t>
    </r>
  </si>
  <si>
    <r>
      <rPr>
        <sz val="11"/>
        <rFont val="宋体"/>
        <family val="3"/>
        <charset val="134"/>
      </rPr>
      <t>项目</t>
    </r>
  </si>
  <si>
    <r>
      <rPr>
        <sz val="11"/>
        <rFont val="宋体"/>
        <family val="3"/>
        <charset val="134"/>
      </rPr>
      <t>个数</t>
    </r>
  </si>
  <si>
    <r>
      <rPr>
        <sz val="11"/>
        <rFont val="宋体"/>
        <family val="3"/>
        <charset val="134"/>
      </rPr>
      <t>次数</t>
    </r>
  </si>
  <si>
    <r>
      <rPr>
        <sz val="11"/>
        <rFont val="宋体"/>
        <family val="3"/>
        <charset val="134"/>
      </rPr>
      <t>管道井及化粪池清淘费</t>
    </r>
  </si>
  <si>
    <r>
      <rPr>
        <sz val="11"/>
        <rFont val="宋体"/>
        <family val="3"/>
        <charset val="134"/>
      </rPr>
      <t>水质检验</t>
    </r>
  </si>
  <si>
    <r>
      <rPr>
        <sz val="11"/>
        <rFont val="宋体"/>
        <family val="3"/>
        <charset val="134"/>
      </rPr>
      <t>避雷检测</t>
    </r>
  </si>
  <si>
    <r>
      <rPr>
        <b/>
        <sz val="11"/>
        <rFont val="宋体"/>
        <family val="3"/>
        <charset val="134"/>
      </rPr>
      <t>合计</t>
    </r>
  </si>
  <si>
    <r>
      <rPr>
        <b/>
        <sz val="14"/>
        <color rgb="FF000000"/>
        <rFont val="宋体"/>
        <family val="3"/>
        <charset val="134"/>
      </rPr>
      <t>附表</t>
    </r>
    <r>
      <rPr>
        <b/>
        <sz val="14"/>
        <color rgb="FF000000"/>
        <rFont val="Arial"/>
        <family val="2"/>
      </rPr>
      <t>2.1</t>
    </r>
    <r>
      <rPr>
        <b/>
        <sz val="15"/>
        <color rgb="FF000000"/>
        <rFont val="宋体"/>
        <family val="3"/>
        <charset val="134"/>
      </rPr>
      <t>物业共用部位、共用设施设备维修费用</t>
    </r>
    <phoneticPr fontId="5" type="noConversion"/>
  </si>
  <si>
    <r>
      <rPr>
        <sz val="12"/>
        <color rgb="FF000000"/>
        <rFont val="宋体"/>
        <family val="3"/>
        <charset val="134"/>
      </rPr>
      <t>元</t>
    </r>
    <r>
      <rPr>
        <sz val="12"/>
        <color rgb="FF000000"/>
        <rFont val="Arial"/>
        <family val="2"/>
      </rPr>
      <t>/</t>
    </r>
    <r>
      <rPr>
        <sz val="12"/>
        <color rgb="FF000000"/>
        <rFont val="宋体"/>
        <family val="3"/>
        <charset val="134"/>
      </rPr>
      <t>台</t>
    </r>
    <r>
      <rPr>
        <sz val="12"/>
        <color rgb="FF000000"/>
        <rFont val="Arial"/>
        <family val="2"/>
      </rPr>
      <t>.</t>
    </r>
    <r>
      <rPr>
        <sz val="12"/>
        <color rgb="FF000000"/>
        <rFont val="宋体"/>
        <family val="3"/>
        <charset val="134"/>
      </rPr>
      <t>月</t>
    </r>
  </si>
  <si>
    <r>
      <rPr>
        <sz val="11"/>
        <rFont val="宋体"/>
        <family val="3"/>
        <charset val="134"/>
      </rPr>
      <t>给排水系统</t>
    </r>
    <r>
      <rPr>
        <sz val="11"/>
        <rFont val="Arial"/>
        <family val="2"/>
      </rPr>
      <t xml:space="preserve"> </t>
    </r>
    <r>
      <rPr>
        <sz val="11"/>
        <rFont val="宋体"/>
        <family val="3"/>
        <charset val="134"/>
      </rPr>
      <t>维护费</t>
    </r>
  </si>
  <si>
    <r>
      <rPr>
        <sz val="11"/>
        <rFont val="宋体"/>
        <family val="3"/>
        <charset val="134"/>
      </rPr>
      <t>元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个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次</t>
    </r>
  </si>
  <si>
    <r>
      <rPr>
        <sz val="12"/>
        <color rgb="FF000000"/>
        <rFont val="宋体"/>
        <family val="3"/>
        <charset val="134"/>
      </rPr>
      <t>电梯</t>
    </r>
  </si>
  <si>
    <r>
      <rPr>
        <sz val="12"/>
        <color rgb="FF000000"/>
        <rFont val="宋体"/>
        <family val="3"/>
        <charset val="134"/>
      </rPr>
      <t>消防泵</t>
    </r>
  </si>
  <si>
    <r>
      <rPr>
        <sz val="12"/>
        <color rgb="FF000000"/>
        <rFont val="宋体"/>
        <family val="3"/>
        <charset val="134"/>
      </rPr>
      <t>喷淋泵</t>
    </r>
  </si>
  <si>
    <r>
      <rPr>
        <sz val="12"/>
        <color rgb="FF000000"/>
        <rFont val="宋体"/>
        <family val="3"/>
        <charset val="134"/>
      </rPr>
      <t>稳压泵</t>
    </r>
  </si>
  <si>
    <r>
      <rPr>
        <sz val="12"/>
        <color rgb="FF000000"/>
        <rFont val="宋体"/>
        <family val="3"/>
        <charset val="134"/>
      </rPr>
      <t>智能化用电</t>
    </r>
  </si>
  <si>
    <r>
      <rPr>
        <sz val="12"/>
        <color rgb="FF000000"/>
        <rFont val="宋体"/>
        <family val="3"/>
        <charset val="134"/>
      </rPr>
      <t>电子监控中心</t>
    </r>
  </si>
  <si>
    <r>
      <rPr>
        <sz val="12"/>
        <color rgb="FF000000"/>
        <rFont val="宋体"/>
        <family val="3"/>
        <charset val="134"/>
      </rPr>
      <t>设备监控系统</t>
    </r>
  </si>
  <si>
    <r>
      <rPr>
        <sz val="12"/>
        <color rgb="FF000000"/>
        <rFont val="宋体"/>
        <family val="3"/>
        <charset val="134"/>
      </rPr>
      <t>消防报警系统</t>
    </r>
  </si>
  <si>
    <r>
      <rPr>
        <sz val="12"/>
        <color rgb="FF000000"/>
        <rFont val="宋体"/>
        <family val="3"/>
        <charset val="134"/>
      </rPr>
      <t>小计</t>
    </r>
  </si>
  <si>
    <r>
      <rPr>
        <sz val="12"/>
        <color rgb="FF000000"/>
        <rFont val="宋体"/>
        <family val="3"/>
        <charset val="134"/>
      </rPr>
      <t>保洁用水</t>
    </r>
  </si>
  <si>
    <r>
      <rPr>
        <sz val="12"/>
        <color rgb="FF000000"/>
        <rFont val="宋体"/>
        <family val="3"/>
        <charset val="134"/>
      </rPr>
      <t>月水量（立方）</t>
    </r>
  </si>
  <si>
    <r>
      <rPr>
        <sz val="12"/>
        <color rgb="FF000000"/>
        <rFont val="宋体"/>
        <family val="3"/>
        <charset val="134"/>
      </rPr>
      <t>年用水量（立方）</t>
    </r>
  </si>
  <si>
    <r>
      <rPr>
        <b/>
        <sz val="14"/>
        <color rgb="FF000000"/>
        <rFont val="宋体"/>
        <family val="3"/>
        <charset val="134"/>
      </rPr>
      <t>附表</t>
    </r>
    <r>
      <rPr>
        <b/>
        <sz val="14"/>
        <color rgb="FF000000"/>
        <rFont val="Arial"/>
        <family val="2"/>
      </rPr>
      <t xml:space="preserve">2.2 </t>
    </r>
    <r>
      <rPr>
        <b/>
        <sz val="14"/>
        <color rgb="FF000000"/>
        <rFont val="宋体"/>
        <family val="3"/>
        <charset val="134"/>
      </rPr>
      <t>物业共用部位、共用设施设备运行费用</t>
    </r>
    <phoneticPr fontId="5" type="noConversion"/>
  </si>
  <si>
    <r>
      <rPr>
        <sz val="12"/>
        <color rgb="FF000000"/>
        <rFont val="宋体"/>
        <family val="3"/>
        <charset val="134"/>
      </rPr>
      <t>水费标准（元</t>
    </r>
    <r>
      <rPr>
        <sz val="12"/>
        <color rgb="FF000000"/>
        <rFont val="Arial"/>
        <family val="2"/>
      </rPr>
      <t>/</t>
    </r>
    <r>
      <rPr>
        <sz val="12"/>
        <color rgb="FF000000"/>
        <rFont val="宋体"/>
        <family val="3"/>
        <charset val="134"/>
      </rPr>
      <t>立方）</t>
    </r>
  </si>
  <si>
    <r>
      <rPr>
        <sz val="12"/>
        <color rgb="FF000000"/>
        <rFont val="宋体"/>
        <family val="3"/>
        <charset val="134"/>
      </rPr>
      <t>月费用</t>
    </r>
  </si>
  <si>
    <r>
      <rPr>
        <sz val="12"/>
        <color rgb="FF000000"/>
        <rFont val="宋体"/>
        <family val="3"/>
        <charset val="134"/>
      </rPr>
      <t>合计</t>
    </r>
  </si>
  <si>
    <r>
      <rPr>
        <sz val="12"/>
        <color rgb="FF000000"/>
        <rFont val="宋体"/>
        <family val="3"/>
        <charset val="134"/>
      </rPr>
      <t>保洁耗材</t>
    </r>
  </si>
  <si>
    <r>
      <rPr>
        <sz val="12"/>
        <color rgb="FF000000"/>
        <rFont val="宋体"/>
        <family val="3"/>
        <charset val="134"/>
      </rPr>
      <t>生活垃圾清运费</t>
    </r>
  </si>
  <si>
    <r>
      <rPr>
        <sz val="12"/>
        <color rgb="FF000000"/>
        <rFont val="宋体"/>
        <family val="3"/>
        <charset val="134"/>
      </rPr>
      <t>保洁消杀费</t>
    </r>
  </si>
  <si>
    <r>
      <rPr>
        <b/>
        <sz val="14"/>
        <color rgb="FF000000"/>
        <rFont val="宋体"/>
        <family val="3"/>
        <charset val="134"/>
      </rPr>
      <t>附表</t>
    </r>
    <r>
      <rPr>
        <b/>
        <sz val="14"/>
        <color rgb="FF000000"/>
        <rFont val="Arial"/>
        <family val="2"/>
      </rPr>
      <t xml:space="preserve">3 </t>
    </r>
    <r>
      <rPr>
        <b/>
        <sz val="14"/>
        <color rgb="FF000000"/>
        <rFont val="宋体"/>
        <family val="3"/>
        <charset val="134"/>
      </rPr>
      <t>物业管理区域清洁卫生费用</t>
    </r>
    <phoneticPr fontId="5" type="noConversion"/>
  </si>
  <si>
    <r>
      <rPr>
        <sz val="12"/>
        <color rgb="FF000000"/>
        <rFont val="宋体"/>
        <family val="3"/>
        <charset val="134"/>
      </rPr>
      <t>项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宋体"/>
        <family val="3"/>
        <charset val="134"/>
      </rPr>
      <t>目</t>
    </r>
  </si>
  <si>
    <r>
      <rPr>
        <sz val="12"/>
        <color rgb="FF000000"/>
        <rFont val="宋体"/>
        <family val="3"/>
        <charset val="134"/>
      </rPr>
      <t>保洁领班</t>
    </r>
  </si>
  <si>
    <r>
      <rPr>
        <sz val="12"/>
        <color rgb="FF000000"/>
        <rFont val="宋体"/>
        <family val="3"/>
        <charset val="134"/>
      </rPr>
      <t>公区保洁</t>
    </r>
  </si>
  <si>
    <r>
      <rPr>
        <b/>
        <sz val="14"/>
        <color rgb="FF000000"/>
        <rFont val="宋体"/>
        <family val="3"/>
        <charset val="134"/>
      </rPr>
      <t>附表</t>
    </r>
    <r>
      <rPr>
        <b/>
        <sz val="14"/>
        <color rgb="FF000000"/>
        <rFont val="Arial"/>
        <family val="2"/>
      </rPr>
      <t xml:space="preserve">3.1  </t>
    </r>
    <r>
      <rPr>
        <b/>
        <sz val="14"/>
        <color rgb="FF000000"/>
        <rFont val="宋体"/>
        <family val="3"/>
        <charset val="134"/>
      </rPr>
      <t>环境人员工资明细表</t>
    </r>
    <r>
      <rPr>
        <b/>
        <sz val="14"/>
        <color rgb="FF000000"/>
        <rFont val="Arial"/>
        <family val="2"/>
      </rPr>
      <t xml:space="preserve"> </t>
    </r>
    <phoneticPr fontId="5" type="noConversion"/>
  </si>
  <si>
    <r>
      <rPr>
        <sz val="12"/>
        <color rgb="FF000000"/>
        <rFont val="宋体"/>
        <family val="3"/>
        <charset val="134"/>
      </rPr>
      <t>保险及各项经费（</t>
    </r>
    <r>
      <rPr>
        <sz val="12"/>
        <color rgb="FF000000"/>
        <rFont val="Arial"/>
        <family val="2"/>
      </rPr>
      <t>28.1%</t>
    </r>
    <r>
      <rPr>
        <sz val="12"/>
        <color rgb="FF000000"/>
        <rFont val="宋体"/>
        <family val="3"/>
        <charset val="134"/>
      </rPr>
      <t>）</t>
    </r>
    <phoneticPr fontId="5" type="noConversion"/>
  </si>
  <si>
    <r>
      <rPr>
        <sz val="12"/>
        <color rgb="FF000000"/>
        <rFont val="宋体"/>
        <family val="3"/>
        <charset val="134"/>
      </rPr>
      <t>绿化面积</t>
    </r>
  </si>
  <si>
    <r>
      <rPr>
        <sz val="12"/>
        <color rgb="FF000000"/>
        <rFont val="宋体"/>
        <family val="3"/>
        <charset val="134"/>
      </rPr>
      <t>费用标准</t>
    </r>
  </si>
  <si>
    <r>
      <rPr>
        <sz val="12"/>
        <color rgb="FF000000"/>
        <rFont val="宋体"/>
        <family val="3"/>
        <charset val="134"/>
      </rPr>
      <t>绿化费</t>
    </r>
  </si>
  <si>
    <r>
      <rPr>
        <sz val="12"/>
        <color rgb="FF000000"/>
        <rFont val="宋体"/>
        <family val="3"/>
        <charset val="134"/>
      </rPr>
      <t>费用包含：</t>
    </r>
  </si>
  <si>
    <r>
      <t>1</t>
    </r>
    <r>
      <rPr>
        <sz val="12"/>
        <color rgb="FF000000"/>
        <rFont val="宋体"/>
        <family val="3"/>
        <charset val="134"/>
      </rPr>
      <t>、人员工资；</t>
    </r>
  </si>
  <si>
    <r>
      <t>2</t>
    </r>
    <r>
      <rPr>
        <sz val="12"/>
        <color rgb="FF000000"/>
        <rFont val="宋体"/>
        <family val="3"/>
        <charset val="134"/>
      </rPr>
      <t>、物料消耗；</t>
    </r>
  </si>
  <si>
    <r>
      <t>3</t>
    </r>
    <r>
      <rPr>
        <sz val="12"/>
        <color rgb="FF000000"/>
        <rFont val="宋体"/>
        <family val="3"/>
        <charset val="134"/>
      </rPr>
      <t>、机具折旧；</t>
    </r>
  </si>
  <si>
    <r>
      <t>4</t>
    </r>
    <r>
      <rPr>
        <sz val="12"/>
        <color rgb="FF000000"/>
        <rFont val="宋体"/>
        <family val="3"/>
        <charset val="134"/>
      </rPr>
      <t>、绿化垃圾清运。</t>
    </r>
  </si>
  <si>
    <r>
      <rPr>
        <b/>
        <sz val="12"/>
        <color rgb="FF000000"/>
        <rFont val="宋体"/>
        <family val="3"/>
        <charset val="134"/>
      </rPr>
      <t>按《城市园林绿化养护管理标准》中提及标准测算</t>
    </r>
  </si>
  <si>
    <r>
      <rPr>
        <b/>
        <sz val="14"/>
        <color rgb="FF000000"/>
        <rFont val="宋体"/>
        <family val="3"/>
        <charset val="134"/>
      </rPr>
      <t>附表</t>
    </r>
    <r>
      <rPr>
        <b/>
        <sz val="14"/>
        <color rgb="FF000000"/>
        <rFont val="Arial"/>
        <family val="2"/>
      </rPr>
      <t xml:space="preserve">4  </t>
    </r>
    <r>
      <rPr>
        <b/>
        <sz val="14"/>
        <color rgb="FF000000"/>
        <rFont val="宋体"/>
        <family val="3"/>
        <charset val="134"/>
      </rPr>
      <t>物业管理区域绿化养护费用</t>
    </r>
    <phoneticPr fontId="5" type="noConversion"/>
  </si>
  <si>
    <r>
      <rPr>
        <sz val="12"/>
        <color rgb="FF000000"/>
        <rFont val="宋体"/>
        <family val="3"/>
        <charset val="134"/>
      </rPr>
      <t>（元</t>
    </r>
    <r>
      <rPr>
        <sz val="12"/>
        <color rgb="FF000000"/>
        <rFont val="Arial"/>
        <family val="2"/>
      </rPr>
      <t>/</t>
    </r>
    <r>
      <rPr>
        <sz val="12"/>
        <color rgb="FF000000"/>
        <rFont val="宋体"/>
        <family val="3"/>
        <charset val="134"/>
      </rPr>
      <t>年</t>
    </r>
    <r>
      <rPr>
        <sz val="12"/>
        <color rgb="FF000000"/>
        <rFont val="Arial"/>
        <family val="2"/>
      </rPr>
      <t>/</t>
    </r>
    <r>
      <rPr>
        <sz val="12"/>
        <color rgb="FF000000"/>
        <rFont val="宋体"/>
        <family val="3"/>
        <charset val="134"/>
      </rPr>
      <t>平方米）</t>
    </r>
  </si>
  <si>
    <r>
      <rPr>
        <sz val="12"/>
        <color rgb="FF000000"/>
        <rFont val="宋体"/>
        <family val="3"/>
        <charset val="134"/>
      </rPr>
      <t>总负责人</t>
    </r>
    <phoneticPr fontId="5" type="noConversion"/>
  </si>
  <si>
    <r>
      <rPr>
        <b/>
        <sz val="14"/>
        <color rgb="FF000000"/>
        <rFont val="宋体"/>
        <family val="3"/>
        <charset val="134"/>
      </rPr>
      <t>附表</t>
    </r>
    <r>
      <rPr>
        <b/>
        <sz val="14"/>
        <color rgb="FF000000"/>
        <rFont val="Arial"/>
        <family val="2"/>
      </rPr>
      <t xml:space="preserve">5 </t>
    </r>
    <r>
      <rPr>
        <b/>
        <sz val="14"/>
        <color rgb="FF000000"/>
        <rFont val="宋体"/>
        <family val="3"/>
        <charset val="134"/>
      </rPr>
      <t>秩序维护人员工资明细表</t>
    </r>
    <r>
      <rPr>
        <b/>
        <sz val="14"/>
        <color rgb="FF000000"/>
        <rFont val="Arial"/>
        <family val="2"/>
      </rPr>
      <t xml:space="preserve"> </t>
    </r>
    <phoneticPr fontId="5" type="noConversion"/>
  </si>
  <si>
    <r>
      <rPr>
        <sz val="12"/>
        <color rgb="FF000000"/>
        <rFont val="宋体"/>
        <family val="3"/>
        <charset val="134"/>
      </rPr>
      <t>对讲机占频费</t>
    </r>
  </si>
  <si>
    <r>
      <rPr>
        <sz val="12"/>
        <color rgb="FF000000"/>
        <rFont val="宋体"/>
        <family val="3"/>
        <charset val="134"/>
      </rPr>
      <t>安保设备维护</t>
    </r>
  </si>
  <si>
    <r>
      <rPr>
        <sz val="12"/>
        <color rgb="FF000000"/>
        <rFont val="宋体"/>
        <family val="3"/>
        <charset val="134"/>
      </rPr>
      <t>每次费用</t>
    </r>
  </si>
  <si>
    <r>
      <rPr>
        <sz val="12"/>
        <color rgb="FF000000"/>
        <rFont val="宋体"/>
        <family val="3"/>
        <charset val="134"/>
      </rPr>
      <t>次数</t>
    </r>
  </si>
  <si>
    <r>
      <rPr>
        <sz val="12"/>
        <color rgb="FF000000"/>
        <rFont val="宋体"/>
        <family val="3"/>
        <charset val="134"/>
      </rPr>
      <t>消防培训费</t>
    </r>
  </si>
  <si>
    <r>
      <rPr>
        <sz val="12"/>
        <color rgb="FF000000"/>
        <rFont val="宋体"/>
        <family val="3"/>
        <charset val="134"/>
      </rPr>
      <t>消防演练</t>
    </r>
  </si>
  <si>
    <r>
      <rPr>
        <b/>
        <sz val="14"/>
        <color rgb="FF000000"/>
        <rFont val="宋体"/>
        <family val="3"/>
        <charset val="134"/>
      </rPr>
      <t>附表</t>
    </r>
    <r>
      <rPr>
        <b/>
        <sz val="14"/>
        <color rgb="FF000000"/>
        <rFont val="Arial"/>
        <family val="2"/>
      </rPr>
      <t xml:space="preserve">5.1 </t>
    </r>
    <r>
      <rPr>
        <b/>
        <sz val="14"/>
        <color rgb="FF000000"/>
        <rFont val="宋体"/>
        <family val="3"/>
        <charset val="134"/>
      </rPr>
      <t>物业管理区域秩序维护费用</t>
    </r>
    <phoneticPr fontId="5" type="noConversion"/>
  </si>
  <si>
    <r>
      <rPr>
        <sz val="12"/>
        <color rgb="FF000000"/>
        <rFont val="宋体"/>
        <family val="3"/>
        <charset val="134"/>
      </rPr>
      <t>每月</t>
    </r>
    <r>
      <rPr>
        <sz val="12"/>
        <color rgb="FF000000"/>
        <rFont val="Arial"/>
        <family val="2"/>
      </rPr>
      <t>/</t>
    </r>
    <r>
      <rPr>
        <sz val="12"/>
        <color rgb="FF000000"/>
        <rFont val="宋体"/>
        <family val="3"/>
        <charset val="134"/>
      </rPr>
      <t>年费用</t>
    </r>
  </si>
  <si>
    <r>
      <rPr>
        <sz val="12"/>
        <color rgb="FF000000"/>
        <rFont val="宋体"/>
        <family val="3"/>
        <charset val="134"/>
      </rPr>
      <t>月份</t>
    </r>
    <r>
      <rPr>
        <sz val="12"/>
        <color rgb="FF000000"/>
        <rFont val="Arial"/>
        <family val="2"/>
      </rPr>
      <t>/</t>
    </r>
    <r>
      <rPr>
        <sz val="12"/>
        <color rgb="FF000000"/>
        <rFont val="宋体"/>
        <family val="3"/>
        <charset val="134"/>
      </rPr>
      <t>数量</t>
    </r>
  </si>
  <si>
    <r>
      <rPr>
        <sz val="12"/>
        <color rgb="FF000000"/>
        <rFont val="宋体"/>
        <family val="3"/>
        <charset val="134"/>
      </rPr>
      <t>通讯费</t>
    </r>
  </si>
  <si>
    <r>
      <rPr>
        <sz val="12"/>
        <color rgb="FF000000"/>
        <rFont val="宋体"/>
        <family val="3"/>
        <charset val="134"/>
      </rPr>
      <t>办公水电</t>
    </r>
  </si>
  <si>
    <r>
      <rPr>
        <sz val="12"/>
        <color rgb="FF000000"/>
        <rFont val="宋体"/>
        <family val="3"/>
        <charset val="134"/>
      </rPr>
      <t>办公用品费</t>
    </r>
  </si>
  <si>
    <r>
      <rPr>
        <sz val="12"/>
        <color rgb="FF000000"/>
        <rFont val="宋体"/>
        <family val="3"/>
        <charset val="134"/>
      </rPr>
      <t>办公设备维护费</t>
    </r>
  </si>
  <si>
    <r>
      <rPr>
        <sz val="12"/>
        <color rgb="FF000000"/>
        <rFont val="宋体"/>
        <family val="3"/>
        <charset val="134"/>
      </rPr>
      <t>服装费</t>
    </r>
  </si>
  <si>
    <r>
      <rPr>
        <sz val="12"/>
        <color rgb="FF000000"/>
        <rFont val="宋体"/>
        <family val="3"/>
        <charset val="134"/>
      </rPr>
      <t>节日装点</t>
    </r>
  </si>
  <si>
    <r>
      <rPr>
        <b/>
        <sz val="14"/>
        <color rgb="FF000000"/>
        <rFont val="宋体"/>
        <family val="3"/>
        <charset val="134"/>
      </rPr>
      <t>附表</t>
    </r>
    <r>
      <rPr>
        <b/>
        <sz val="14"/>
        <color rgb="FF000000"/>
        <rFont val="Arial"/>
        <family val="2"/>
      </rPr>
      <t xml:space="preserve">6 </t>
    </r>
    <r>
      <rPr>
        <b/>
        <sz val="14"/>
        <color rgb="FF000000"/>
        <rFont val="宋体"/>
        <family val="3"/>
        <charset val="134"/>
      </rPr>
      <t>办公费</t>
    </r>
    <phoneticPr fontId="5" type="noConversion"/>
  </si>
  <si>
    <r>
      <rPr>
        <sz val="12"/>
        <color rgb="FF000000"/>
        <rFont val="宋体"/>
        <family val="3"/>
        <charset val="134"/>
      </rPr>
      <t>费用</t>
    </r>
  </si>
  <si>
    <r>
      <rPr>
        <sz val="12"/>
        <color rgb="FF000000"/>
        <rFont val="宋体"/>
        <family val="3"/>
        <charset val="134"/>
      </rPr>
      <t>固定资产折旧</t>
    </r>
  </si>
  <si>
    <r>
      <rPr>
        <b/>
        <sz val="14"/>
        <color rgb="FF000000"/>
        <rFont val="宋体"/>
        <family val="3"/>
        <charset val="134"/>
      </rPr>
      <t>附表</t>
    </r>
    <r>
      <rPr>
        <b/>
        <sz val="14"/>
        <color rgb="FF000000"/>
        <rFont val="Arial"/>
        <family val="2"/>
      </rPr>
      <t xml:space="preserve">7 </t>
    </r>
    <r>
      <rPr>
        <b/>
        <sz val="14"/>
        <color rgb="FF000000"/>
        <rFont val="宋体"/>
        <family val="3"/>
        <charset val="134"/>
      </rPr>
      <t>固定资产折旧</t>
    </r>
    <phoneticPr fontId="5" type="noConversion"/>
  </si>
  <si>
    <r>
      <rPr>
        <sz val="12"/>
        <color rgb="FF000000"/>
        <rFont val="宋体"/>
        <family val="3"/>
        <charset val="134"/>
      </rPr>
      <t>按</t>
    </r>
    <r>
      <rPr>
        <sz val="12"/>
        <color rgb="FF000000"/>
        <rFont val="Arial"/>
        <family val="2"/>
      </rPr>
      <t>3</t>
    </r>
    <r>
      <rPr>
        <sz val="12"/>
        <color rgb="FF000000"/>
        <rFont val="宋体"/>
        <family val="3"/>
        <charset val="134"/>
      </rPr>
      <t>年折算</t>
    </r>
  </si>
  <si>
    <r>
      <rPr>
        <sz val="12"/>
        <color rgb="FF000000"/>
        <rFont val="宋体"/>
        <family val="3"/>
        <charset val="134"/>
      </rPr>
      <t>保险种类</t>
    </r>
  </si>
  <si>
    <r>
      <rPr>
        <sz val="12"/>
        <color rgb="FF000000"/>
        <rFont val="宋体"/>
        <family val="3"/>
        <charset val="134"/>
      </rPr>
      <t>年保险额</t>
    </r>
  </si>
  <si>
    <r>
      <rPr>
        <sz val="12"/>
        <color rgb="FF000000"/>
        <rFont val="宋体"/>
        <family val="3"/>
        <charset val="134"/>
      </rPr>
      <t>保险</t>
    </r>
  </si>
  <si>
    <r>
      <rPr>
        <sz val="12"/>
        <color rgb="FF000000"/>
        <rFont val="宋体"/>
        <family val="3"/>
        <charset val="134"/>
      </rPr>
      <t>公共责任险</t>
    </r>
  </si>
  <si>
    <r>
      <rPr>
        <b/>
        <sz val="14"/>
        <color rgb="FF000000"/>
        <rFont val="宋体"/>
        <family val="3"/>
        <charset val="134"/>
      </rPr>
      <t>附表</t>
    </r>
    <r>
      <rPr>
        <b/>
        <sz val="14"/>
        <color rgb="FF000000"/>
        <rFont val="Arial"/>
        <family val="2"/>
      </rPr>
      <t xml:space="preserve">8 </t>
    </r>
    <r>
      <rPr>
        <b/>
        <sz val="14"/>
        <color rgb="FF000000"/>
        <rFont val="宋体"/>
        <family val="3"/>
        <charset val="134"/>
      </rPr>
      <t>物业共用部位、共用设施设备及公众责任保险费用</t>
    </r>
    <phoneticPr fontId="5" type="noConversion"/>
  </si>
  <si>
    <t>公共责任险计算方式</t>
    <phoneticPr fontId="5" type="noConversion"/>
  </si>
  <si>
    <t>实际合计</t>
    <phoneticPr fontId="5" type="noConversion"/>
  </si>
  <si>
    <t>差额</t>
    <phoneticPr fontId="5" type="noConversion"/>
  </si>
  <si>
    <t>面积差额</t>
    <phoneticPr fontId="5" type="noConversion"/>
  </si>
  <si>
    <t>面积差价</t>
    <phoneticPr fontId="5" type="noConversion"/>
  </si>
  <si>
    <t>成本合计</t>
    <phoneticPr fontId="5" type="noConversion"/>
  </si>
  <si>
    <t>绿化面积是否含商业</t>
    <phoneticPr fontId="5" type="noConversion"/>
  </si>
  <si>
    <t>值机员</t>
    <phoneticPr fontId="5" type="noConversion"/>
  </si>
  <si>
    <t>车位个数</t>
    <phoneticPr fontId="5" type="noConversion"/>
  </si>
  <si>
    <t>车位面积</t>
    <phoneticPr fontId="5" type="noConversion"/>
  </si>
  <si>
    <t>巡逻</t>
    <phoneticPr fontId="5" type="noConversion"/>
  </si>
  <si>
    <t>出入口</t>
    <phoneticPr fontId="5" type="noConversion"/>
  </si>
  <si>
    <t>公共照明</t>
    <phoneticPr fontId="5" type="noConversion"/>
  </si>
  <si>
    <t>道闸及门禁</t>
    <phoneticPr fontId="5" type="noConversion"/>
  </si>
  <si>
    <t>地下车库</t>
    <phoneticPr fontId="5" type="noConversion"/>
  </si>
  <si>
    <r>
      <rPr>
        <b/>
        <sz val="16"/>
        <color rgb="FF000000"/>
        <rFont val="Arial"/>
        <family val="3"/>
        <charset val="134"/>
      </rPr>
      <t>昌平天通中苑（</t>
    </r>
    <r>
      <rPr>
        <b/>
        <sz val="16"/>
        <color rgb="FF000000"/>
        <rFont val="Arial"/>
        <family val="2"/>
      </rPr>
      <t>B</t>
    </r>
    <r>
      <rPr>
        <b/>
        <sz val="16"/>
        <color rgb="FF000000"/>
        <rFont val="Arial"/>
        <family val="3"/>
        <charset val="134"/>
      </rPr>
      <t>、</t>
    </r>
    <r>
      <rPr>
        <b/>
        <sz val="16"/>
        <color rgb="FF000000"/>
        <rFont val="Arial"/>
        <family val="2"/>
      </rPr>
      <t>G</t>
    </r>
    <r>
      <rPr>
        <b/>
        <sz val="16"/>
        <color rgb="FF000000"/>
        <rFont val="Arial"/>
        <family val="3"/>
        <charset val="134"/>
      </rPr>
      <t>、</t>
    </r>
    <r>
      <rPr>
        <b/>
        <sz val="16"/>
        <color rgb="FF000000"/>
        <rFont val="Arial"/>
        <family val="2"/>
      </rPr>
      <t>I</t>
    </r>
    <r>
      <rPr>
        <b/>
        <sz val="16"/>
        <color rgb="FF000000"/>
        <rFont val="Arial"/>
        <family val="3"/>
        <charset val="134"/>
      </rPr>
      <t>区）地下车库运营成本测算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</si>
</sst>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0_ "/>
    <numFmt numFmtId="177" formatCode="0.0%"/>
    <numFmt numFmtId="178" formatCode="0.00_ "/>
    <numFmt numFmtId="179" formatCode="#,##0.000000000_ "/>
    <numFmt numFmtId="180" formatCode="#,##0.0_ "/>
    <numFmt numFmtId="181" formatCode="#,##0.000000_ "/>
  </numFmts>
  <fonts count="39">
    <font>
      <sz val="11"/>
      <color theme="1"/>
      <name val="宋体"/>
      <family val="2"/>
      <scheme val="minor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5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1"/>
      <color rgb="FFFF0000"/>
      <name val="宋体"/>
      <family val="2"/>
      <scheme val="minor"/>
    </font>
    <font>
      <sz val="12"/>
      <color rgb="FF000000"/>
      <name val="Arial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color indexed="8"/>
      <name val="楷体"/>
      <family val="3"/>
      <charset val="134"/>
    </font>
    <font>
      <sz val="11"/>
      <color indexed="8"/>
      <name val="楷体"/>
      <family val="3"/>
      <charset val="134"/>
    </font>
    <font>
      <b/>
      <sz val="11"/>
      <color indexed="8"/>
      <name val="楷体"/>
      <family val="3"/>
      <charset val="134"/>
    </font>
    <font>
      <b/>
      <sz val="12"/>
      <color indexed="8"/>
      <name val="楷体"/>
      <family val="3"/>
      <charset val="134"/>
    </font>
    <font>
      <b/>
      <sz val="10"/>
      <color indexed="8"/>
      <name val="楷体"/>
      <family val="3"/>
      <charset val="134"/>
    </font>
    <font>
      <sz val="12"/>
      <color indexed="8"/>
      <name val="楷体"/>
      <family val="3"/>
      <charset val="134"/>
    </font>
    <font>
      <sz val="12"/>
      <name val="楷体"/>
      <family val="3"/>
      <charset val="134"/>
    </font>
    <font>
      <b/>
      <sz val="12"/>
      <name val="楷体"/>
      <family val="3"/>
      <charset val="134"/>
    </font>
    <font>
      <b/>
      <sz val="14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theme="1"/>
      <name val="宋体"/>
      <family val="2"/>
    </font>
    <font>
      <sz val="10.5"/>
      <color rgb="FF00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color rgb="FFC00000"/>
      <name val="宋体"/>
      <family val="3"/>
      <charset val="134"/>
      <scheme val="minor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6"/>
      <color rgb="FF000000"/>
      <name val="Arial"/>
      <family val="3"/>
      <charset val="134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3" fillId="0" borderId="0">
      <alignment vertical="center"/>
    </xf>
  </cellStyleXfs>
  <cellXfs count="268">
    <xf numFmtId="0" fontId="0" fillId="0" borderId="0" xfId="0"/>
    <xf numFmtId="176" fontId="8" fillId="0" borderId="0" xfId="0" applyNumberFormat="1" applyFont="1"/>
    <xf numFmtId="4" fontId="9" fillId="0" borderId="3" xfId="0" applyNumberFormat="1" applyFont="1" applyBorder="1" applyAlignment="1">
      <alignment horizontal="center" vertical="center" wrapText="1"/>
    </xf>
    <xf numFmtId="176" fontId="0" fillId="0" borderId="0" xfId="0" applyNumberFormat="1"/>
    <xf numFmtId="0" fontId="15" fillId="0" borderId="0" xfId="1" applyFont="1" applyFill="1" applyBorder="1">
      <alignment vertical="center"/>
    </xf>
    <xf numFmtId="0" fontId="15" fillId="0" borderId="0" xfId="1" applyFont="1" applyBorder="1">
      <alignment vertical="center"/>
    </xf>
    <xf numFmtId="178" fontId="16" fillId="0" borderId="46" xfId="1" applyNumberFormat="1" applyFont="1" applyFill="1" applyBorder="1" applyAlignment="1">
      <alignment horizontal="center" vertical="center"/>
    </xf>
    <xf numFmtId="178" fontId="16" fillId="0" borderId="46" xfId="1" applyNumberFormat="1" applyFont="1" applyFill="1" applyBorder="1" applyAlignment="1">
      <alignment horizontal="center" vertical="center" wrapText="1"/>
    </xf>
    <xf numFmtId="178" fontId="18" fillId="0" borderId="46" xfId="1" applyNumberFormat="1" applyFont="1" applyFill="1" applyBorder="1" applyAlignment="1">
      <alignment horizontal="center" vertical="center" wrapText="1"/>
    </xf>
    <xf numFmtId="0" fontId="17" fillId="0" borderId="46" xfId="1" applyFont="1" applyFill="1" applyBorder="1" applyAlignment="1">
      <alignment horizontal="center" vertical="center"/>
    </xf>
    <xf numFmtId="0" fontId="19" fillId="0" borderId="46" xfId="1" applyFont="1" applyFill="1" applyBorder="1" applyAlignment="1">
      <alignment horizontal="center" vertical="center"/>
    </xf>
    <xf numFmtId="178" fontId="17" fillId="0" borderId="46" xfId="1" applyNumberFormat="1" applyFont="1" applyFill="1" applyBorder="1" applyAlignment="1">
      <alignment horizontal="center" vertical="center"/>
    </xf>
    <xf numFmtId="178" fontId="19" fillId="0" borderId="46" xfId="1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17" fillId="4" borderId="46" xfId="1" applyFont="1" applyFill="1" applyBorder="1" applyAlignment="1">
      <alignment horizontal="center" vertical="center"/>
    </xf>
    <xf numFmtId="0" fontId="19" fillId="4" borderId="46" xfId="1" applyFont="1" applyFill="1" applyBorder="1" applyAlignment="1">
      <alignment horizontal="center" vertical="center"/>
    </xf>
    <xf numFmtId="178" fontId="17" fillId="4" borderId="46" xfId="1" applyNumberFormat="1" applyFont="1" applyFill="1" applyBorder="1" applyAlignment="1">
      <alignment horizontal="center" vertical="center"/>
    </xf>
    <xf numFmtId="178" fontId="20" fillId="4" borderId="46" xfId="1" applyNumberFormat="1" applyFont="1" applyFill="1" applyBorder="1" applyAlignment="1">
      <alignment horizontal="center" vertical="center"/>
    </xf>
    <xf numFmtId="178" fontId="19" fillId="4" borderId="46" xfId="1" applyNumberFormat="1" applyFont="1" applyFill="1" applyBorder="1" applyAlignment="1">
      <alignment horizontal="center" vertical="center"/>
    </xf>
    <xf numFmtId="178" fontId="20" fillId="0" borderId="46" xfId="1" applyNumberFormat="1" applyFont="1" applyFill="1" applyBorder="1" applyAlignment="1">
      <alignment horizontal="center" vertical="center"/>
    </xf>
    <xf numFmtId="0" fontId="17" fillId="5" borderId="46" xfId="1" applyFont="1" applyFill="1" applyBorder="1" applyAlignment="1">
      <alignment horizontal="center" vertical="center"/>
    </xf>
    <xf numFmtId="0" fontId="19" fillId="5" borderId="46" xfId="1" applyFont="1" applyFill="1" applyBorder="1" applyAlignment="1">
      <alignment horizontal="center" vertical="center"/>
    </xf>
    <xf numFmtId="178" fontId="17" fillId="5" borderId="46" xfId="1" applyNumberFormat="1" applyFont="1" applyFill="1" applyBorder="1" applyAlignment="1">
      <alignment horizontal="center" vertical="center"/>
    </xf>
    <xf numFmtId="178" fontId="19" fillId="5" borderId="46" xfId="1" applyNumberFormat="1" applyFont="1" applyFill="1" applyBorder="1" applyAlignment="1">
      <alignment horizontal="center" vertical="center"/>
    </xf>
    <xf numFmtId="0" fontId="21" fillId="4" borderId="46" xfId="1" applyFont="1" applyFill="1" applyBorder="1" applyAlignment="1">
      <alignment horizontal="center" vertical="center"/>
    </xf>
    <xf numFmtId="0" fontId="21" fillId="0" borderId="46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7" fillId="0" borderId="50" xfId="1" applyFont="1" applyFill="1" applyBorder="1" applyAlignment="1">
      <alignment horizontal="center" vertical="center"/>
    </xf>
    <xf numFmtId="0" fontId="19" fillId="0" borderId="0" xfId="1" applyFont="1" applyBorder="1" applyAlignment="1">
      <alignment vertical="center" wrapText="1"/>
    </xf>
    <xf numFmtId="0" fontId="17" fillId="0" borderId="0" xfId="1" applyFont="1" applyBorder="1" applyAlignment="1">
      <alignment vertical="center" wrapText="1"/>
    </xf>
    <xf numFmtId="178" fontId="19" fillId="0" borderId="0" xfId="1" applyNumberFormat="1" applyFont="1" applyBorder="1" applyAlignment="1">
      <alignment vertical="center" wrapText="1"/>
    </xf>
    <xf numFmtId="178" fontId="19" fillId="0" borderId="0" xfId="1" applyNumberFormat="1" applyFont="1" applyBorder="1" applyAlignment="1">
      <alignment horizontal="center" vertical="center" wrapText="1"/>
    </xf>
    <xf numFmtId="0" fontId="16" fillId="0" borderId="0" xfId="1" applyFont="1" applyBorder="1">
      <alignment vertical="center"/>
    </xf>
    <xf numFmtId="178" fontId="15" fillId="0" borderId="0" xfId="1" applyNumberFormat="1" applyFont="1" applyBorder="1">
      <alignment vertical="center"/>
    </xf>
    <xf numFmtId="0" fontId="23" fillId="0" borderId="0" xfId="0" applyFont="1"/>
    <xf numFmtId="0" fontId="9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" fontId="25" fillId="0" borderId="8" xfId="0" applyNumberFormat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" fontId="9" fillId="0" borderId="8" xfId="0" applyNumberFormat="1" applyFont="1" applyBorder="1" applyAlignment="1">
      <alignment horizontal="center" vertical="center" wrapText="1"/>
    </xf>
    <xf numFmtId="10" fontId="9" fillId="0" borderId="8" xfId="0" applyNumberFormat="1" applyFont="1" applyBorder="1" applyAlignment="1">
      <alignment horizontal="center" vertical="center"/>
    </xf>
    <xf numFmtId="9" fontId="9" fillId="0" borderId="8" xfId="0" applyNumberFormat="1" applyFont="1" applyBorder="1" applyAlignment="1">
      <alignment horizontal="center" vertical="center"/>
    </xf>
    <xf numFmtId="4" fontId="25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25" fillId="0" borderId="8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4" fontId="27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justify" vertical="center"/>
    </xf>
    <xf numFmtId="0" fontId="27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4" fontId="27" fillId="3" borderId="8" xfId="0" applyNumberFormat="1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4" fontId="29" fillId="2" borderId="8" xfId="0" applyNumberFormat="1" applyFont="1" applyFill="1" applyBorder="1" applyAlignment="1">
      <alignment horizontal="center" vertical="center"/>
    </xf>
    <xf numFmtId="10" fontId="9" fillId="0" borderId="8" xfId="0" applyNumberFormat="1" applyFont="1" applyBorder="1" applyAlignment="1">
      <alignment horizontal="justify" vertical="center"/>
    </xf>
    <xf numFmtId="0" fontId="23" fillId="0" borderId="0" xfId="0" applyFont="1" applyAlignment="1">
      <alignment horizontal="left"/>
    </xf>
    <xf numFmtId="0" fontId="23" fillId="3" borderId="0" xfId="0" applyFont="1" applyFill="1" applyAlignment="1">
      <alignment horizontal="left"/>
    </xf>
    <xf numFmtId="9" fontId="23" fillId="3" borderId="0" xfId="0" applyNumberFormat="1" applyFont="1" applyFill="1" applyAlignment="1">
      <alignment horizontal="left"/>
    </xf>
    <xf numFmtId="177" fontId="23" fillId="3" borderId="0" xfId="0" applyNumberFormat="1" applyFont="1" applyFill="1" applyAlignment="1">
      <alignment horizontal="left"/>
    </xf>
    <xf numFmtId="0" fontId="23" fillId="6" borderId="0" xfId="0" applyFont="1" applyFill="1" applyAlignment="1">
      <alignment horizontal="left"/>
    </xf>
    <xf numFmtId="9" fontId="23" fillId="6" borderId="0" xfId="0" applyNumberFormat="1" applyFont="1" applyFill="1" applyAlignment="1">
      <alignment horizontal="left"/>
    </xf>
    <xf numFmtId="177" fontId="23" fillId="6" borderId="0" xfId="0" applyNumberFormat="1" applyFont="1" applyFill="1" applyAlignment="1">
      <alignment horizontal="left"/>
    </xf>
    <xf numFmtId="0" fontId="23" fillId="6" borderId="0" xfId="0" applyFont="1" applyFill="1"/>
    <xf numFmtId="0" fontId="9" fillId="0" borderId="1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vertical="center"/>
    </xf>
    <xf numFmtId="4" fontId="25" fillId="2" borderId="8" xfId="0" applyNumberFormat="1" applyFont="1" applyFill="1" applyBorder="1" applyAlignment="1">
      <alignment horizontal="center" vertical="center"/>
    </xf>
    <xf numFmtId="10" fontId="23" fillId="3" borderId="0" xfId="0" applyNumberFormat="1" applyFont="1" applyFill="1"/>
    <xf numFmtId="0" fontId="32" fillId="0" borderId="8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wrapText="1"/>
    </xf>
    <xf numFmtId="4" fontId="28" fillId="0" borderId="8" xfId="0" applyNumberFormat="1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right" vertical="center"/>
    </xf>
    <xf numFmtId="0" fontId="27" fillId="0" borderId="8" xfId="0" applyFont="1" applyBorder="1" applyAlignment="1">
      <alignment horizontal="right" vertical="center" wrapText="1"/>
    </xf>
    <xf numFmtId="3" fontId="28" fillId="0" borderId="8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justify" vertical="center"/>
    </xf>
    <xf numFmtId="0" fontId="28" fillId="3" borderId="8" xfId="0" applyFont="1" applyFill="1" applyBorder="1" applyAlignment="1">
      <alignment horizontal="center" vertical="center" wrapText="1"/>
    </xf>
    <xf numFmtId="4" fontId="33" fillId="0" borderId="8" xfId="0" applyNumberFormat="1" applyFont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32" fillId="0" borderId="4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23" fillId="3" borderId="0" xfId="0" applyFont="1" applyFill="1"/>
    <xf numFmtId="0" fontId="9" fillId="0" borderId="11" xfId="0" applyFont="1" applyBorder="1" applyAlignment="1">
      <alignment horizontal="center" vertical="center" wrapText="1"/>
    </xf>
    <xf numFmtId="176" fontId="23" fillId="0" borderId="0" xfId="0" applyNumberFormat="1" applyFont="1"/>
    <xf numFmtId="0" fontId="25" fillId="0" borderId="8" xfId="0" applyFont="1" applyBorder="1" applyAlignment="1">
      <alignment horizontal="left" vertical="center" wrapText="1"/>
    </xf>
    <xf numFmtId="4" fontId="0" fillId="0" borderId="0" xfId="0" applyNumberFormat="1"/>
    <xf numFmtId="4" fontId="28" fillId="3" borderId="8" xfId="0" applyNumberFormat="1" applyFont="1" applyFill="1" applyBorder="1" applyAlignment="1">
      <alignment horizontal="center" vertical="center"/>
    </xf>
    <xf numFmtId="0" fontId="34" fillId="0" borderId="0" xfId="0" applyFont="1"/>
    <xf numFmtId="179" fontId="0" fillId="0" borderId="0" xfId="0" applyNumberFormat="1"/>
    <xf numFmtId="0" fontId="9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" fontId="25" fillId="3" borderId="8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 wrapText="1"/>
    </xf>
    <xf numFmtId="4" fontId="35" fillId="0" borderId="8" xfId="0" applyNumberFormat="1" applyFont="1" applyBorder="1" applyAlignment="1">
      <alignment horizontal="center" vertical="center"/>
    </xf>
    <xf numFmtId="180" fontId="0" fillId="0" borderId="0" xfId="0" applyNumberFormat="1"/>
    <xf numFmtId="176" fontId="0" fillId="0" borderId="0" xfId="0" applyNumberFormat="1" applyAlignment="1">
      <alignment horizontal="right"/>
    </xf>
    <xf numFmtId="0" fontId="36" fillId="0" borderId="8" xfId="0" applyFont="1" applyBorder="1" applyAlignment="1">
      <alignment horizontal="center" vertical="center" wrapText="1"/>
    </xf>
    <xf numFmtId="4" fontId="36" fillId="0" borderId="8" xfId="0" applyNumberFormat="1" applyFont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181" fontId="0" fillId="0" borderId="0" xfId="0" applyNumberFormat="1"/>
    <xf numFmtId="0" fontId="25" fillId="0" borderId="52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2" fontId="25" fillId="0" borderId="54" xfId="0" applyNumberFormat="1" applyFont="1" applyBorder="1" applyAlignment="1">
      <alignment horizontal="center" vertical="center"/>
    </xf>
    <xf numFmtId="3" fontId="38" fillId="3" borderId="54" xfId="0" applyNumberFormat="1" applyFont="1" applyFill="1" applyBorder="1" applyAlignment="1">
      <alignment horizontal="center" vertical="center"/>
    </xf>
    <xf numFmtId="0" fontId="19" fillId="0" borderId="45" xfId="1" applyFont="1" applyFill="1" applyBorder="1" applyAlignment="1">
      <alignment horizontal="center" vertical="center" wrapText="1"/>
    </xf>
    <xf numFmtId="0" fontId="19" fillId="0" borderId="46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0" fontId="17" fillId="0" borderId="48" xfId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right" vertical="center" wrapText="1"/>
    </xf>
    <xf numFmtId="0" fontId="19" fillId="0" borderId="45" xfId="1" applyFont="1" applyFill="1" applyBorder="1" applyAlignment="1">
      <alignment horizontal="center" vertical="center"/>
    </xf>
    <xf numFmtId="0" fontId="19" fillId="0" borderId="43" xfId="1" applyFont="1" applyFill="1" applyBorder="1" applyAlignment="1">
      <alignment horizontal="center" vertical="center"/>
    </xf>
    <xf numFmtId="0" fontId="19" fillId="0" borderId="44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178" fontId="16" fillId="0" borderId="39" xfId="1" applyNumberFormat="1" applyFont="1" applyFill="1" applyBorder="1" applyAlignment="1">
      <alignment horizontal="center" vertical="center"/>
    </xf>
    <xf numFmtId="178" fontId="16" fillId="0" borderId="38" xfId="1" applyNumberFormat="1" applyFont="1" applyFill="1" applyBorder="1" applyAlignment="1">
      <alignment horizontal="center" vertical="center"/>
    </xf>
    <xf numFmtId="178" fontId="16" fillId="0" borderId="40" xfId="1" applyNumberFormat="1" applyFont="1" applyFill="1" applyBorder="1" applyAlignment="1">
      <alignment horizontal="center" vertical="center"/>
    </xf>
    <xf numFmtId="178" fontId="16" fillId="0" borderId="41" xfId="1" applyNumberFormat="1" applyFont="1" applyFill="1" applyBorder="1" applyAlignment="1">
      <alignment horizontal="center" vertical="center"/>
    </xf>
    <xf numFmtId="178" fontId="16" fillId="0" borderId="42" xfId="1" applyNumberFormat="1" applyFont="1" applyFill="1" applyBorder="1" applyAlignment="1">
      <alignment horizontal="center" vertical="center"/>
    </xf>
    <xf numFmtId="178" fontId="16" fillId="0" borderId="43" xfId="1" applyNumberFormat="1" applyFont="1" applyFill="1" applyBorder="1" applyAlignment="1">
      <alignment horizontal="center" vertical="center"/>
    </xf>
    <xf numFmtId="178" fontId="16" fillId="0" borderId="44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horizontal="center" vertical="center"/>
    </xf>
    <xf numFmtId="0" fontId="16" fillId="0" borderId="37" xfId="1" applyFont="1" applyFill="1" applyBorder="1" applyAlignment="1">
      <alignment horizontal="center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33" xfId="1" applyFont="1" applyFill="1" applyBorder="1" applyAlignment="1">
      <alignment horizontal="center" vertical="center"/>
    </xf>
    <xf numFmtId="0" fontId="16" fillId="0" borderId="38" xfId="1" applyFont="1" applyFill="1" applyBorder="1" applyAlignment="1">
      <alignment horizontal="center" vertical="center"/>
    </xf>
    <xf numFmtId="0" fontId="16" fillId="0" borderId="46" xfId="1" applyFont="1" applyFill="1" applyBorder="1" applyAlignment="1">
      <alignment horizontal="center" vertical="center"/>
    </xf>
    <xf numFmtId="0" fontId="16" fillId="0" borderId="33" xfId="1" applyFont="1" applyFill="1" applyBorder="1" applyAlignment="1">
      <alignment horizontal="center" vertical="center" wrapText="1"/>
    </xf>
    <xf numFmtId="0" fontId="16" fillId="0" borderId="38" xfId="1" applyFont="1" applyFill="1" applyBorder="1" applyAlignment="1">
      <alignment horizontal="center" vertical="center" wrapText="1"/>
    </xf>
    <xf numFmtId="0" fontId="16" fillId="0" borderId="46" xfId="1" applyFont="1" applyFill="1" applyBorder="1" applyAlignment="1">
      <alignment horizontal="center" vertical="center" wrapText="1"/>
    </xf>
    <xf numFmtId="178" fontId="17" fillId="0" borderId="34" xfId="1" applyNumberFormat="1" applyFont="1" applyFill="1" applyBorder="1" applyAlignment="1">
      <alignment horizontal="center" vertical="center"/>
    </xf>
    <xf numFmtId="178" fontId="17" fillId="0" borderId="35" xfId="1" applyNumberFormat="1" applyFont="1" applyFill="1" applyBorder="1" applyAlignment="1">
      <alignment horizontal="center" vertical="center"/>
    </xf>
    <xf numFmtId="178" fontId="17" fillId="0" borderId="36" xfId="1" applyNumberFormat="1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5" fillId="0" borderId="53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 indent="3"/>
    </xf>
    <xf numFmtId="0" fontId="25" fillId="0" borderId="7" xfId="0" applyFont="1" applyBorder="1" applyAlignment="1">
      <alignment horizontal="left" vertical="center" wrapText="1" indent="3"/>
    </xf>
    <xf numFmtId="0" fontId="25" fillId="0" borderId="8" xfId="0" applyFont="1" applyBorder="1" applyAlignment="1">
      <alignment horizontal="left" vertical="center" wrapText="1" indent="3"/>
    </xf>
    <xf numFmtId="0" fontId="25" fillId="0" borderId="13" xfId="0" applyFont="1" applyBorder="1" applyAlignment="1">
      <alignment horizontal="justify" vertical="center"/>
    </xf>
    <xf numFmtId="0" fontId="25" fillId="0" borderId="14" xfId="0" applyFont="1" applyBorder="1" applyAlignment="1">
      <alignment horizontal="justify" vertical="center"/>
    </xf>
    <xf numFmtId="0" fontId="25" fillId="0" borderId="4" xfId="0" applyFont="1" applyBorder="1" applyAlignment="1">
      <alignment horizontal="justify" vertical="center"/>
    </xf>
    <xf numFmtId="0" fontId="25" fillId="0" borderId="12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justify" vertical="center"/>
    </xf>
    <xf numFmtId="0" fontId="25" fillId="2" borderId="1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" fontId="32" fillId="0" borderId="2" xfId="0" applyNumberFormat="1" applyFont="1" applyBorder="1" applyAlignment="1">
      <alignment horizontal="center" vertical="center" wrapText="1"/>
    </xf>
    <xf numFmtId="4" fontId="32" fillId="0" borderId="11" xfId="0" applyNumberFormat="1" applyFont="1" applyBorder="1" applyAlignment="1">
      <alignment horizontal="center" vertical="center" wrapText="1"/>
    </xf>
    <xf numFmtId="4" fontId="32" fillId="0" borderId="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4" fontId="25" fillId="0" borderId="13" xfId="0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justify" vertical="center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1" fontId="32" fillId="0" borderId="13" xfId="0" applyNumberFormat="1" applyFont="1" applyBorder="1" applyAlignment="1">
      <alignment horizontal="center" vertical="center" wrapText="1"/>
    </xf>
    <xf numFmtId="1" fontId="32" fillId="0" borderId="4" xfId="0" applyNumberFormat="1" applyFont="1" applyBorder="1" applyAlignment="1">
      <alignment horizontal="center" vertical="center" wrapText="1"/>
    </xf>
    <xf numFmtId="2" fontId="32" fillId="0" borderId="13" xfId="0" applyNumberFormat="1" applyFont="1" applyBorder="1" applyAlignment="1">
      <alignment horizontal="center" vertical="center" wrapText="1"/>
    </xf>
    <xf numFmtId="2" fontId="32" fillId="0" borderId="4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B4"/>
  <sheetViews>
    <sheetView workbookViewId="0">
      <selection activeCell="F18" sqref="F18"/>
    </sheetView>
  </sheetViews>
  <sheetFormatPr defaultColWidth="8.875" defaultRowHeight="13.5"/>
  <sheetData>
    <row r="1" spans="1:2">
      <c r="B1" t="s">
        <v>83</v>
      </c>
    </row>
    <row r="2" spans="1:2">
      <c r="A2">
        <v>1</v>
      </c>
      <c r="B2" t="s">
        <v>84</v>
      </c>
    </row>
    <row r="3" spans="1:2">
      <c r="A3">
        <v>2</v>
      </c>
      <c r="B3" t="s">
        <v>85</v>
      </c>
    </row>
    <row r="4" spans="1:2">
      <c r="A4">
        <v>3</v>
      </c>
      <c r="B4" t="s">
        <v>285</v>
      </c>
    </row>
  </sheetData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selection activeCell="C4" sqref="C4"/>
    </sheetView>
  </sheetViews>
  <sheetFormatPr defaultColWidth="9" defaultRowHeight="14.25"/>
  <cols>
    <col min="1" max="4" width="9" style="35"/>
    <col min="5" max="6" width="16.125" style="35" customWidth="1"/>
    <col min="7" max="7" width="17.625" style="35" customWidth="1"/>
    <col min="8" max="8" width="18" style="35" customWidth="1"/>
    <col min="9" max="9" width="32.125" style="35" customWidth="1"/>
    <col min="10" max="16384" width="9" style="35"/>
  </cols>
  <sheetData>
    <row r="1" spans="1:9" ht="19.5" thickBot="1">
      <c r="A1" s="217" t="s">
        <v>245</v>
      </c>
      <c r="B1" s="217"/>
      <c r="C1" s="217"/>
      <c r="D1" s="217"/>
      <c r="E1" s="217"/>
      <c r="F1" s="217"/>
      <c r="G1" s="217"/>
      <c r="H1" s="217"/>
      <c r="I1" s="217"/>
    </row>
    <row r="2" spans="1:9" ht="30" thickBot="1">
      <c r="A2" s="101" t="s">
        <v>178</v>
      </c>
      <c r="B2" s="95" t="s">
        <v>179</v>
      </c>
      <c r="C2" s="102" t="s">
        <v>142</v>
      </c>
      <c r="D2" s="102" t="s">
        <v>143</v>
      </c>
      <c r="E2" s="102" t="s">
        <v>144</v>
      </c>
      <c r="F2" s="95" t="s">
        <v>145</v>
      </c>
      <c r="G2" s="95" t="s">
        <v>246</v>
      </c>
      <c r="H2" s="95" t="s">
        <v>146</v>
      </c>
      <c r="I2" s="95" t="s">
        <v>147</v>
      </c>
    </row>
    <row r="3" spans="1:9" ht="27" customHeight="1" thickBot="1">
      <c r="A3" s="103"/>
      <c r="B3" s="104" t="s">
        <v>243</v>
      </c>
      <c r="C3" s="105">
        <v>1</v>
      </c>
      <c r="D3" s="106">
        <v>4000</v>
      </c>
      <c r="E3" s="107">
        <f>C3*D3</f>
        <v>4000</v>
      </c>
      <c r="F3" s="80">
        <f>E3*12</f>
        <v>48000</v>
      </c>
      <c r="G3" s="80">
        <f>(D3*(B12+C12)+D11*D12+E11*(E12+F12))*12*C3</f>
        <v>15548.652</v>
      </c>
      <c r="H3" s="80">
        <f>F3+G3</f>
        <v>63548.652000000002</v>
      </c>
      <c r="I3" s="44"/>
    </row>
    <row r="4" spans="1:9" ht="27" customHeight="1" thickBot="1">
      <c r="A4" s="108"/>
      <c r="B4" s="109" t="s">
        <v>244</v>
      </c>
      <c r="C4" s="55">
        <v>10</v>
      </c>
      <c r="D4" s="106">
        <v>3300</v>
      </c>
      <c r="E4" s="107">
        <f>C4*D4</f>
        <v>33000</v>
      </c>
      <c r="F4" s="80">
        <f>E4*12</f>
        <v>396000</v>
      </c>
      <c r="G4" s="80">
        <f>(B11*(B12+C12)+D11*D12+E11*(E12+F12))*12*C4</f>
        <v>147684.60000000003</v>
      </c>
      <c r="H4" s="80">
        <f>F4+G4</f>
        <v>543684.60000000009</v>
      </c>
      <c r="I4" s="44"/>
    </row>
    <row r="5" spans="1:9" ht="27" customHeight="1" thickBot="1">
      <c r="A5" s="250" t="s">
        <v>163</v>
      </c>
      <c r="B5" s="251"/>
      <c r="C5" s="66">
        <f>C3+C4</f>
        <v>11</v>
      </c>
      <c r="D5" s="66"/>
      <c r="E5" s="66"/>
      <c r="F5" s="66"/>
      <c r="G5" s="66"/>
      <c r="H5" s="81">
        <f>SUM(H3:H4)</f>
        <v>607233.25200000009</v>
      </c>
      <c r="I5" s="58"/>
    </row>
    <row r="6" spans="1:9" ht="15.75" thickBot="1">
      <c r="A6" s="183"/>
      <c r="B6" s="209"/>
      <c r="C6" s="209"/>
      <c r="D6" s="209"/>
      <c r="E6" s="209"/>
      <c r="F6" s="209"/>
      <c r="G6" s="209"/>
      <c r="H6" s="184"/>
      <c r="I6" s="69">
        <v>0.28100000000000003</v>
      </c>
    </row>
    <row r="9" spans="1:9">
      <c r="A9" s="70" t="s">
        <v>167</v>
      </c>
      <c r="B9" s="70"/>
      <c r="C9" s="70"/>
      <c r="D9" s="70"/>
      <c r="E9" s="70"/>
    </row>
    <row r="10" spans="1:9">
      <c r="A10" s="70" t="s">
        <v>168</v>
      </c>
      <c r="B10" s="70" t="s">
        <v>169</v>
      </c>
      <c r="C10" s="70" t="s">
        <v>170</v>
      </c>
      <c r="D10" s="70" t="s">
        <v>171</v>
      </c>
      <c r="E10" s="70" t="s">
        <v>172</v>
      </c>
      <c r="F10" s="70" t="s">
        <v>173</v>
      </c>
    </row>
    <row r="11" spans="1:9">
      <c r="A11" s="70" t="s">
        <v>175</v>
      </c>
      <c r="B11" s="70">
        <v>3613</v>
      </c>
      <c r="C11" s="70">
        <v>3613</v>
      </c>
      <c r="D11" s="70">
        <v>4713</v>
      </c>
      <c r="E11" s="70">
        <v>5557</v>
      </c>
      <c r="F11" s="70">
        <f>E11</f>
        <v>5557</v>
      </c>
    </row>
    <row r="12" spans="1:9" s="110" customFormat="1">
      <c r="A12" s="71" t="s">
        <v>176</v>
      </c>
      <c r="B12" s="72">
        <v>0.16</v>
      </c>
      <c r="C12" s="73">
        <v>8.0000000000000002E-3</v>
      </c>
      <c r="D12" s="73">
        <v>5.0000000000000001E-3</v>
      </c>
      <c r="E12" s="73">
        <v>8.0000000000000002E-3</v>
      </c>
      <c r="F12" s="72">
        <v>0.1</v>
      </c>
      <c r="G12" s="73"/>
    </row>
    <row r="13" spans="1:9">
      <c r="A13" s="74" t="s">
        <v>177</v>
      </c>
      <c r="B13" s="75">
        <v>0.2</v>
      </c>
      <c r="C13" s="76">
        <v>0.01</v>
      </c>
      <c r="D13" s="74" t="s">
        <v>2</v>
      </c>
      <c r="E13" s="76">
        <v>8.0000000000000002E-3</v>
      </c>
      <c r="F13" s="75">
        <v>0.1</v>
      </c>
      <c r="G13" s="110"/>
    </row>
  </sheetData>
  <mergeCells count="3">
    <mergeCell ref="A1:I1"/>
    <mergeCell ref="A5:B5"/>
    <mergeCell ref="A6:H6"/>
  </mergeCells>
  <phoneticPr fontId="5" type="noConversion"/>
  <pageMargins left="0.7" right="0.7" top="0.75" bottom="0.75" header="0.3" footer="0.3"/>
  <pageSetup paperSize="9"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9" sqref="A9:C9"/>
    </sheetView>
  </sheetViews>
  <sheetFormatPr defaultColWidth="9" defaultRowHeight="14.25"/>
  <cols>
    <col min="1" max="1" width="9" style="35"/>
    <col min="2" max="2" width="16.875" style="35" customWidth="1"/>
    <col min="3" max="3" width="21.125" style="35" customWidth="1"/>
    <col min="4" max="4" width="17.375" style="35" customWidth="1"/>
    <col min="5" max="5" width="27" style="35" customWidth="1"/>
    <col min="6" max="16384" width="9" style="35"/>
  </cols>
  <sheetData>
    <row r="1" spans="1:5" ht="18.75" thickBot="1">
      <c r="A1" s="253" t="s">
        <v>256</v>
      </c>
      <c r="B1" s="253"/>
      <c r="C1" s="253"/>
      <c r="D1" s="253"/>
      <c r="E1" s="253"/>
    </row>
    <row r="2" spans="1:5" ht="15" thickBot="1">
      <c r="A2" s="218" t="s">
        <v>86</v>
      </c>
      <c r="B2" s="218" t="s">
        <v>247</v>
      </c>
      <c r="C2" s="36" t="s">
        <v>248</v>
      </c>
      <c r="D2" s="218" t="s">
        <v>237</v>
      </c>
      <c r="E2" s="218" t="s">
        <v>147</v>
      </c>
    </row>
    <row r="3" spans="1:5" ht="15.75" thickBot="1">
      <c r="A3" s="220"/>
      <c r="B3" s="220"/>
      <c r="C3" s="36" t="s">
        <v>257</v>
      </c>
      <c r="D3" s="220"/>
      <c r="E3" s="220"/>
    </row>
    <row r="4" spans="1:5" ht="15" customHeight="1" thickBot="1">
      <c r="A4" s="218" t="s">
        <v>249</v>
      </c>
      <c r="B4" s="218">
        <f>汇总表!D17*30%*0</f>
        <v>0</v>
      </c>
      <c r="C4" s="218">
        <v>9</v>
      </c>
      <c r="D4" s="254">
        <f>B4*C4</f>
        <v>0</v>
      </c>
      <c r="E4" s="99" t="s">
        <v>250</v>
      </c>
    </row>
    <row r="5" spans="1:5" ht="15.75" thickBot="1">
      <c r="A5" s="219"/>
      <c r="B5" s="219"/>
      <c r="C5" s="219"/>
      <c r="D5" s="255"/>
      <c r="E5" s="100" t="s">
        <v>251</v>
      </c>
    </row>
    <row r="6" spans="1:5" ht="15.75" thickBot="1">
      <c r="A6" s="219"/>
      <c r="B6" s="219"/>
      <c r="C6" s="219"/>
      <c r="D6" s="255"/>
      <c r="E6" s="100" t="s">
        <v>252</v>
      </c>
    </row>
    <row r="7" spans="1:5" ht="15.75" thickBot="1">
      <c r="A7" s="219"/>
      <c r="B7" s="219"/>
      <c r="C7" s="219"/>
      <c r="D7" s="255"/>
      <c r="E7" s="100" t="s">
        <v>253</v>
      </c>
    </row>
    <row r="8" spans="1:5" ht="33" customHeight="1" thickBot="1">
      <c r="A8" s="220"/>
      <c r="B8" s="220"/>
      <c r="C8" s="220"/>
      <c r="D8" s="256"/>
      <c r="E8" s="100" t="s">
        <v>254</v>
      </c>
    </row>
    <row r="9" spans="1:5" ht="56.25" customHeight="1" thickBot="1">
      <c r="A9" s="252">
        <f>D4</f>
        <v>0</v>
      </c>
      <c r="B9" s="248"/>
      <c r="C9" s="249"/>
      <c r="D9" s="41">
        <f>D4</f>
        <v>0</v>
      </c>
      <c r="E9" s="43" t="s">
        <v>255</v>
      </c>
    </row>
  </sheetData>
  <mergeCells count="10">
    <mergeCell ref="A9:C9"/>
    <mergeCell ref="A1:E1"/>
    <mergeCell ref="A2:A3"/>
    <mergeCell ref="B2:B3"/>
    <mergeCell ref="D2:D3"/>
    <mergeCell ref="E2:E3"/>
    <mergeCell ref="A4:A8"/>
    <mergeCell ref="B4:B8"/>
    <mergeCell ref="C4:C8"/>
    <mergeCell ref="D4:D8"/>
  </mergeCells>
  <phoneticPr fontId="5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C6" sqref="C6"/>
    </sheetView>
  </sheetViews>
  <sheetFormatPr defaultColWidth="9" defaultRowHeight="14.25"/>
  <cols>
    <col min="1" max="1" width="9" style="35"/>
    <col min="2" max="2" width="12.875" style="35" customWidth="1"/>
    <col min="3" max="3" width="9" style="35"/>
    <col min="4" max="4" width="11.875" style="35" customWidth="1"/>
    <col min="5" max="5" width="13.5" style="35" customWidth="1"/>
    <col min="6" max="6" width="17" style="35" customWidth="1"/>
    <col min="7" max="7" width="13.5" style="35" customWidth="1"/>
    <col min="8" max="8" width="17.625" style="35" customWidth="1"/>
    <col min="9" max="9" width="27.125" style="35" customWidth="1"/>
    <col min="10" max="16384" width="9" style="35"/>
  </cols>
  <sheetData>
    <row r="1" spans="1:9" ht="19.5" thickBot="1">
      <c r="A1" s="217" t="s">
        <v>259</v>
      </c>
      <c r="B1" s="217"/>
      <c r="C1" s="217"/>
      <c r="D1" s="217"/>
      <c r="E1" s="217"/>
      <c r="F1" s="217"/>
      <c r="G1" s="217"/>
      <c r="H1" s="217"/>
      <c r="I1" s="217"/>
    </row>
    <row r="2" spans="1:9" ht="30" thickBot="1">
      <c r="A2" s="79" t="s">
        <v>178</v>
      </c>
      <c r="B2" s="95" t="s">
        <v>179</v>
      </c>
      <c r="C2" s="95" t="s">
        <v>142</v>
      </c>
      <c r="D2" s="95" t="s">
        <v>143</v>
      </c>
      <c r="E2" s="95" t="s">
        <v>144</v>
      </c>
      <c r="F2" s="95" t="s">
        <v>145</v>
      </c>
      <c r="G2" s="95" t="s">
        <v>246</v>
      </c>
      <c r="H2" s="95" t="s">
        <v>146</v>
      </c>
      <c r="I2" s="95" t="s">
        <v>147</v>
      </c>
    </row>
    <row r="3" spans="1:9" ht="15.75" thickBot="1">
      <c r="A3" s="218"/>
      <c r="B3" s="95" t="s">
        <v>258</v>
      </c>
      <c r="C3" s="36">
        <v>1</v>
      </c>
      <c r="D3" s="80">
        <v>3800</v>
      </c>
      <c r="E3" s="80">
        <f>D3*C3</f>
        <v>3800</v>
      </c>
      <c r="F3" s="80">
        <f>E3*12</f>
        <v>45600</v>
      </c>
      <c r="G3" s="80">
        <f>(D3*(B14+C14)+D13*D14+E13*(E14+F14))*12*C3</f>
        <v>15145.452000000001</v>
      </c>
      <c r="H3" s="80">
        <f>F3+G3</f>
        <v>60745.452000000005</v>
      </c>
      <c r="I3" s="36"/>
    </row>
    <row r="4" spans="1:9" ht="15.75" thickBot="1">
      <c r="A4" s="219"/>
      <c r="B4" s="95" t="s">
        <v>295</v>
      </c>
      <c r="C4" s="40">
        <v>8</v>
      </c>
      <c r="D4" s="80">
        <v>3520</v>
      </c>
      <c r="E4" s="80">
        <f t="shared" ref="E4:E6" si="0">D4*C4</f>
        <v>28160</v>
      </c>
      <c r="F4" s="80">
        <f t="shared" ref="F4:F6" si="1">E4*12</f>
        <v>337920</v>
      </c>
      <c r="G4" s="80">
        <f>(B13*(B14+C14)+D13*D14+E13*(E14+F14))*12*C4</f>
        <v>118147.68000000002</v>
      </c>
      <c r="H4" s="80">
        <f t="shared" ref="H4:H5" si="2">F4+G4</f>
        <v>456067.68000000005</v>
      </c>
      <c r="I4" s="44"/>
    </row>
    <row r="5" spans="1:9" ht="15.75" thickBot="1">
      <c r="A5" s="219"/>
      <c r="B5" s="119" t="s">
        <v>292</v>
      </c>
      <c r="C5" s="118">
        <v>0</v>
      </c>
      <c r="D5" s="80">
        <v>3520</v>
      </c>
      <c r="E5" s="80">
        <f t="shared" si="0"/>
        <v>0</v>
      </c>
      <c r="F5" s="80">
        <f t="shared" si="1"/>
        <v>0</v>
      </c>
      <c r="G5" s="80">
        <f>(B13*(B14+C14)+D13*D14+E13*(E14+F14))*12*C5</f>
        <v>0</v>
      </c>
      <c r="H5" s="80">
        <f t="shared" si="2"/>
        <v>0</v>
      </c>
      <c r="I5" s="44"/>
    </row>
    <row r="6" spans="1:9" ht="15.75" thickBot="1">
      <c r="A6" s="220"/>
      <c r="B6" s="119" t="s">
        <v>296</v>
      </c>
      <c r="C6" s="36">
        <v>30</v>
      </c>
      <c r="D6" s="80">
        <v>3520</v>
      </c>
      <c r="E6" s="80">
        <f t="shared" si="0"/>
        <v>105600</v>
      </c>
      <c r="F6" s="80">
        <f t="shared" si="1"/>
        <v>1267200</v>
      </c>
      <c r="G6" s="80">
        <f>(B13*(B14+C14)+D13*D14+E13*(E14+F14))*12*C6</f>
        <v>443053.8000000001</v>
      </c>
      <c r="H6" s="80">
        <f>F6+G6</f>
        <v>1710253.8</v>
      </c>
      <c r="I6" s="100"/>
    </row>
    <row r="7" spans="1:9" ht="16.5" thickBot="1">
      <c r="A7" s="257" t="s">
        <v>163</v>
      </c>
      <c r="B7" s="258"/>
      <c r="C7" s="132">
        <f>SUM(C3:C6)</f>
        <v>39</v>
      </c>
      <c r="D7" s="132"/>
      <c r="E7" s="132"/>
      <c r="F7" s="132"/>
      <c r="G7" s="132"/>
      <c r="H7" s="120">
        <f>SUM(H3:H6)</f>
        <v>2227066.932</v>
      </c>
      <c r="I7" s="58"/>
    </row>
    <row r="8" spans="1:9" ht="15.75" thickBot="1">
      <c r="A8" s="183"/>
      <c r="B8" s="209"/>
      <c r="C8" s="209"/>
      <c r="D8" s="209"/>
      <c r="E8" s="209"/>
      <c r="F8" s="209"/>
      <c r="G8" s="209"/>
      <c r="H8" s="184"/>
      <c r="I8" s="69">
        <v>0.28100000000000003</v>
      </c>
    </row>
    <row r="11" spans="1:9">
      <c r="A11" s="70" t="s">
        <v>167</v>
      </c>
      <c r="B11" s="70"/>
      <c r="C11" s="70"/>
      <c r="D11" s="70"/>
      <c r="E11" s="70"/>
    </row>
    <row r="12" spans="1:9">
      <c r="A12" s="70" t="s">
        <v>168</v>
      </c>
      <c r="B12" s="70" t="s">
        <v>169</v>
      </c>
      <c r="C12" s="70" t="s">
        <v>170</v>
      </c>
      <c r="D12" s="70" t="s">
        <v>171</v>
      </c>
      <c r="E12" s="70" t="s">
        <v>172</v>
      </c>
      <c r="F12" s="70" t="s">
        <v>173</v>
      </c>
    </row>
    <row r="13" spans="1:9">
      <c r="A13" s="70" t="s">
        <v>175</v>
      </c>
      <c r="B13" s="70">
        <v>3613</v>
      </c>
      <c r="C13" s="70">
        <v>3613</v>
      </c>
      <c r="D13" s="70">
        <v>4713</v>
      </c>
      <c r="E13" s="70">
        <v>5557</v>
      </c>
      <c r="F13" s="70">
        <f>E13</f>
        <v>5557</v>
      </c>
    </row>
    <row r="14" spans="1:9">
      <c r="A14" s="71" t="s">
        <v>176</v>
      </c>
      <c r="B14" s="72">
        <v>0.16</v>
      </c>
      <c r="C14" s="73">
        <v>8.0000000000000002E-3</v>
      </c>
      <c r="D14" s="73">
        <v>5.0000000000000001E-3</v>
      </c>
      <c r="E14" s="73">
        <v>8.0000000000000002E-3</v>
      </c>
      <c r="F14" s="72">
        <v>0.1</v>
      </c>
    </row>
    <row r="15" spans="1:9">
      <c r="A15" s="74" t="s">
        <v>177</v>
      </c>
      <c r="B15" s="75">
        <v>0.2</v>
      </c>
      <c r="C15" s="76">
        <v>0.01</v>
      </c>
      <c r="D15" s="74" t="s">
        <v>2</v>
      </c>
      <c r="E15" s="76">
        <v>8.0000000000000002E-3</v>
      </c>
      <c r="F15" s="75">
        <v>0.1</v>
      </c>
      <c r="H15" s="112"/>
    </row>
  </sheetData>
  <mergeCells count="4">
    <mergeCell ref="A1:I1"/>
    <mergeCell ref="A7:B7"/>
    <mergeCell ref="A8:H8"/>
    <mergeCell ref="A3:A6"/>
  </mergeCells>
  <phoneticPr fontId="5" type="noConversion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8" sqref="A8:C8"/>
    </sheetView>
  </sheetViews>
  <sheetFormatPr defaultColWidth="9" defaultRowHeight="14.25"/>
  <cols>
    <col min="1" max="4" width="16.125" style="35" customWidth="1"/>
    <col min="5" max="16384" width="9" style="35"/>
  </cols>
  <sheetData>
    <row r="1" spans="1:4" ht="19.5" thickBot="1">
      <c r="A1" s="217" t="s">
        <v>266</v>
      </c>
      <c r="B1" s="217"/>
      <c r="C1" s="217"/>
      <c r="D1" s="217"/>
    </row>
    <row r="2" spans="1:4" ht="15.75" thickBot="1">
      <c r="A2" s="40" t="s">
        <v>86</v>
      </c>
      <c r="B2" s="36" t="s">
        <v>267</v>
      </c>
      <c r="C2" s="36" t="s">
        <v>268</v>
      </c>
      <c r="D2" s="36" t="s">
        <v>230</v>
      </c>
    </row>
    <row r="3" spans="1:4" ht="15.75" thickBot="1">
      <c r="A3" s="40" t="s">
        <v>260</v>
      </c>
      <c r="B3" s="36">
        <v>100</v>
      </c>
      <c r="C3" s="36">
        <v>19</v>
      </c>
      <c r="D3" s="45">
        <f>B3*C3</f>
        <v>1900</v>
      </c>
    </row>
    <row r="4" spans="1:4" ht="15.75" thickBot="1">
      <c r="A4" s="40" t="s">
        <v>261</v>
      </c>
      <c r="B4" s="36">
        <v>500</v>
      </c>
      <c r="C4" s="36">
        <v>12</v>
      </c>
      <c r="D4" s="45">
        <f>B4*C4</f>
        <v>6000</v>
      </c>
    </row>
    <row r="5" spans="1:4" ht="15.75" thickBot="1">
      <c r="A5" s="40"/>
      <c r="B5" s="36" t="s">
        <v>262</v>
      </c>
      <c r="C5" s="36" t="s">
        <v>263</v>
      </c>
      <c r="D5" s="36" t="s">
        <v>230</v>
      </c>
    </row>
    <row r="6" spans="1:4" ht="15.75" thickBot="1">
      <c r="A6" s="40" t="s">
        <v>264</v>
      </c>
      <c r="B6" s="36">
        <v>300</v>
      </c>
      <c r="C6" s="36">
        <v>2</v>
      </c>
      <c r="D6" s="45">
        <f>B6*C6</f>
        <v>600</v>
      </c>
    </row>
    <row r="7" spans="1:4" ht="15.75" thickBot="1">
      <c r="A7" s="40" t="s">
        <v>265</v>
      </c>
      <c r="B7" s="36">
        <v>1500</v>
      </c>
      <c r="C7" s="36">
        <v>1</v>
      </c>
      <c r="D7" s="45">
        <f>B7*C7</f>
        <v>1500</v>
      </c>
    </row>
    <row r="8" spans="1:4" ht="16.5" thickBot="1">
      <c r="A8" s="247" t="s">
        <v>101</v>
      </c>
      <c r="B8" s="248"/>
      <c r="C8" s="249"/>
      <c r="D8" s="41">
        <f>D3+D4+D6+D7</f>
        <v>10000</v>
      </c>
    </row>
  </sheetData>
  <mergeCells count="2">
    <mergeCell ref="A1:D1"/>
    <mergeCell ref="A8:C8"/>
  </mergeCells>
  <phoneticPr fontId="5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5" sqref="B5"/>
    </sheetView>
  </sheetViews>
  <sheetFormatPr defaultColWidth="8.875" defaultRowHeight="13.5"/>
  <cols>
    <col min="1" max="4" width="12.125" customWidth="1"/>
    <col min="5" max="5" width="17.125" customWidth="1"/>
  </cols>
  <sheetData>
    <row r="1" spans="1:5" ht="19.5" thickBot="1">
      <c r="A1" s="217" t="s">
        <v>275</v>
      </c>
      <c r="B1" s="217"/>
      <c r="C1" s="217"/>
      <c r="D1" s="217"/>
      <c r="E1" s="217"/>
    </row>
    <row r="2" spans="1:5" ht="15.75" thickBot="1">
      <c r="A2" s="259" t="s">
        <v>86</v>
      </c>
      <c r="B2" s="261" t="s">
        <v>187</v>
      </c>
      <c r="C2" s="262"/>
      <c r="D2" s="263"/>
      <c r="E2" s="36" t="s">
        <v>230</v>
      </c>
    </row>
    <row r="3" spans="1:5" ht="15.75" thickBot="1">
      <c r="A3" s="260"/>
      <c r="B3" s="36" t="s">
        <v>87</v>
      </c>
      <c r="C3" s="36" t="s">
        <v>190</v>
      </c>
      <c r="D3" s="36" t="s">
        <v>189</v>
      </c>
      <c r="E3" s="36"/>
    </row>
    <row r="4" spans="1:5" ht="15.75" thickBot="1">
      <c r="A4" s="111" t="s">
        <v>269</v>
      </c>
      <c r="B4" s="36">
        <v>1</v>
      </c>
      <c r="C4" s="36">
        <v>350</v>
      </c>
      <c r="D4" s="36">
        <v>12</v>
      </c>
      <c r="E4" s="45">
        <f>B4*C4*D4</f>
        <v>4200</v>
      </c>
    </row>
    <row r="5" spans="1:5" ht="15.75" thickBot="1">
      <c r="A5" s="79" t="s">
        <v>270</v>
      </c>
      <c r="B5" s="36">
        <f>'5秩序维护人员工资 '!C7+'3-1环境人员工资'!C5+'2工程人员工资'!C5+'1员工工资'!C13</f>
        <v>55</v>
      </c>
      <c r="C5" s="84">
        <v>10</v>
      </c>
      <c r="D5" s="84">
        <v>12</v>
      </c>
      <c r="E5" s="45">
        <f t="shared" ref="E5:E7" si="0">B5*C5*D5</f>
        <v>6600</v>
      </c>
    </row>
    <row r="6" spans="1:5" ht="15.75" thickBot="1">
      <c r="A6" s="40" t="s">
        <v>271</v>
      </c>
      <c r="B6" s="36">
        <f>B5</f>
        <v>55</v>
      </c>
      <c r="C6" s="84">
        <v>15</v>
      </c>
      <c r="D6" s="84">
        <f>D5</f>
        <v>12</v>
      </c>
      <c r="E6" s="45">
        <f t="shared" si="0"/>
        <v>9900</v>
      </c>
    </row>
    <row r="7" spans="1:5" ht="29.25" thickBot="1">
      <c r="A7" s="40" t="s">
        <v>272</v>
      </c>
      <c r="B7" s="36">
        <f>B5</f>
        <v>55</v>
      </c>
      <c r="C7" s="84">
        <v>10</v>
      </c>
      <c r="D7" s="84">
        <f>D5</f>
        <v>12</v>
      </c>
      <c r="E7" s="45">
        <f t="shared" si="0"/>
        <v>6600</v>
      </c>
    </row>
    <row r="8" spans="1:5" ht="15.75" thickBot="1">
      <c r="A8" s="40" t="s">
        <v>273</v>
      </c>
      <c r="B8" s="36">
        <f>B5</f>
        <v>55</v>
      </c>
      <c r="C8" s="266">
        <v>1000</v>
      </c>
      <c r="D8" s="267"/>
      <c r="E8" s="45">
        <f>B8*C8</f>
        <v>55000</v>
      </c>
    </row>
    <row r="9" spans="1:5" ht="15.75" thickBot="1">
      <c r="A9" s="40" t="s">
        <v>274</v>
      </c>
      <c r="B9" s="36">
        <v>0</v>
      </c>
      <c r="C9" s="264">
        <v>7500</v>
      </c>
      <c r="D9" s="265"/>
      <c r="E9" s="45">
        <f>B9*C9</f>
        <v>0</v>
      </c>
    </row>
    <row r="10" spans="1:5" ht="16.5" thickBot="1">
      <c r="A10" s="247" t="s">
        <v>101</v>
      </c>
      <c r="B10" s="248"/>
      <c r="C10" s="248"/>
      <c r="D10" s="249"/>
      <c r="E10" s="41">
        <f>SUM(E4:E9)</f>
        <v>82300</v>
      </c>
    </row>
  </sheetData>
  <mergeCells count="6">
    <mergeCell ref="A1:E1"/>
    <mergeCell ref="A2:A3"/>
    <mergeCell ref="B2:D2"/>
    <mergeCell ref="C9:D9"/>
    <mergeCell ref="A10:D10"/>
    <mergeCell ref="C8:D8"/>
  </mergeCells>
  <phoneticPr fontId="5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4" sqref="C4"/>
    </sheetView>
  </sheetViews>
  <sheetFormatPr defaultColWidth="9" defaultRowHeight="14.25"/>
  <cols>
    <col min="1" max="1" width="13.875" style="35" customWidth="1"/>
    <col min="2" max="2" width="14.625" style="35" customWidth="1"/>
    <col min="3" max="3" width="23.375" style="35" customWidth="1"/>
    <col min="4" max="16384" width="9" style="35"/>
  </cols>
  <sheetData>
    <row r="1" spans="1:4" ht="19.5" thickBot="1">
      <c r="A1" s="217" t="s">
        <v>278</v>
      </c>
      <c r="B1" s="217"/>
      <c r="C1" s="217"/>
      <c r="D1" s="217"/>
    </row>
    <row r="2" spans="1:4" ht="15" thickBot="1">
      <c r="A2" s="40" t="s">
        <v>86</v>
      </c>
      <c r="B2" s="36" t="s">
        <v>187</v>
      </c>
      <c r="C2" s="36" t="s">
        <v>276</v>
      </c>
      <c r="D2" s="36" t="s">
        <v>147</v>
      </c>
    </row>
    <row r="3" spans="1:4" ht="15.75" thickBot="1">
      <c r="A3" s="40" t="s">
        <v>277</v>
      </c>
      <c r="B3" s="36" t="s">
        <v>279</v>
      </c>
      <c r="C3" s="45">
        <v>12000</v>
      </c>
      <c r="D3" s="36"/>
    </row>
    <row r="4" spans="1:4" ht="16.5" thickBot="1">
      <c r="A4" s="247" t="s">
        <v>101</v>
      </c>
      <c r="B4" s="249"/>
      <c r="C4" s="41">
        <f>C3</f>
        <v>12000</v>
      </c>
      <c r="D4" s="43"/>
    </row>
  </sheetData>
  <mergeCells count="2">
    <mergeCell ref="A1:D1"/>
    <mergeCell ref="A4:B4"/>
  </mergeCells>
  <phoneticPr fontId="5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8" sqref="D8"/>
    </sheetView>
  </sheetViews>
  <sheetFormatPr defaultColWidth="9" defaultRowHeight="14.25"/>
  <cols>
    <col min="1" max="1" width="9" style="35"/>
    <col min="2" max="2" width="17.125" style="35" customWidth="1"/>
    <col min="3" max="3" width="18.375" style="35" customWidth="1"/>
    <col min="4" max="16384" width="9" style="35"/>
  </cols>
  <sheetData>
    <row r="1" spans="1:4" ht="19.5" thickBot="1">
      <c r="A1" s="217" t="s">
        <v>284</v>
      </c>
      <c r="B1" s="217"/>
      <c r="C1" s="217"/>
      <c r="D1" s="217"/>
    </row>
    <row r="2" spans="1:4" ht="15" thickBot="1">
      <c r="A2" s="40" t="s">
        <v>86</v>
      </c>
      <c r="B2" s="36" t="s">
        <v>280</v>
      </c>
      <c r="C2" s="36" t="s">
        <v>281</v>
      </c>
      <c r="D2" s="36" t="s">
        <v>147</v>
      </c>
    </row>
    <row r="3" spans="1:4" ht="15.75" thickBot="1">
      <c r="A3" s="111" t="s">
        <v>282</v>
      </c>
      <c r="B3" s="36" t="s">
        <v>283</v>
      </c>
      <c r="C3" s="45">
        <f>汇总表!D17*12*0.04</f>
        <v>56110.368000000009</v>
      </c>
      <c r="D3" s="36">
        <v>0.04</v>
      </c>
    </row>
    <row r="4" spans="1:4" ht="16.5" thickBot="1">
      <c r="A4" s="247" t="s">
        <v>101</v>
      </c>
      <c r="B4" s="249"/>
      <c r="C4" s="41">
        <f>C3</f>
        <v>56110.368000000009</v>
      </c>
      <c r="D4" s="113"/>
    </row>
    <row r="6" spans="1:4">
      <c r="C6" s="35">
        <v>256244.9</v>
      </c>
    </row>
  </sheetData>
  <mergeCells count="2">
    <mergeCell ref="A1:D1"/>
    <mergeCell ref="A4:B4"/>
  </mergeCells>
  <phoneticPr fontId="5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/>
  <sheetData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P55"/>
  <sheetViews>
    <sheetView zoomScale="85" zoomScaleNormal="85" zoomScaleSheetLayoutView="100" workbookViewId="0">
      <pane activePane="bottomRight" state="frozen"/>
      <selection sqref="A1:I1"/>
    </sheetView>
  </sheetViews>
  <sheetFormatPr defaultColWidth="8.625" defaultRowHeight="13.5"/>
  <cols>
    <col min="1" max="1" width="11.625" style="5" customWidth="1"/>
    <col min="2" max="2" width="15.125" style="33" customWidth="1"/>
    <col min="3" max="3" width="14.875" style="5" customWidth="1"/>
    <col min="4" max="4" width="12.875" style="34" customWidth="1"/>
    <col min="5" max="5" width="14.625" style="34" customWidth="1"/>
    <col min="6" max="6" width="17.625" style="34" customWidth="1"/>
    <col min="7" max="9" width="14.625" style="34" customWidth="1"/>
    <col min="10" max="11" width="11.5" style="5" bestFit="1" customWidth="1"/>
    <col min="12" max="12" width="10.125" style="5" bestFit="1" customWidth="1"/>
    <col min="13" max="13" width="11.5" style="5" bestFit="1" customWidth="1"/>
    <col min="14" max="14" width="11.625" style="5" customWidth="1"/>
    <col min="15" max="15" width="9.5" style="5" bestFit="1" customWidth="1"/>
    <col min="16" max="16" width="10.5" style="5" bestFit="1" customWidth="1"/>
    <col min="17" max="17" width="8.625" style="5"/>
    <col min="18" max="18" width="9.5" style="5" bestFit="1" customWidth="1"/>
    <col min="19" max="19" width="10.5" style="5" bestFit="1" customWidth="1"/>
    <col min="20" max="256" width="8.625" style="5"/>
    <col min="257" max="257" width="11.625" style="5" customWidth="1"/>
    <col min="258" max="258" width="15.125" style="5" customWidth="1"/>
    <col min="259" max="259" width="14.875" style="5" customWidth="1"/>
    <col min="260" max="260" width="12.875" style="5" customWidth="1"/>
    <col min="261" max="261" width="14.625" style="5" customWidth="1"/>
    <col min="262" max="262" width="17.625" style="5" customWidth="1"/>
    <col min="263" max="265" width="14.625" style="5" customWidth="1"/>
    <col min="266" max="267" width="11.5" style="5" bestFit="1" customWidth="1"/>
    <col min="268" max="268" width="10.125" style="5" bestFit="1" customWidth="1"/>
    <col min="269" max="269" width="11.5" style="5" bestFit="1" customWidth="1"/>
    <col min="270" max="270" width="11.625" style="5" customWidth="1"/>
    <col min="271" max="271" width="9.5" style="5" bestFit="1" customWidth="1"/>
    <col min="272" max="272" width="10.5" style="5" bestFit="1" customWidth="1"/>
    <col min="273" max="273" width="8.625" style="5"/>
    <col min="274" max="274" width="9.5" style="5" bestFit="1" customWidth="1"/>
    <col min="275" max="275" width="10.5" style="5" bestFit="1" customWidth="1"/>
    <col min="276" max="512" width="8.625" style="5"/>
    <col min="513" max="513" width="11.625" style="5" customWidth="1"/>
    <col min="514" max="514" width="15.125" style="5" customWidth="1"/>
    <col min="515" max="515" width="14.875" style="5" customWidth="1"/>
    <col min="516" max="516" width="12.875" style="5" customWidth="1"/>
    <col min="517" max="517" width="14.625" style="5" customWidth="1"/>
    <col min="518" max="518" width="17.625" style="5" customWidth="1"/>
    <col min="519" max="521" width="14.625" style="5" customWidth="1"/>
    <col min="522" max="523" width="11.5" style="5" bestFit="1" customWidth="1"/>
    <col min="524" max="524" width="10.125" style="5" bestFit="1" customWidth="1"/>
    <col min="525" max="525" width="11.5" style="5" bestFit="1" customWidth="1"/>
    <col min="526" max="526" width="11.625" style="5" customWidth="1"/>
    <col min="527" max="527" width="9.5" style="5" bestFit="1" customWidth="1"/>
    <col min="528" max="528" width="10.5" style="5" bestFit="1" customWidth="1"/>
    <col min="529" max="529" width="8.625" style="5"/>
    <col min="530" max="530" width="9.5" style="5" bestFit="1" customWidth="1"/>
    <col min="531" max="531" width="10.5" style="5" bestFit="1" customWidth="1"/>
    <col min="532" max="768" width="8.625" style="5"/>
    <col min="769" max="769" width="11.625" style="5" customWidth="1"/>
    <col min="770" max="770" width="15.125" style="5" customWidth="1"/>
    <col min="771" max="771" width="14.875" style="5" customWidth="1"/>
    <col min="772" max="772" width="12.875" style="5" customWidth="1"/>
    <col min="773" max="773" width="14.625" style="5" customWidth="1"/>
    <col min="774" max="774" width="17.625" style="5" customWidth="1"/>
    <col min="775" max="777" width="14.625" style="5" customWidth="1"/>
    <col min="778" max="779" width="11.5" style="5" bestFit="1" customWidth="1"/>
    <col min="780" max="780" width="10.125" style="5" bestFit="1" customWidth="1"/>
    <col min="781" max="781" width="11.5" style="5" bestFit="1" customWidth="1"/>
    <col min="782" max="782" width="11.625" style="5" customWidth="1"/>
    <col min="783" max="783" width="9.5" style="5" bestFit="1" customWidth="1"/>
    <col min="784" max="784" width="10.5" style="5" bestFit="1" customWidth="1"/>
    <col min="785" max="785" width="8.625" style="5"/>
    <col min="786" max="786" width="9.5" style="5" bestFit="1" customWidth="1"/>
    <col min="787" max="787" width="10.5" style="5" bestFit="1" customWidth="1"/>
    <col min="788" max="1024" width="8.625" style="5"/>
    <col min="1025" max="1025" width="11.625" style="5" customWidth="1"/>
    <col min="1026" max="1026" width="15.125" style="5" customWidth="1"/>
    <col min="1027" max="1027" width="14.875" style="5" customWidth="1"/>
    <col min="1028" max="1028" width="12.875" style="5" customWidth="1"/>
    <col min="1029" max="1029" width="14.625" style="5" customWidth="1"/>
    <col min="1030" max="1030" width="17.625" style="5" customWidth="1"/>
    <col min="1031" max="1033" width="14.625" style="5" customWidth="1"/>
    <col min="1034" max="1035" width="11.5" style="5" bestFit="1" customWidth="1"/>
    <col min="1036" max="1036" width="10.125" style="5" bestFit="1" customWidth="1"/>
    <col min="1037" max="1037" width="11.5" style="5" bestFit="1" customWidth="1"/>
    <col min="1038" max="1038" width="11.625" style="5" customWidth="1"/>
    <col min="1039" max="1039" width="9.5" style="5" bestFit="1" customWidth="1"/>
    <col min="1040" max="1040" width="10.5" style="5" bestFit="1" customWidth="1"/>
    <col min="1041" max="1041" width="8.625" style="5"/>
    <col min="1042" max="1042" width="9.5" style="5" bestFit="1" customWidth="1"/>
    <col min="1043" max="1043" width="10.5" style="5" bestFit="1" customWidth="1"/>
    <col min="1044" max="1280" width="8.625" style="5"/>
    <col min="1281" max="1281" width="11.625" style="5" customWidth="1"/>
    <col min="1282" max="1282" width="15.125" style="5" customWidth="1"/>
    <col min="1283" max="1283" width="14.875" style="5" customWidth="1"/>
    <col min="1284" max="1284" width="12.875" style="5" customWidth="1"/>
    <col min="1285" max="1285" width="14.625" style="5" customWidth="1"/>
    <col min="1286" max="1286" width="17.625" style="5" customWidth="1"/>
    <col min="1287" max="1289" width="14.625" style="5" customWidth="1"/>
    <col min="1290" max="1291" width="11.5" style="5" bestFit="1" customWidth="1"/>
    <col min="1292" max="1292" width="10.125" style="5" bestFit="1" customWidth="1"/>
    <col min="1293" max="1293" width="11.5" style="5" bestFit="1" customWidth="1"/>
    <col min="1294" max="1294" width="11.625" style="5" customWidth="1"/>
    <col min="1295" max="1295" width="9.5" style="5" bestFit="1" customWidth="1"/>
    <col min="1296" max="1296" width="10.5" style="5" bestFit="1" customWidth="1"/>
    <col min="1297" max="1297" width="8.625" style="5"/>
    <col min="1298" max="1298" width="9.5" style="5" bestFit="1" customWidth="1"/>
    <col min="1299" max="1299" width="10.5" style="5" bestFit="1" customWidth="1"/>
    <col min="1300" max="1536" width="8.625" style="5"/>
    <col min="1537" max="1537" width="11.625" style="5" customWidth="1"/>
    <col min="1538" max="1538" width="15.125" style="5" customWidth="1"/>
    <col min="1539" max="1539" width="14.875" style="5" customWidth="1"/>
    <col min="1540" max="1540" width="12.875" style="5" customWidth="1"/>
    <col min="1541" max="1541" width="14.625" style="5" customWidth="1"/>
    <col min="1542" max="1542" width="17.625" style="5" customWidth="1"/>
    <col min="1543" max="1545" width="14.625" style="5" customWidth="1"/>
    <col min="1546" max="1547" width="11.5" style="5" bestFit="1" customWidth="1"/>
    <col min="1548" max="1548" width="10.125" style="5" bestFit="1" customWidth="1"/>
    <col min="1549" max="1549" width="11.5" style="5" bestFit="1" customWidth="1"/>
    <col min="1550" max="1550" width="11.625" style="5" customWidth="1"/>
    <col min="1551" max="1551" width="9.5" style="5" bestFit="1" customWidth="1"/>
    <col min="1552" max="1552" width="10.5" style="5" bestFit="1" customWidth="1"/>
    <col min="1553" max="1553" width="8.625" style="5"/>
    <col min="1554" max="1554" width="9.5" style="5" bestFit="1" customWidth="1"/>
    <col min="1555" max="1555" width="10.5" style="5" bestFit="1" customWidth="1"/>
    <col min="1556" max="1792" width="8.625" style="5"/>
    <col min="1793" max="1793" width="11.625" style="5" customWidth="1"/>
    <col min="1794" max="1794" width="15.125" style="5" customWidth="1"/>
    <col min="1795" max="1795" width="14.875" style="5" customWidth="1"/>
    <col min="1796" max="1796" width="12.875" style="5" customWidth="1"/>
    <col min="1797" max="1797" width="14.625" style="5" customWidth="1"/>
    <col min="1798" max="1798" width="17.625" style="5" customWidth="1"/>
    <col min="1799" max="1801" width="14.625" style="5" customWidth="1"/>
    <col min="1802" max="1803" width="11.5" style="5" bestFit="1" customWidth="1"/>
    <col min="1804" max="1804" width="10.125" style="5" bestFit="1" customWidth="1"/>
    <col min="1805" max="1805" width="11.5" style="5" bestFit="1" customWidth="1"/>
    <col min="1806" max="1806" width="11.625" style="5" customWidth="1"/>
    <col min="1807" max="1807" width="9.5" style="5" bestFit="1" customWidth="1"/>
    <col min="1808" max="1808" width="10.5" style="5" bestFit="1" customWidth="1"/>
    <col min="1809" max="1809" width="8.625" style="5"/>
    <col min="1810" max="1810" width="9.5" style="5" bestFit="1" customWidth="1"/>
    <col min="1811" max="1811" width="10.5" style="5" bestFit="1" customWidth="1"/>
    <col min="1812" max="2048" width="8.625" style="5"/>
    <col min="2049" max="2049" width="11.625" style="5" customWidth="1"/>
    <col min="2050" max="2050" width="15.125" style="5" customWidth="1"/>
    <col min="2051" max="2051" width="14.875" style="5" customWidth="1"/>
    <col min="2052" max="2052" width="12.875" style="5" customWidth="1"/>
    <col min="2053" max="2053" width="14.625" style="5" customWidth="1"/>
    <col min="2054" max="2054" width="17.625" style="5" customWidth="1"/>
    <col min="2055" max="2057" width="14.625" style="5" customWidth="1"/>
    <col min="2058" max="2059" width="11.5" style="5" bestFit="1" customWidth="1"/>
    <col min="2060" max="2060" width="10.125" style="5" bestFit="1" customWidth="1"/>
    <col min="2061" max="2061" width="11.5" style="5" bestFit="1" customWidth="1"/>
    <col min="2062" max="2062" width="11.625" style="5" customWidth="1"/>
    <col min="2063" max="2063" width="9.5" style="5" bestFit="1" customWidth="1"/>
    <col min="2064" max="2064" width="10.5" style="5" bestFit="1" customWidth="1"/>
    <col min="2065" max="2065" width="8.625" style="5"/>
    <col min="2066" max="2066" width="9.5" style="5" bestFit="1" customWidth="1"/>
    <col min="2067" max="2067" width="10.5" style="5" bestFit="1" customWidth="1"/>
    <col min="2068" max="2304" width="8.625" style="5"/>
    <col min="2305" max="2305" width="11.625" style="5" customWidth="1"/>
    <col min="2306" max="2306" width="15.125" style="5" customWidth="1"/>
    <col min="2307" max="2307" width="14.875" style="5" customWidth="1"/>
    <col min="2308" max="2308" width="12.875" style="5" customWidth="1"/>
    <col min="2309" max="2309" width="14.625" style="5" customWidth="1"/>
    <col min="2310" max="2310" width="17.625" style="5" customWidth="1"/>
    <col min="2311" max="2313" width="14.625" style="5" customWidth="1"/>
    <col min="2314" max="2315" width="11.5" style="5" bestFit="1" customWidth="1"/>
    <col min="2316" max="2316" width="10.125" style="5" bestFit="1" customWidth="1"/>
    <col min="2317" max="2317" width="11.5" style="5" bestFit="1" customWidth="1"/>
    <col min="2318" max="2318" width="11.625" style="5" customWidth="1"/>
    <col min="2319" max="2319" width="9.5" style="5" bestFit="1" customWidth="1"/>
    <col min="2320" max="2320" width="10.5" style="5" bestFit="1" customWidth="1"/>
    <col min="2321" max="2321" width="8.625" style="5"/>
    <col min="2322" max="2322" width="9.5" style="5" bestFit="1" customWidth="1"/>
    <col min="2323" max="2323" width="10.5" style="5" bestFit="1" customWidth="1"/>
    <col min="2324" max="2560" width="8.625" style="5"/>
    <col min="2561" max="2561" width="11.625" style="5" customWidth="1"/>
    <col min="2562" max="2562" width="15.125" style="5" customWidth="1"/>
    <col min="2563" max="2563" width="14.875" style="5" customWidth="1"/>
    <col min="2564" max="2564" width="12.875" style="5" customWidth="1"/>
    <col min="2565" max="2565" width="14.625" style="5" customWidth="1"/>
    <col min="2566" max="2566" width="17.625" style="5" customWidth="1"/>
    <col min="2567" max="2569" width="14.625" style="5" customWidth="1"/>
    <col min="2570" max="2571" width="11.5" style="5" bestFit="1" customWidth="1"/>
    <col min="2572" max="2572" width="10.125" style="5" bestFit="1" customWidth="1"/>
    <col min="2573" max="2573" width="11.5" style="5" bestFit="1" customWidth="1"/>
    <col min="2574" max="2574" width="11.625" style="5" customWidth="1"/>
    <col min="2575" max="2575" width="9.5" style="5" bestFit="1" customWidth="1"/>
    <col min="2576" max="2576" width="10.5" style="5" bestFit="1" customWidth="1"/>
    <col min="2577" max="2577" width="8.625" style="5"/>
    <col min="2578" max="2578" width="9.5" style="5" bestFit="1" customWidth="1"/>
    <col min="2579" max="2579" width="10.5" style="5" bestFit="1" customWidth="1"/>
    <col min="2580" max="2816" width="8.625" style="5"/>
    <col min="2817" max="2817" width="11.625" style="5" customWidth="1"/>
    <col min="2818" max="2818" width="15.125" style="5" customWidth="1"/>
    <col min="2819" max="2819" width="14.875" style="5" customWidth="1"/>
    <col min="2820" max="2820" width="12.875" style="5" customWidth="1"/>
    <col min="2821" max="2821" width="14.625" style="5" customWidth="1"/>
    <col min="2822" max="2822" width="17.625" style="5" customWidth="1"/>
    <col min="2823" max="2825" width="14.625" style="5" customWidth="1"/>
    <col min="2826" max="2827" width="11.5" style="5" bestFit="1" customWidth="1"/>
    <col min="2828" max="2828" width="10.125" style="5" bestFit="1" customWidth="1"/>
    <col min="2829" max="2829" width="11.5" style="5" bestFit="1" customWidth="1"/>
    <col min="2830" max="2830" width="11.625" style="5" customWidth="1"/>
    <col min="2831" max="2831" width="9.5" style="5" bestFit="1" customWidth="1"/>
    <col min="2832" max="2832" width="10.5" style="5" bestFit="1" customWidth="1"/>
    <col min="2833" max="2833" width="8.625" style="5"/>
    <col min="2834" max="2834" width="9.5" style="5" bestFit="1" customWidth="1"/>
    <col min="2835" max="2835" width="10.5" style="5" bestFit="1" customWidth="1"/>
    <col min="2836" max="3072" width="8.625" style="5"/>
    <col min="3073" max="3073" width="11.625" style="5" customWidth="1"/>
    <col min="3074" max="3074" width="15.125" style="5" customWidth="1"/>
    <col min="3075" max="3075" width="14.875" style="5" customWidth="1"/>
    <col min="3076" max="3076" width="12.875" style="5" customWidth="1"/>
    <col min="3077" max="3077" width="14.625" style="5" customWidth="1"/>
    <col min="3078" max="3078" width="17.625" style="5" customWidth="1"/>
    <col min="3079" max="3081" width="14.625" style="5" customWidth="1"/>
    <col min="3082" max="3083" width="11.5" style="5" bestFit="1" customWidth="1"/>
    <col min="3084" max="3084" width="10.125" style="5" bestFit="1" customWidth="1"/>
    <col min="3085" max="3085" width="11.5" style="5" bestFit="1" customWidth="1"/>
    <col min="3086" max="3086" width="11.625" style="5" customWidth="1"/>
    <col min="3087" max="3087" width="9.5" style="5" bestFit="1" customWidth="1"/>
    <col min="3088" max="3088" width="10.5" style="5" bestFit="1" customWidth="1"/>
    <col min="3089" max="3089" width="8.625" style="5"/>
    <col min="3090" max="3090" width="9.5" style="5" bestFit="1" customWidth="1"/>
    <col min="3091" max="3091" width="10.5" style="5" bestFit="1" customWidth="1"/>
    <col min="3092" max="3328" width="8.625" style="5"/>
    <col min="3329" max="3329" width="11.625" style="5" customWidth="1"/>
    <col min="3330" max="3330" width="15.125" style="5" customWidth="1"/>
    <col min="3331" max="3331" width="14.875" style="5" customWidth="1"/>
    <col min="3332" max="3332" width="12.875" style="5" customWidth="1"/>
    <col min="3333" max="3333" width="14.625" style="5" customWidth="1"/>
    <col min="3334" max="3334" width="17.625" style="5" customWidth="1"/>
    <col min="3335" max="3337" width="14.625" style="5" customWidth="1"/>
    <col min="3338" max="3339" width="11.5" style="5" bestFit="1" customWidth="1"/>
    <col min="3340" max="3340" width="10.125" style="5" bestFit="1" customWidth="1"/>
    <col min="3341" max="3341" width="11.5" style="5" bestFit="1" customWidth="1"/>
    <col min="3342" max="3342" width="11.625" style="5" customWidth="1"/>
    <col min="3343" max="3343" width="9.5" style="5" bestFit="1" customWidth="1"/>
    <col min="3344" max="3344" width="10.5" style="5" bestFit="1" customWidth="1"/>
    <col min="3345" max="3345" width="8.625" style="5"/>
    <col min="3346" max="3346" width="9.5" style="5" bestFit="1" customWidth="1"/>
    <col min="3347" max="3347" width="10.5" style="5" bestFit="1" customWidth="1"/>
    <col min="3348" max="3584" width="8.625" style="5"/>
    <col min="3585" max="3585" width="11.625" style="5" customWidth="1"/>
    <col min="3586" max="3586" width="15.125" style="5" customWidth="1"/>
    <col min="3587" max="3587" width="14.875" style="5" customWidth="1"/>
    <col min="3588" max="3588" width="12.875" style="5" customWidth="1"/>
    <col min="3589" max="3589" width="14.625" style="5" customWidth="1"/>
    <col min="3590" max="3590" width="17.625" style="5" customWidth="1"/>
    <col min="3591" max="3593" width="14.625" style="5" customWidth="1"/>
    <col min="3594" max="3595" width="11.5" style="5" bestFit="1" customWidth="1"/>
    <col min="3596" max="3596" width="10.125" style="5" bestFit="1" customWidth="1"/>
    <col min="3597" max="3597" width="11.5" style="5" bestFit="1" customWidth="1"/>
    <col min="3598" max="3598" width="11.625" style="5" customWidth="1"/>
    <col min="3599" max="3599" width="9.5" style="5" bestFit="1" customWidth="1"/>
    <col min="3600" max="3600" width="10.5" style="5" bestFit="1" customWidth="1"/>
    <col min="3601" max="3601" width="8.625" style="5"/>
    <col min="3602" max="3602" width="9.5" style="5" bestFit="1" customWidth="1"/>
    <col min="3603" max="3603" width="10.5" style="5" bestFit="1" customWidth="1"/>
    <col min="3604" max="3840" width="8.625" style="5"/>
    <col min="3841" max="3841" width="11.625" style="5" customWidth="1"/>
    <col min="3842" max="3842" width="15.125" style="5" customWidth="1"/>
    <col min="3843" max="3843" width="14.875" style="5" customWidth="1"/>
    <col min="3844" max="3844" width="12.875" style="5" customWidth="1"/>
    <col min="3845" max="3845" width="14.625" style="5" customWidth="1"/>
    <col min="3846" max="3846" width="17.625" style="5" customWidth="1"/>
    <col min="3847" max="3849" width="14.625" style="5" customWidth="1"/>
    <col min="3850" max="3851" width="11.5" style="5" bestFit="1" customWidth="1"/>
    <col min="3852" max="3852" width="10.125" style="5" bestFit="1" customWidth="1"/>
    <col min="3853" max="3853" width="11.5" style="5" bestFit="1" customWidth="1"/>
    <col min="3854" max="3854" width="11.625" style="5" customWidth="1"/>
    <col min="3855" max="3855" width="9.5" style="5" bestFit="1" customWidth="1"/>
    <col min="3856" max="3856" width="10.5" style="5" bestFit="1" customWidth="1"/>
    <col min="3857" max="3857" width="8.625" style="5"/>
    <col min="3858" max="3858" width="9.5" style="5" bestFit="1" customWidth="1"/>
    <col min="3859" max="3859" width="10.5" style="5" bestFit="1" customWidth="1"/>
    <col min="3860" max="4096" width="8.625" style="5"/>
    <col min="4097" max="4097" width="11.625" style="5" customWidth="1"/>
    <col min="4098" max="4098" width="15.125" style="5" customWidth="1"/>
    <col min="4099" max="4099" width="14.875" style="5" customWidth="1"/>
    <col min="4100" max="4100" width="12.875" style="5" customWidth="1"/>
    <col min="4101" max="4101" width="14.625" style="5" customWidth="1"/>
    <col min="4102" max="4102" width="17.625" style="5" customWidth="1"/>
    <col min="4103" max="4105" width="14.625" style="5" customWidth="1"/>
    <col min="4106" max="4107" width="11.5" style="5" bestFit="1" customWidth="1"/>
    <col min="4108" max="4108" width="10.125" style="5" bestFit="1" customWidth="1"/>
    <col min="4109" max="4109" width="11.5" style="5" bestFit="1" customWidth="1"/>
    <col min="4110" max="4110" width="11.625" style="5" customWidth="1"/>
    <col min="4111" max="4111" width="9.5" style="5" bestFit="1" customWidth="1"/>
    <col min="4112" max="4112" width="10.5" style="5" bestFit="1" customWidth="1"/>
    <col min="4113" max="4113" width="8.625" style="5"/>
    <col min="4114" max="4114" width="9.5" style="5" bestFit="1" customWidth="1"/>
    <col min="4115" max="4115" width="10.5" style="5" bestFit="1" customWidth="1"/>
    <col min="4116" max="4352" width="8.625" style="5"/>
    <col min="4353" max="4353" width="11.625" style="5" customWidth="1"/>
    <col min="4354" max="4354" width="15.125" style="5" customWidth="1"/>
    <col min="4355" max="4355" width="14.875" style="5" customWidth="1"/>
    <col min="4356" max="4356" width="12.875" style="5" customWidth="1"/>
    <col min="4357" max="4357" width="14.625" style="5" customWidth="1"/>
    <col min="4358" max="4358" width="17.625" style="5" customWidth="1"/>
    <col min="4359" max="4361" width="14.625" style="5" customWidth="1"/>
    <col min="4362" max="4363" width="11.5" style="5" bestFit="1" customWidth="1"/>
    <col min="4364" max="4364" width="10.125" style="5" bestFit="1" customWidth="1"/>
    <col min="4365" max="4365" width="11.5" style="5" bestFit="1" customWidth="1"/>
    <col min="4366" max="4366" width="11.625" style="5" customWidth="1"/>
    <col min="4367" max="4367" width="9.5" style="5" bestFit="1" customWidth="1"/>
    <col min="4368" max="4368" width="10.5" style="5" bestFit="1" customWidth="1"/>
    <col min="4369" max="4369" width="8.625" style="5"/>
    <col min="4370" max="4370" width="9.5" style="5" bestFit="1" customWidth="1"/>
    <col min="4371" max="4371" width="10.5" style="5" bestFit="1" customWidth="1"/>
    <col min="4372" max="4608" width="8.625" style="5"/>
    <col min="4609" max="4609" width="11.625" style="5" customWidth="1"/>
    <col min="4610" max="4610" width="15.125" style="5" customWidth="1"/>
    <col min="4611" max="4611" width="14.875" style="5" customWidth="1"/>
    <col min="4612" max="4612" width="12.875" style="5" customWidth="1"/>
    <col min="4613" max="4613" width="14.625" style="5" customWidth="1"/>
    <col min="4614" max="4614" width="17.625" style="5" customWidth="1"/>
    <col min="4615" max="4617" width="14.625" style="5" customWidth="1"/>
    <col min="4618" max="4619" width="11.5" style="5" bestFit="1" customWidth="1"/>
    <col min="4620" max="4620" width="10.125" style="5" bestFit="1" customWidth="1"/>
    <col min="4621" max="4621" width="11.5" style="5" bestFit="1" customWidth="1"/>
    <col min="4622" max="4622" width="11.625" style="5" customWidth="1"/>
    <col min="4623" max="4623" width="9.5" style="5" bestFit="1" customWidth="1"/>
    <col min="4624" max="4624" width="10.5" style="5" bestFit="1" customWidth="1"/>
    <col min="4625" max="4625" width="8.625" style="5"/>
    <col min="4626" max="4626" width="9.5" style="5" bestFit="1" customWidth="1"/>
    <col min="4627" max="4627" width="10.5" style="5" bestFit="1" customWidth="1"/>
    <col min="4628" max="4864" width="8.625" style="5"/>
    <col min="4865" max="4865" width="11.625" style="5" customWidth="1"/>
    <col min="4866" max="4866" width="15.125" style="5" customWidth="1"/>
    <col min="4867" max="4867" width="14.875" style="5" customWidth="1"/>
    <col min="4868" max="4868" width="12.875" style="5" customWidth="1"/>
    <col min="4869" max="4869" width="14.625" style="5" customWidth="1"/>
    <col min="4870" max="4870" width="17.625" style="5" customWidth="1"/>
    <col min="4871" max="4873" width="14.625" style="5" customWidth="1"/>
    <col min="4874" max="4875" width="11.5" style="5" bestFit="1" customWidth="1"/>
    <col min="4876" max="4876" width="10.125" style="5" bestFit="1" customWidth="1"/>
    <col min="4877" max="4877" width="11.5" style="5" bestFit="1" customWidth="1"/>
    <col min="4878" max="4878" width="11.625" style="5" customWidth="1"/>
    <col min="4879" max="4879" width="9.5" style="5" bestFit="1" customWidth="1"/>
    <col min="4880" max="4880" width="10.5" style="5" bestFit="1" customWidth="1"/>
    <col min="4881" max="4881" width="8.625" style="5"/>
    <col min="4882" max="4882" width="9.5" style="5" bestFit="1" customWidth="1"/>
    <col min="4883" max="4883" width="10.5" style="5" bestFit="1" customWidth="1"/>
    <col min="4884" max="5120" width="8.625" style="5"/>
    <col min="5121" max="5121" width="11.625" style="5" customWidth="1"/>
    <col min="5122" max="5122" width="15.125" style="5" customWidth="1"/>
    <col min="5123" max="5123" width="14.875" style="5" customWidth="1"/>
    <col min="5124" max="5124" width="12.875" style="5" customWidth="1"/>
    <col min="5125" max="5125" width="14.625" style="5" customWidth="1"/>
    <col min="5126" max="5126" width="17.625" style="5" customWidth="1"/>
    <col min="5127" max="5129" width="14.625" style="5" customWidth="1"/>
    <col min="5130" max="5131" width="11.5" style="5" bestFit="1" customWidth="1"/>
    <col min="5132" max="5132" width="10.125" style="5" bestFit="1" customWidth="1"/>
    <col min="5133" max="5133" width="11.5" style="5" bestFit="1" customWidth="1"/>
    <col min="5134" max="5134" width="11.625" style="5" customWidth="1"/>
    <col min="5135" max="5135" width="9.5" style="5" bestFit="1" customWidth="1"/>
    <col min="5136" max="5136" width="10.5" style="5" bestFit="1" customWidth="1"/>
    <col min="5137" max="5137" width="8.625" style="5"/>
    <col min="5138" max="5138" width="9.5" style="5" bestFit="1" customWidth="1"/>
    <col min="5139" max="5139" width="10.5" style="5" bestFit="1" customWidth="1"/>
    <col min="5140" max="5376" width="8.625" style="5"/>
    <col min="5377" max="5377" width="11.625" style="5" customWidth="1"/>
    <col min="5378" max="5378" width="15.125" style="5" customWidth="1"/>
    <col min="5379" max="5379" width="14.875" style="5" customWidth="1"/>
    <col min="5380" max="5380" width="12.875" style="5" customWidth="1"/>
    <col min="5381" max="5381" width="14.625" style="5" customWidth="1"/>
    <col min="5382" max="5382" width="17.625" style="5" customWidth="1"/>
    <col min="5383" max="5385" width="14.625" style="5" customWidth="1"/>
    <col min="5386" max="5387" width="11.5" style="5" bestFit="1" customWidth="1"/>
    <col min="5388" max="5388" width="10.125" style="5" bestFit="1" customWidth="1"/>
    <col min="5389" max="5389" width="11.5" style="5" bestFit="1" customWidth="1"/>
    <col min="5390" max="5390" width="11.625" style="5" customWidth="1"/>
    <col min="5391" max="5391" width="9.5" style="5" bestFit="1" customWidth="1"/>
    <col min="5392" max="5392" width="10.5" style="5" bestFit="1" customWidth="1"/>
    <col min="5393" max="5393" width="8.625" style="5"/>
    <col min="5394" max="5394" width="9.5" style="5" bestFit="1" customWidth="1"/>
    <col min="5395" max="5395" width="10.5" style="5" bestFit="1" customWidth="1"/>
    <col min="5396" max="5632" width="8.625" style="5"/>
    <col min="5633" max="5633" width="11.625" style="5" customWidth="1"/>
    <col min="5634" max="5634" width="15.125" style="5" customWidth="1"/>
    <col min="5635" max="5635" width="14.875" style="5" customWidth="1"/>
    <col min="5636" max="5636" width="12.875" style="5" customWidth="1"/>
    <col min="5637" max="5637" width="14.625" style="5" customWidth="1"/>
    <col min="5638" max="5638" width="17.625" style="5" customWidth="1"/>
    <col min="5639" max="5641" width="14.625" style="5" customWidth="1"/>
    <col min="5642" max="5643" width="11.5" style="5" bestFit="1" customWidth="1"/>
    <col min="5644" max="5644" width="10.125" style="5" bestFit="1" customWidth="1"/>
    <col min="5645" max="5645" width="11.5" style="5" bestFit="1" customWidth="1"/>
    <col min="5646" max="5646" width="11.625" style="5" customWidth="1"/>
    <col min="5647" max="5647" width="9.5" style="5" bestFit="1" customWidth="1"/>
    <col min="5648" max="5648" width="10.5" style="5" bestFit="1" customWidth="1"/>
    <col min="5649" max="5649" width="8.625" style="5"/>
    <col min="5650" max="5650" width="9.5" style="5" bestFit="1" customWidth="1"/>
    <col min="5651" max="5651" width="10.5" style="5" bestFit="1" customWidth="1"/>
    <col min="5652" max="5888" width="8.625" style="5"/>
    <col min="5889" max="5889" width="11.625" style="5" customWidth="1"/>
    <col min="5890" max="5890" width="15.125" style="5" customWidth="1"/>
    <col min="5891" max="5891" width="14.875" style="5" customWidth="1"/>
    <col min="5892" max="5892" width="12.875" style="5" customWidth="1"/>
    <col min="5893" max="5893" width="14.625" style="5" customWidth="1"/>
    <col min="5894" max="5894" width="17.625" style="5" customWidth="1"/>
    <col min="5895" max="5897" width="14.625" style="5" customWidth="1"/>
    <col min="5898" max="5899" width="11.5" style="5" bestFit="1" customWidth="1"/>
    <col min="5900" max="5900" width="10.125" style="5" bestFit="1" customWidth="1"/>
    <col min="5901" max="5901" width="11.5" style="5" bestFit="1" customWidth="1"/>
    <col min="5902" max="5902" width="11.625" style="5" customWidth="1"/>
    <col min="5903" max="5903" width="9.5" style="5" bestFit="1" customWidth="1"/>
    <col min="5904" max="5904" width="10.5" style="5" bestFit="1" customWidth="1"/>
    <col min="5905" max="5905" width="8.625" style="5"/>
    <col min="5906" max="5906" width="9.5" style="5" bestFit="1" customWidth="1"/>
    <col min="5907" max="5907" width="10.5" style="5" bestFit="1" customWidth="1"/>
    <col min="5908" max="6144" width="8.625" style="5"/>
    <col min="6145" max="6145" width="11.625" style="5" customWidth="1"/>
    <col min="6146" max="6146" width="15.125" style="5" customWidth="1"/>
    <col min="6147" max="6147" width="14.875" style="5" customWidth="1"/>
    <col min="6148" max="6148" width="12.875" style="5" customWidth="1"/>
    <col min="6149" max="6149" width="14.625" style="5" customWidth="1"/>
    <col min="6150" max="6150" width="17.625" style="5" customWidth="1"/>
    <col min="6151" max="6153" width="14.625" style="5" customWidth="1"/>
    <col min="6154" max="6155" width="11.5" style="5" bestFit="1" customWidth="1"/>
    <col min="6156" max="6156" width="10.125" style="5" bestFit="1" customWidth="1"/>
    <col min="6157" max="6157" width="11.5" style="5" bestFit="1" customWidth="1"/>
    <col min="6158" max="6158" width="11.625" style="5" customWidth="1"/>
    <col min="6159" max="6159" width="9.5" style="5" bestFit="1" customWidth="1"/>
    <col min="6160" max="6160" width="10.5" style="5" bestFit="1" customWidth="1"/>
    <col min="6161" max="6161" width="8.625" style="5"/>
    <col min="6162" max="6162" width="9.5" style="5" bestFit="1" customWidth="1"/>
    <col min="6163" max="6163" width="10.5" style="5" bestFit="1" customWidth="1"/>
    <col min="6164" max="6400" width="8.625" style="5"/>
    <col min="6401" max="6401" width="11.625" style="5" customWidth="1"/>
    <col min="6402" max="6402" width="15.125" style="5" customWidth="1"/>
    <col min="6403" max="6403" width="14.875" style="5" customWidth="1"/>
    <col min="6404" max="6404" width="12.875" style="5" customWidth="1"/>
    <col min="6405" max="6405" width="14.625" style="5" customWidth="1"/>
    <col min="6406" max="6406" width="17.625" style="5" customWidth="1"/>
    <col min="6407" max="6409" width="14.625" style="5" customWidth="1"/>
    <col min="6410" max="6411" width="11.5" style="5" bestFit="1" customWidth="1"/>
    <col min="6412" max="6412" width="10.125" style="5" bestFit="1" customWidth="1"/>
    <col min="6413" max="6413" width="11.5" style="5" bestFit="1" customWidth="1"/>
    <col min="6414" max="6414" width="11.625" style="5" customWidth="1"/>
    <col min="6415" max="6415" width="9.5" style="5" bestFit="1" customWidth="1"/>
    <col min="6416" max="6416" width="10.5" style="5" bestFit="1" customWidth="1"/>
    <col min="6417" max="6417" width="8.625" style="5"/>
    <col min="6418" max="6418" width="9.5" style="5" bestFit="1" customWidth="1"/>
    <col min="6419" max="6419" width="10.5" style="5" bestFit="1" customWidth="1"/>
    <col min="6420" max="6656" width="8.625" style="5"/>
    <col min="6657" max="6657" width="11.625" style="5" customWidth="1"/>
    <col min="6658" max="6658" width="15.125" style="5" customWidth="1"/>
    <col min="6659" max="6659" width="14.875" style="5" customWidth="1"/>
    <col min="6660" max="6660" width="12.875" style="5" customWidth="1"/>
    <col min="6661" max="6661" width="14.625" style="5" customWidth="1"/>
    <col min="6662" max="6662" width="17.625" style="5" customWidth="1"/>
    <col min="6663" max="6665" width="14.625" style="5" customWidth="1"/>
    <col min="6666" max="6667" width="11.5" style="5" bestFit="1" customWidth="1"/>
    <col min="6668" max="6668" width="10.125" style="5" bestFit="1" customWidth="1"/>
    <col min="6669" max="6669" width="11.5" style="5" bestFit="1" customWidth="1"/>
    <col min="6670" max="6670" width="11.625" style="5" customWidth="1"/>
    <col min="6671" max="6671" width="9.5" style="5" bestFit="1" customWidth="1"/>
    <col min="6672" max="6672" width="10.5" style="5" bestFit="1" customWidth="1"/>
    <col min="6673" max="6673" width="8.625" style="5"/>
    <col min="6674" max="6674" width="9.5" style="5" bestFit="1" customWidth="1"/>
    <col min="6675" max="6675" width="10.5" style="5" bestFit="1" customWidth="1"/>
    <col min="6676" max="6912" width="8.625" style="5"/>
    <col min="6913" max="6913" width="11.625" style="5" customWidth="1"/>
    <col min="6914" max="6914" width="15.125" style="5" customWidth="1"/>
    <col min="6915" max="6915" width="14.875" style="5" customWidth="1"/>
    <col min="6916" max="6916" width="12.875" style="5" customWidth="1"/>
    <col min="6917" max="6917" width="14.625" style="5" customWidth="1"/>
    <col min="6918" max="6918" width="17.625" style="5" customWidth="1"/>
    <col min="6919" max="6921" width="14.625" style="5" customWidth="1"/>
    <col min="6922" max="6923" width="11.5" style="5" bestFit="1" customWidth="1"/>
    <col min="6924" max="6924" width="10.125" style="5" bestFit="1" customWidth="1"/>
    <col min="6925" max="6925" width="11.5" style="5" bestFit="1" customWidth="1"/>
    <col min="6926" max="6926" width="11.625" style="5" customWidth="1"/>
    <col min="6927" max="6927" width="9.5" style="5" bestFit="1" customWidth="1"/>
    <col min="6928" max="6928" width="10.5" style="5" bestFit="1" customWidth="1"/>
    <col min="6929" max="6929" width="8.625" style="5"/>
    <col min="6930" max="6930" width="9.5" style="5" bestFit="1" customWidth="1"/>
    <col min="6931" max="6931" width="10.5" style="5" bestFit="1" customWidth="1"/>
    <col min="6932" max="7168" width="8.625" style="5"/>
    <col min="7169" max="7169" width="11.625" style="5" customWidth="1"/>
    <col min="7170" max="7170" width="15.125" style="5" customWidth="1"/>
    <col min="7171" max="7171" width="14.875" style="5" customWidth="1"/>
    <col min="7172" max="7172" width="12.875" style="5" customWidth="1"/>
    <col min="7173" max="7173" width="14.625" style="5" customWidth="1"/>
    <col min="7174" max="7174" width="17.625" style="5" customWidth="1"/>
    <col min="7175" max="7177" width="14.625" style="5" customWidth="1"/>
    <col min="7178" max="7179" width="11.5" style="5" bestFit="1" customWidth="1"/>
    <col min="7180" max="7180" width="10.125" style="5" bestFit="1" customWidth="1"/>
    <col min="7181" max="7181" width="11.5" style="5" bestFit="1" customWidth="1"/>
    <col min="7182" max="7182" width="11.625" style="5" customWidth="1"/>
    <col min="7183" max="7183" width="9.5" style="5" bestFit="1" customWidth="1"/>
    <col min="7184" max="7184" width="10.5" style="5" bestFit="1" customWidth="1"/>
    <col min="7185" max="7185" width="8.625" style="5"/>
    <col min="7186" max="7186" width="9.5" style="5" bestFit="1" customWidth="1"/>
    <col min="7187" max="7187" width="10.5" style="5" bestFit="1" customWidth="1"/>
    <col min="7188" max="7424" width="8.625" style="5"/>
    <col min="7425" max="7425" width="11.625" style="5" customWidth="1"/>
    <col min="7426" max="7426" width="15.125" style="5" customWidth="1"/>
    <col min="7427" max="7427" width="14.875" style="5" customWidth="1"/>
    <col min="7428" max="7428" width="12.875" style="5" customWidth="1"/>
    <col min="7429" max="7429" width="14.625" style="5" customWidth="1"/>
    <col min="7430" max="7430" width="17.625" style="5" customWidth="1"/>
    <col min="7431" max="7433" width="14.625" style="5" customWidth="1"/>
    <col min="7434" max="7435" width="11.5" style="5" bestFit="1" customWidth="1"/>
    <col min="7436" max="7436" width="10.125" style="5" bestFit="1" customWidth="1"/>
    <col min="7437" max="7437" width="11.5" style="5" bestFit="1" customWidth="1"/>
    <col min="7438" max="7438" width="11.625" style="5" customWidth="1"/>
    <col min="7439" max="7439" width="9.5" style="5" bestFit="1" customWidth="1"/>
    <col min="7440" max="7440" width="10.5" style="5" bestFit="1" customWidth="1"/>
    <col min="7441" max="7441" width="8.625" style="5"/>
    <col min="7442" max="7442" width="9.5" style="5" bestFit="1" customWidth="1"/>
    <col min="7443" max="7443" width="10.5" style="5" bestFit="1" customWidth="1"/>
    <col min="7444" max="7680" width="8.625" style="5"/>
    <col min="7681" max="7681" width="11.625" style="5" customWidth="1"/>
    <col min="7682" max="7682" width="15.125" style="5" customWidth="1"/>
    <col min="7683" max="7683" width="14.875" style="5" customWidth="1"/>
    <col min="7684" max="7684" width="12.875" style="5" customWidth="1"/>
    <col min="7685" max="7685" width="14.625" style="5" customWidth="1"/>
    <col min="7686" max="7686" width="17.625" style="5" customWidth="1"/>
    <col min="7687" max="7689" width="14.625" style="5" customWidth="1"/>
    <col min="7690" max="7691" width="11.5" style="5" bestFit="1" customWidth="1"/>
    <col min="7692" max="7692" width="10.125" style="5" bestFit="1" customWidth="1"/>
    <col min="7693" max="7693" width="11.5" style="5" bestFit="1" customWidth="1"/>
    <col min="7694" max="7694" width="11.625" style="5" customWidth="1"/>
    <col min="7695" max="7695" width="9.5" style="5" bestFit="1" customWidth="1"/>
    <col min="7696" max="7696" width="10.5" style="5" bestFit="1" customWidth="1"/>
    <col min="7697" max="7697" width="8.625" style="5"/>
    <col min="7698" max="7698" width="9.5" style="5" bestFit="1" customWidth="1"/>
    <col min="7699" max="7699" width="10.5" style="5" bestFit="1" customWidth="1"/>
    <col min="7700" max="7936" width="8.625" style="5"/>
    <col min="7937" max="7937" width="11.625" style="5" customWidth="1"/>
    <col min="7938" max="7938" width="15.125" style="5" customWidth="1"/>
    <col min="7939" max="7939" width="14.875" style="5" customWidth="1"/>
    <col min="7940" max="7940" width="12.875" style="5" customWidth="1"/>
    <col min="7941" max="7941" width="14.625" style="5" customWidth="1"/>
    <col min="7942" max="7942" width="17.625" style="5" customWidth="1"/>
    <col min="7943" max="7945" width="14.625" style="5" customWidth="1"/>
    <col min="7946" max="7947" width="11.5" style="5" bestFit="1" customWidth="1"/>
    <col min="7948" max="7948" width="10.125" style="5" bestFit="1" customWidth="1"/>
    <col min="7949" max="7949" width="11.5" style="5" bestFit="1" customWidth="1"/>
    <col min="7950" max="7950" width="11.625" style="5" customWidth="1"/>
    <col min="7951" max="7951" width="9.5" style="5" bestFit="1" customWidth="1"/>
    <col min="7952" max="7952" width="10.5" style="5" bestFit="1" customWidth="1"/>
    <col min="7953" max="7953" width="8.625" style="5"/>
    <col min="7954" max="7954" width="9.5" style="5" bestFit="1" customWidth="1"/>
    <col min="7955" max="7955" width="10.5" style="5" bestFit="1" customWidth="1"/>
    <col min="7956" max="8192" width="8.625" style="5"/>
    <col min="8193" max="8193" width="11.625" style="5" customWidth="1"/>
    <col min="8194" max="8194" width="15.125" style="5" customWidth="1"/>
    <col min="8195" max="8195" width="14.875" style="5" customWidth="1"/>
    <col min="8196" max="8196" width="12.875" style="5" customWidth="1"/>
    <col min="8197" max="8197" width="14.625" style="5" customWidth="1"/>
    <col min="8198" max="8198" width="17.625" style="5" customWidth="1"/>
    <col min="8199" max="8201" width="14.625" style="5" customWidth="1"/>
    <col min="8202" max="8203" width="11.5" style="5" bestFit="1" customWidth="1"/>
    <col min="8204" max="8204" width="10.125" style="5" bestFit="1" customWidth="1"/>
    <col min="8205" max="8205" width="11.5" style="5" bestFit="1" customWidth="1"/>
    <col min="8206" max="8206" width="11.625" style="5" customWidth="1"/>
    <col min="8207" max="8207" width="9.5" style="5" bestFit="1" customWidth="1"/>
    <col min="8208" max="8208" width="10.5" style="5" bestFit="1" customWidth="1"/>
    <col min="8209" max="8209" width="8.625" style="5"/>
    <col min="8210" max="8210" width="9.5" style="5" bestFit="1" customWidth="1"/>
    <col min="8211" max="8211" width="10.5" style="5" bestFit="1" customWidth="1"/>
    <col min="8212" max="8448" width="8.625" style="5"/>
    <col min="8449" max="8449" width="11.625" style="5" customWidth="1"/>
    <col min="8450" max="8450" width="15.125" style="5" customWidth="1"/>
    <col min="8451" max="8451" width="14.875" style="5" customWidth="1"/>
    <col min="8452" max="8452" width="12.875" style="5" customWidth="1"/>
    <col min="8453" max="8453" width="14.625" style="5" customWidth="1"/>
    <col min="8454" max="8454" width="17.625" style="5" customWidth="1"/>
    <col min="8455" max="8457" width="14.625" style="5" customWidth="1"/>
    <col min="8458" max="8459" width="11.5" style="5" bestFit="1" customWidth="1"/>
    <col min="8460" max="8460" width="10.125" style="5" bestFit="1" customWidth="1"/>
    <col min="8461" max="8461" width="11.5" style="5" bestFit="1" customWidth="1"/>
    <col min="8462" max="8462" width="11.625" style="5" customWidth="1"/>
    <col min="8463" max="8463" width="9.5" style="5" bestFit="1" customWidth="1"/>
    <col min="8464" max="8464" width="10.5" style="5" bestFit="1" customWidth="1"/>
    <col min="8465" max="8465" width="8.625" style="5"/>
    <col min="8466" max="8466" width="9.5" style="5" bestFit="1" customWidth="1"/>
    <col min="8467" max="8467" width="10.5" style="5" bestFit="1" customWidth="1"/>
    <col min="8468" max="8704" width="8.625" style="5"/>
    <col min="8705" max="8705" width="11.625" style="5" customWidth="1"/>
    <col min="8706" max="8706" width="15.125" style="5" customWidth="1"/>
    <col min="8707" max="8707" width="14.875" style="5" customWidth="1"/>
    <col min="8708" max="8708" width="12.875" style="5" customWidth="1"/>
    <col min="8709" max="8709" width="14.625" style="5" customWidth="1"/>
    <col min="8710" max="8710" width="17.625" style="5" customWidth="1"/>
    <col min="8711" max="8713" width="14.625" style="5" customWidth="1"/>
    <col min="8714" max="8715" width="11.5" style="5" bestFit="1" customWidth="1"/>
    <col min="8716" max="8716" width="10.125" style="5" bestFit="1" customWidth="1"/>
    <col min="8717" max="8717" width="11.5" style="5" bestFit="1" customWidth="1"/>
    <col min="8718" max="8718" width="11.625" style="5" customWidth="1"/>
    <col min="8719" max="8719" width="9.5" style="5" bestFit="1" customWidth="1"/>
    <col min="8720" max="8720" width="10.5" style="5" bestFit="1" customWidth="1"/>
    <col min="8721" max="8721" width="8.625" style="5"/>
    <col min="8722" max="8722" width="9.5" style="5" bestFit="1" customWidth="1"/>
    <col min="8723" max="8723" width="10.5" style="5" bestFit="1" customWidth="1"/>
    <col min="8724" max="8960" width="8.625" style="5"/>
    <col min="8961" max="8961" width="11.625" style="5" customWidth="1"/>
    <col min="8962" max="8962" width="15.125" style="5" customWidth="1"/>
    <col min="8963" max="8963" width="14.875" style="5" customWidth="1"/>
    <col min="8964" max="8964" width="12.875" style="5" customWidth="1"/>
    <col min="8965" max="8965" width="14.625" style="5" customWidth="1"/>
    <col min="8966" max="8966" width="17.625" style="5" customWidth="1"/>
    <col min="8967" max="8969" width="14.625" style="5" customWidth="1"/>
    <col min="8970" max="8971" width="11.5" style="5" bestFit="1" customWidth="1"/>
    <col min="8972" max="8972" width="10.125" style="5" bestFit="1" customWidth="1"/>
    <col min="8973" max="8973" width="11.5" style="5" bestFit="1" customWidth="1"/>
    <col min="8974" max="8974" width="11.625" style="5" customWidth="1"/>
    <col min="8975" max="8975" width="9.5" style="5" bestFit="1" customWidth="1"/>
    <col min="8976" max="8976" width="10.5" style="5" bestFit="1" customWidth="1"/>
    <col min="8977" max="8977" width="8.625" style="5"/>
    <col min="8978" max="8978" width="9.5" style="5" bestFit="1" customWidth="1"/>
    <col min="8979" max="8979" width="10.5" style="5" bestFit="1" customWidth="1"/>
    <col min="8980" max="9216" width="8.625" style="5"/>
    <col min="9217" max="9217" width="11.625" style="5" customWidth="1"/>
    <col min="9218" max="9218" width="15.125" style="5" customWidth="1"/>
    <col min="9219" max="9219" width="14.875" style="5" customWidth="1"/>
    <col min="9220" max="9220" width="12.875" style="5" customWidth="1"/>
    <col min="9221" max="9221" width="14.625" style="5" customWidth="1"/>
    <col min="9222" max="9222" width="17.625" style="5" customWidth="1"/>
    <col min="9223" max="9225" width="14.625" style="5" customWidth="1"/>
    <col min="9226" max="9227" width="11.5" style="5" bestFit="1" customWidth="1"/>
    <col min="9228" max="9228" width="10.125" style="5" bestFit="1" customWidth="1"/>
    <col min="9229" max="9229" width="11.5" style="5" bestFit="1" customWidth="1"/>
    <col min="9230" max="9230" width="11.625" style="5" customWidth="1"/>
    <col min="9231" max="9231" width="9.5" style="5" bestFit="1" customWidth="1"/>
    <col min="9232" max="9232" width="10.5" style="5" bestFit="1" customWidth="1"/>
    <col min="9233" max="9233" width="8.625" style="5"/>
    <col min="9234" max="9234" width="9.5" style="5" bestFit="1" customWidth="1"/>
    <col min="9235" max="9235" width="10.5" style="5" bestFit="1" customWidth="1"/>
    <col min="9236" max="9472" width="8.625" style="5"/>
    <col min="9473" max="9473" width="11.625" style="5" customWidth="1"/>
    <col min="9474" max="9474" width="15.125" style="5" customWidth="1"/>
    <col min="9475" max="9475" width="14.875" style="5" customWidth="1"/>
    <col min="9476" max="9476" width="12.875" style="5" customWidth="1"/>
    <col min="9477" max="9477" width="14.625" style="5" customWidth="1"/>
    <col min="9478" max="9478" width="17.625" style="5" customWidth="1"/>
    <col min="9479" max="9481" width="14.625" style="5" customWidth="1"/>
    <col min="9482" max="9483" width="11.5" style="5" bestFit="1" customWidth="1"/>
    <col min="9484" max="9484" width="10.125" style="5" bestFit="1" customWidth="1"/>
    <col min="9485" max="9485" width="11.5" style="5" bestFit="1" customWidth="1"/>
    <col min="9486" max="9486" width="11.625" style="5" customWidth="1"/>
    <col min="9487" max="9487" width="9.5" style="5" bestFit="1" customWidth="1"/>
    <col min="9488" max="9488" width="10.5" style="5" bestFit="1" customWidth="1"/>
    <col min="9489" max="9489" width="8.625" style="5"/>
    <col min="9490" max="9490" width="9.5" style="5" bestFit="1" customWidth="1"/>
    <col min="9491" max="9491" width="10.5" style="5" bestFit="1" customWidth="1"/>
    <col min="9492" max="9728" width="8.625" style="5"/>
    <col min="9729" max="9729" width="11.625" style="5" customWidth="1"/>
    <col min="9730" max="9730" width="15.125" style="5" customWidth="1"/>
    <col min="9731" max="9731" width="14.875" style="5" customWidth="1"/>
    <col min="9732" max="9732" width="12.875" style="5" customWidth="1"/>
    <col min="9733" max="9733" width="14.625" style="5" customWidth="1"/>
    <col min="9734" max="9734" width="17.625" style="5" customWidth="1"/>
    <col min="9735" max="9737" width="14.625" style="5" customWidth="1"/>
    <col min="9738" max="9739" width="11.5" style="5" bestFit="1" customWidth="1"/>
    <col min="9740" max="9740" width="10.125" style="5" bestFit="1" customWidth="1"/>
    <col min="9741" max="9741" width="11.5" style="5" bestFit="1" customWidth="1"/>
    <col min="9742" max="9742" width="11.625" style="5" customWidth="1"/>
    <col min="9743" max="9743" width="9.5" style="5" bestFit="1" customWidth="1"/>
    <col min="9744" max="9744" width="10.5" style="5" bestFit="1" customWidth="1"/>
    <col min="9745" max="9745" width="8.625" style="5"/>
    <col min="9746" max="9746" width="9.5" style="5" bestFit="1" customWidth="1"/>
    <col min="9747" max="9747" width="10.5" style="5" bestFit="1" customWidth="1"/>
    <col min="9748" max="9984" width="8.625" style="5"/>
    <col min="9985" max="9985" width="11.625" style="5" customWidth="1"/>
    <col min="9986" max="9986" width="15.125" style="5" customWidth="1"/>
    <col min="9987" max="9987" width="14.875" style="5" customWidth="1"/>
    <col min="9988" max="9988" width="12.875" style="5" customWidth="1"/>
    <col min="9989" max="9989" width="14.625" style="5" customWidth="1"/>
    <col min="9990" max="9990" width="17.625" style="5" customWidth="1"/>
    <col min="9991" max="9993" width="14.625" style="5" customWidth="1"/>
    <col min="9994" max="9995" width="11.5" style="5" bestFit="1" customWidth="1"/>
    <col min="9996" max="9996" width="10.125" style="5" bestFit="1" customWidth="1"/>
    <col min="9997" max="9997" width="11.5" style="5" bestFit="1" customWidth="1"/>
    <col min="9998" max="9998" width="11.625" style="5" customWidth="1"/>
    <col min="9999" max="9999" width="9.5" style="5" bestFit="1" customWidth="1"/>
    <col min="10000" max="10000" width="10.5" style="5" bestFit="1" customWidth="1"/>
    <col min="10001" max="10001" width="8.625" style="5"/>
    <col min="10002" max="10002" width="9.5" style="5" bestFit="1" customWidth="1"/>
    <col min="10003" max="10003" width="10.5" style="5" bestFit="1" customWidth="1"/>
    <col min="10004" max="10240" width="8.625" style="5"/>
    <col min="10241" max="10241" width="11.625" style="5" customWidth="1"/>
    <col min="10242" max="10242" width="15.125" style="5" customWidth="1"/>
    <col min="10243" max="10243" width="14.875" style="5" customWidth="1"/>
    <col min="10244" max="10244" width="12.875" style="5" customWidth="1"/>
    <col min="10245" max="10245" width="14.625" style="5" customWidth="1"/>
    <col min="10246" max="10246" width="17.625" style="5" customWidth="1"/>
    <col min="10247" max="10249" width="14.625" style="5" customWidth="1"/>
    <col min="10250" max="10251" width="11.5" style="5" bestFit="1" customWidth="1"/>
    <col min="10252" max="10252" width="10.125" style="5" bestFit="1" customWidth="1"/>
    <col min="10253" max="10253" width="11.5" style="5" bestFit="1" customWidth="1"/>
    <col min="10254" max="10254" width="11.625" style="5" customWidth="1"/>
    <col min="10255" max="10255" width="9.5" style="5" bestFit="1" customWidth="1"/>
    <col min="10256" max="10256" width="10.5" style="5" bestFit="1" customWidth="1"/>
    <col min="10257" max="10257" width="8.625" style="5"/>
    <col min="10258" max="10258" width="9.5" style="5" bestFit="1" customWidth="1"/>
    <col min="10259" max="10259" width="10.5" style="5" bestFit="1" customWidth="1"/>
    <col min="10260" max="10496" width="8.625" style="5"/>
    <col min="10497" max="10497" width="11.625" style="5" customWidth="1"/>
    <col min="10498" max="10498" width="15.125" style="5" customWidth="1"/>
    <col min="10499" max="10499" width="14.875" style="5" customWidth="1"/>
    <col min="10500" max="10500" width="12.875" style="5" customWidth="1"/>
    <col min="10501" max="10501" width="14.625" style="5" customWidth="1"/>
    <col min="10502" max="10502" width="17.625" style="5" customWidth="1"/>
    <col min="10503" max="10505" width="14.625" style="5" customWidth="1"/>
    <col min="10506" max="10507" width="11.5" style="5" bestFit="1" customWidth="1"/>
    <col min="10508" max="10508" width="10.125" style="5" bestFit="1" customWidth="1"/>
    <col min="10509" max="10509" width="11.5" style="5" bestFit="1" customWidth="1"/>
    <col min="10510" max="10510" width="11.625" style="5" customWidth="1"/>
    <col min="10511" max="10511" width="9.5" style="5" bestFit="1" customWidth="1"/>
    <col min="10512" max="10512" width="10.5" style="5" bestFit="1" customWidth="1"/>
    <col min="10513" max="10513" width="8.625" style="5"/>
    <col min="10514" max="10514" width="9.5" style="5" bestFit="1" customWidth="1"/>
    <col min="10515" max="10515" width="10.5" style="5" bestFit="1" customWidth="1"/>
    <col min="10516" max="10752" width="8.625" style="5"/>
    <col min="10753" max="10753" width="11.625" style="5" customWidth="1"/>
    <col min="10754" max="10754" width="15.125" style="5" customWidth="1"/>
    <col min="10755" max="10755" width="14.875" style="5" customWidth="1"/>
    <col min="10756" max="10756" width="12.875" style="5" customWidth="1"/>
    <col min="10757" max="10757" width="14.625" style="5" customWidth="1"/>
    <col min="10758" max="10758" width="17.625" style="5" customWidth="1"/>
    <col min="10759" max="10761" width="14.625" style="5" customWidth="1"/>
    <col min="10762" max="10763" width="11.5" style="5" bestFit="1" customWidth="1"/>
    <col min="10764" max="10764" width="10.125" style="5" bestFit="1" customWidth="1"/>
    <col min="10765" max="10765" width="11.5" style="5" bestFit="1" customWidth="1"/>
    <col min="10766" max="10766" width="11.625" style="5" customWidth="1"/>
    <col min="10767" max="10767" width="9.5" style="5" bestFit="1" customWidth="1"/>
    <col min="10768" max="10768" width="10.5" style="5" bestFit="1" customWidth="1"/>
    <col min="10769" max="10769" width="8.625" style="5"/>
    <col min="10770" max="10770" width="9.5" style="5" bestFit="1" customWidth="1"/>
    <col min="10771" max="10771" width="10.5" style="5" bestFit="1" customWidth="1"/>
    <col min="10772" max="11008" width="8.625" style="5"/>
    <col min="11009" max="11009" width="11.625" style="5" customWidth="1"/>
    <col min="11010" max="11010" width="15.125" style="5" customWidth="1"/>
    <col min="11011" max="11011" width="14.875" style="5" customWidth="1"/>
    <col min="11012" max="11012" width="12.875" style="5" customWidth="1"/>
    <col min="11013" max="11013" width="14.625" style="5" customWidth="1"/>
    <col min="11014" max="11014" width="17.625" style="5" customWidth="1"/>
    <col min="11015" max="11017" width="14.625" style="5" customWidth="1"/>
    <col min="11018" max="11019" width="11.5" style="5" bestFit="1" customWidth="1"/>
    <col min="11020" max="11020" width="10.125" style="5" bestFit="1" customWidth="1"/>
    <col min="11021" max="11021" width="11.5" style="5" bestFit="1" customWidth="1"/>
    <col min="11022" max="11022" width="11.625" style="5" customWidth="1"/>
    <col min="11023" max="11023" width="9.5" style="5" bestFit="1" customWidth="1"/>
    <col min="11024" max="11024" width="10.5" style="5" bestFit="1" customWidth="1"/>
    <col min="11025" max="11025" width="8.625" style="5"/>
    <col min="11026" max="11026" width="9.5" style="5" bestFit="1" customWidth="1"/>
    <col min="11027" max="11027" width="10.5" style="5" bestFit="1" customWidth="1"/>
    <col min="11028" max="11264" width="8.625" style="5"/>
    <col min="11265" max="11265" width="11.625" style="5" customWidth="1"/>
    <col min="11266" max="11266" width="15.125" style="5" customWidth="1"/>
    <col min="11267" max="11267" width="14.875" style="5" customWidth="1"/>
    <col min="11268" max="11268" width="12.875" style="5" customWidth="1"/>
    <col min="11269" max="11269" width="14.625" style="5" customWidth="1"/>
    <col min="11270" max="11270" width="17.625" style="5" customWidth="1"/>
    <col min="11271" max="11273" width="14.625" style="5" customWidth="1"/>
    <col min="11274" max="11275" width="11.5" style="5" bestFit="1" customWidth="1"/>
    <col min="11276" max="11276" width="10.125" style="5" bestFit="1" customWidth="1"/>
    <col min="11277" max="11277" width="11.5" style="5" bestFit="1" customWidth="1"/>
    <col min="11278" max="11278" width="11.625" style="5" customWidth="1"/>
    <col min="11279" max="11279" width="9.5" style="5" bestFit="1" customWidth="1"/>
    <col min="11280" max="11280" width="10.5" style="5" bestFit="1" customWidth="1"/>
    <col min="11281" max="11281" width="8.625" style="5"/>
    <col min="11282" max="11282" width="9.5" style="5" bestFit="1" customWidth="1"/>
    <col min="11283" max="11283" width="10.5" style="5" bestFit="1" customWidth="1"/>
    <col min="11284" max="11520" width="8.625" style="5"/>
    <col min="11521" max="11521" width="11.625" style="5" customWidth="1"/>
    <col min="11522" max="11522" width="15.125" style="5" customWidth="1"/>
    <col min="11523" max="11523" width="14.875" style="5" customWidth="1"/>
    <col min="11524" max="11524" width="12.875" style="5" customWidth="1"/>
    <col min="11525" max="11525" width="14.625" style="5" customWidth="1"/>
    <col min="11526" max="11526" width="17.625" style="5" customWidth="1"/>
    <col min="11527" max="11529" width="14.625" style="5" customWidth="1"/>
    <col min="11530" max="11531" width="11.5" style="5" bestFit="1" customWidth="1"/>
    <col min="11532" max="11532" width="10.125" style="5" bestFit="1" customWidth="1"/>
    <col min="11533" max="11533" width="11.5" style="5" bestFit="1" customWidth="1"/>
    <col min="11534" max="11534" width="11.625" style="5" customWidth="1"/>
    <col min="11535" max="11535" width="9.5" style="5" bestFit="1" customWidth="1"/>
    <col min="11536" max="11536" width="10.5" style="5" bestFit="1" customWidth="1"/>
    <col min="11537" max="11537" width="8.625" style="5"/>
    <col min="11538" max="11538" width="9.5" style="5" bestFit="1" customWidth="1"/>
    <col min="11539" max="11539" width="10.5" style="5" bestFit="1" customWidth="1"/>
    <col min="11540" max="11776" width="8.625" style="5"/>
    <col min="11777" max="11777" width="11.625" style="5" customWidth="1"/>
    <col min="11778" max="11778" width="15.125" style="5" customWidth="1"/>
    <col min="11779" max="11779" width="14.875" style="5" customWidth="1"/>
    <col min="11780" max="11780" width="12.875" style="5" customWidth="1"/>
    <col min="11781" max="11781" width="14.625" style="5" customWidth="1"/>
    <col min="11782" max="11782" width="17.625" style="5" customWidth="1"/>
    <col min="11783" max="11785" width="14.625" style="5" customWidth="1"/>
    <col min="11786" max="11787" width="11.5" style="5" bestFit="1" customWidth="1"/>
    <col min="11788" max="11788" width="10.125" style="5" bestFit="1" customWidth="1"/>
    <col min="11789" max="11789" width="11.5" style="5" bestFit="1" customWidth="1"/>
    <col min="11790" max="11790" width="11.625" style="5" customWidth="1"/>
    <col min="11791" max="11791" width="9.5" style="5" bestFit="1" customWidth="1"/>
    <col min="11792" max="11792" width="10.5" style="5" bestFit="1" customWidth="1"/>
    <col min="11793" max="11793" width="8.625" style="5"/>
    <col min="11794" max="11794" width="9.5" style="5" bestFit="1" customWidth="1"/>
    <col min="11795" max="11795" width="10.5" style="5" bestFit="1" customWidth="1"/>
    <col min="11796" max="12032" width="8.625" style="5"/>
    <col min="12033" max="12033" width="11.625" style="5" customWidth="1"/>
    <col min="12034" max="12034" width="15.125" style="5" customWidth="1"/>
    <col min="12035" max="12035" width="14.875" style="5" customWidth="1"/>
    <col min="12036" max="12036" width="12.875" style="5" customWidth="1"/>
    <col min="12037" max="12037" width="14.625" style="5" customWidth="1"/>
    <col min="12038" max="12038" width="17.625" style="5" customWidth="1"/>
    <col min="12039" max="12041" width="14.625" style="5" customWidth="1"/>
    <col min="12042" max="12043" width="11.5" style="5" bestFit="1" customWidth="1"/>
    <col min="12044" max="12044" width="10.125" style="5" bestFit="1" customWidth="1"/>
    <col min="12045" max="12045" width="11.5" style="5" bestFit="1" customWidth="1"/>
    <col min="12046" max="12046" width="11.625" style="5" customWidth="1"/>
    <col min="12047" max="12047" width="9.5" style="5" bestFit="1" customWidth="1"/>
    <col min="12048" max="12048" width="10.5" style="5" bestFit="1" customWidth="1"/>
    <col min="12049" max="12049" width="8.625" style="5"/>
    <col min="12050" max="12050" width="9.5" style="5" bestFit="1" customWidth="1"/>
    <col min="12051" max="12051" width="10.5" style="5" bestFit="1" customWidth="1"/>
    <col min="12052" max="12288" width="8.625" style="5"/>
    <col min="12289" max="12289" width="11.625" style="5" customWidth="1"/>
    <col min="12290" max="12290" width="15.125" style="5" customWidth="1"/>
    <col min="12291" max="12291" width="14.875" style="5" customWidth="1"/>
    <col min="12292" max="12292" width="12.875" style="5" customWidth="1"/>
    <col min="12293" max="12293" width="14.625" style="5" customWidth="1"/>
    <col min="12294" max="12294" width="17.625" style="5" customWidth="1"/>
    <col min="12295" max="12297" width="14.625" style="5" customWidth="1"/>
    <col min="12298" max="12299" width="11.5" style="5" bestFit="1" customWidth="1"/>
    <col min="12300" max="12300" width="10.125" style="5" bestFit="1" customWidth="1"/>
    <col min="12301" max="12301" width="11.5" style="5" bestFit="1" customWidth="1"/>
    <col min="12302" max="12302" width="11.625" style="5" customWidth="1"/>
    <col min="12303" max="12303" width="9.5" style="5" bestFit="1" customWidth="1"/>
    <col min="12304" max="12304" width="10.5" style="5" bestFit="1" customWidth="1"/>
    <col min="12305" max="12305" width="8.625" style="5"/>
    <col min="12306" max="12306" width="9.5" style="5" bestFit="1" customWidth="1"/>
    <col min="12307" max="12307" width="10.5" style="5" bestFit="1" customWidth="1"/>
    <col min="12308" max="12544" width="8.625" style="5"/>
    <col min="12545" max="12545" width="11.625" style="5" customWidth="1"/>
    <col min="12546" max="12546" width="15.125" style="5" customWidth="1"/>
    <col min="12547" max="12547" width="14.875" style="5" customWidth="1"/>
    <col min="12548" max="12548" width="12.875" style="5" customWidth="1"/>
    <col min="12549" max="12549" width="14.625" style="5" customWidth="1"/>
    <col min="12550" max="12550" width="17.625" style="5" customWidth="1"/>
    <col min="12551" max="12553" width="14.625" style="5" customWidth="1"/>
    <col min="12554" max="12555" width="11.5" style="5" bestFit="1" customWidth="1"/>
    <col min="12556" max="12556" width="10.125" style="5" bestFit="1" customWidth="1"/>
    <col min="12557" max="12557" width="11.5" style="5" bestFit="1" customWidth="1"/>
    <col min="12558" max="12558" width="11.625" style="5" customWidth="1"/>
    <col min="12559" max="12559" width="9.5" style="5" bestFit="1" customWidth="1"/>
    <col min="12560" max="12560" width="10.5" style="5" bestFit="1" customWidth="1"/>
    <col min="12561" max="12561" width="8.625" style="5"/>
    <col min="12562" max="12562" width="9.5" style="5" bestFit="1" customWidth="1"/>
    <col min="12563" max="12563" width="10.5" style="5" bestFit="1" customWidth="1"/>
    <col min="12564" max="12800" width="8.625" style="5"/>
    <col min="12801" max="12801" width="11.625" style="5" customWidth="1"/>
    <col min="12802" max="12802" width="15.125" style="5" customWidth="1"/>
    <col min="12803" max="12803" width="14.875" style="5" customWidth="1"/>
    <col min="12804" max="12804" width="12.875" style="5" customWidth="1"/>
    <col min="12805" max="12805" width="14.625" style="5" customWidth="1"/>
    <col min="12806" max="12806" width="17.625" style="5" customWidth="1"/>
    <col min="12807" max="12809" width="14.625" style="5" customWidth="1"/>
    <col min="12810" max="12811" width="11.5" style="5" bestFit="1" customWidth="1"/>
    <col min="12812" max="12812" width="10.125" style="5" bestFit="1" customWidth="1"/>
    <col min="12813" max="12813" width="11.5" style="5" bestFit="1" customWidth="1"/>
    <col min="12814" max="12814" width="11.625" style="5" customWidth="1"/>
    <col min="12815" max="12815" width="9.5" style="5" bestFit="1" customWidth="1"/>
    <col min="12816" max="12816" width="10.5" style="5" bestFit="1" customWidth="1"/>
    <col min="12817" max="12817" width="8.625" style="5"/>
    <col min="12818" max="12818" width="9.5" style="5" bestFit="1" customWidth="1"/>
    <col min="12819" max="12819" width="10.5" style="5" bestFit="1" customWidth="1"/>
    <col min="12820" max="13056" width="8.625" style="5"/>
    <col min="13057" max="13057" width="11.625" style="5" customWidth="1"/>
    <col min="13058" max="13058" width="15.125" style="5" customWidth="1"/>
    <col min="13059" max="13059" width="14.875" style="5" customWidth="1"/>
    <col min="13060" max="13060" width="12.875" style="5" customWidth="1"/>
    <col min="13061" max="13061" width="14.625" style="5" customWidth="1"/>
    <col min="13062" max="13062" width="17.625" style="5" customWidth="1"/>
    <col min="13063" max="13065" width="14.625" style="5" customWidth="1"/>
    <col min="13066" max="13067" width="11.5" style="5" bestFit="1" customWidth="1"/>
    <col min="13068" max="13068" width="10.125" style="5" bestFit="1" customWidth="1"/>
    <col min="13069" max="13069" width="11.5" style="5" bestFit="1" customWidth="1"/>
    <col min="13070" max="13070" width="11.625" style="5" customWidth="1"/>
    <col min="13071" max="13071" width="9.5" style="5" bestFit="1" customWidth="1"/>
    <col min="13072" max="13072" width="10.5" style="5" bestFit="1" customWidth="1"/>
    <col min="13073" max="13073" width="8.625" style="5"/>
    <col min="13074" max="13074" width="9.5" style="5" bestFit="1" customWidth="1"/>
    <col min="13075" max="13075" width="10.5" style="5" bestFit="1" customWidth="1"/>
    <col min="13076" max="13312" width="8.625" style="5"/>
    <col min="13313" max="13313" width="11.625" style="5" customWidth="1"/>
    <col min="13314" max="13314" width="15.125" style="5" customWidth="1"/>
    <col min="13315" max="13315" width="14.875" style="5" customWidth="1"/>
    <col min="13316" max="13316" width="12.875" style="5" customWidth="1"/>
    <col min="13317" max="13317" width="14.625" style="5" customWidth="1"/>
    <col min="13318" max="13318" width="17.625" style="5" customWidth="1"/>
    <col min="13319" max="13321" width="14.625" style="5" customWidth="1"/>
    <col min="13322" max="13323" width="11.5" style="5" bestFit="1" customWidth="1"/>
    <col min="13324" max="13324" width="10.125" style="5" bestFit="1" customWidth="1"/>
    <col min="13325" max="13325" width="11.5" style="5" bestFit="1" customWidth="1"/>
    <col min="13326" max="13326" width="11.625" style="5" customWidth="1"/>
    <col min="13327" max="13327" width="9.5" style="5" bestFit="1" customWidth="1"/>
    <col min="13328" max="13328" width="10.5" style="5" bestFit="1" customWidth="1"/>
    <col min="13329" max="13329" width="8.625" style="5"/>
    <col min="13330" max="13330" width="9.5" style="5" bestFit="1" customWidth="1"/>
    <col min="13331" max="13331" width="10.5" style="5" bestFit="1" customWidth="1"/>
    <col min="13332" max="13568" width="8.625" style="5"/>
    <col min="13569" max="13569" width="11.625" style="5" customWidth="1"/>
    <col min="13570" max="13570" width="15.125" style="5" customWidth="1"/>
    <col min="13571" max="13571" width="14.875" style="5" customWidth="1"/>
    <col min="13572" max="13572" width="12.875" style="5" customWidth="1"/>
    <col min="13573" max="13573" width="14.625" style="5" customWidth="1"/>
    <col min="13574" max="13574" width="17.625" style="5" customWidth="1"/>
    <col min="13575" max="13577" width="14.625" style="5" customWidth="1"/>
    <col min="13578" max="13579" width="11.5" style="5" bestFit="1" customWidth="1"/>
    <col min="13580" max="13580" width="10.125" style="5" bestFit="1" customWidth="1"/>
    <col min="13581" max="13581" width="11.5" style="5" bestFit="1" customWidth="1"/>
    <col min="13582" max="13582" width="11.625" style="5" customWidth="1"/>
    <col min="13583" max="13583" width="9.5" style="5" bestFit="1" customWidth="1"/>
    <col min="13584" max="13584" width="10.5" style="5" bestFit="1" customWidth="1"/>
    <col min="13585" max="13585" width="8.625" style="5"/>
    <col min="13586" max="13586" width="9.5" style="5" bestFit="1" customWidth="1"/>
    <col min="13587" max="13587" width="10.5" style="5" bestFit="1" customWidth="1"/>
    <col min="13588" max="13824" width="8.625" style="5"/>
    <col min="13825" max="13825" width="11.625" style="5" customWidth="1"/>
    <col min="13826" max="13826" width="15.125" style="5" customWidth="1"/>
    <col min="13827" max="13827" width="14.875" style="5" customWidth="1"/>
    <col min="13828" max="13828" width="12.875" style="5" customWidth="1"/>
    <col min="13829" max="13829" width="14.625" style="5" customWidth="1"/>
    <col min="13830" max="13830" width="17.625" style="5" customWidth="1"/>
    <col min="13831" max="13833" width="14.625" style="5" customWidth="1"/>
    <col min="13834" max="13835" width="11.5" style="5" bestFit="1" customWidth="1"/>
    <col min="13836" max="13836" width="10.125" style="5" bestFit="1" customWidth="1"/>
    <col min="13837" max="13837" width="11.5" style="5" bestFit="1" customWidth="1"/>
    <col min="13838" max="13838" width="11.625" style="5" customWidth="1"/>
    <col min="13839" max="13839" width="9.5" style="5" bestFit="1" customWidth="1"/>
    <col min="13840" max="13840" width="10.5" style="5" bestFit="1" customWidth="1"/>
    <col min="13841" max="13841" width="8.625" style="5"/>
    <col min="13842" max="13842" width="9.5" style="5" bestFit="1" customWidth="1"/>
    <col min="13843" max="13843" width="10.5" style="5" bestFit="1" customWidth="1"/>
    <col min="13844" max="14080" width="8.625" style="5"/>
    <col min="14081" max="14081" width="11.625" style="5" customWidth="1"/>
    <col min="14082" max="14082" width="15.125" style="5" customWidth="1"/>
    <col min="14083" max="14083" width="14.875" style="5" customWidth="1"/>
    <col min="14084" max="14084" width="12.875" style="5" customWidth="1"/>
    <col min="14085" max="14085" width="14.625" style="5" customWidth="1"/>
    <col min="14086" max="14086" width="17.625" style="5" customWidth="1"/>
    <col min="14087" max="14089" width="14.625" style="5" customWidth="1"/>
    <col min="14090" max="14091" width="11.5" style="5" bestFit="1" customWidth="1"/>
    <col min="14092" max="14092" width="10.125" style="5" bestFit="1" customWidth="1"/>
    <col min="14093" max="14093" width="11.5" style="5" bestFit="1" customWidth="1"/>
    <col min="14094" max="14094" width="11.625" style="5" customWidth="1"/>
    <col min="14095" max="14095" width="9.5" style="5" bestFit="1" customWidth="1"/>
    <col min="14096" max="14096" width="10.5" style="5" bestFit="1" customWidth="1"/>
    <col min="14097" max="14097" width="8.625" style="5"/>
    <col min="14098" max="14098" width="9.5" style="5" bestFit="1" customWidth="1"/>
    <col min="14099" max="14099" width="10.5" style="5" bestFit="1" customWidth="1"/>
    <col min="14100" max="14336" width="8.625" style="5"/>
    <col min="14337" max="14337" width="11.625" style="5" customWidth="1"/>
    <col min="14338" max="14338" width="15.125" style="5" customWidth="1"/>
    <col min="14339" max="14339" width="14.875" style="5" customWidth="1"/>
    <col min="14340" max="14340" width="12.875" style="5" customWidth="1"/>
    <col min="14341" max="14341" width="14.625" style="5" customWidth="1"/>
    <col min="14342" max="14342" width="17.625" style="5" customWidth="1"/>
    <col min="14343" max="14345" width="14.625" style="5" customWidth="1"/>
    <col min="14346" max="14347" width="11.5" style="5" bestFit="1" customWidth="1"/>
    <col min="14348" max="14348" width="10.125" style="5" bestFit="1" customWidth="1"/>
    <col min="14349" max="14349" width="11.5" style="5" bestFit="1" customWidth="1"/>
    <col min="14350" max="14350" width="11.625" style="5" customWidth="1"/>
    <col min="14351" max="14351" width="9.5" style="5" bestFit="1" customWidth="1"/>
    <col min="14352" max="14352" width="10.5" style="5" bestFit="1" customWidth="1"/>
    <col min="14353" max="14353" width="8.625" style="5"/>
    <col min="14354" max="14354" width="9.5" style="5" bestFit="1" customWidth="1"/>
    <col min="14355" max="14355" width="10.5" style="5" bestFit="1" customWidth="1"/>
    <col min="14356" max="14592" width="8.625" style="5"/>
    <col min="14593" max="14593" width="11.625" style="5" customWidth="1"/>
    <col min="14594" max="14594" width="15.125" style="5" customWidth="1"/>
    <col min="14595" max="14595" width="14.875" style="5" customWidth="1"/>
    <col min="14596" max="14596" width="12.875" style="5" customWidth="1"/>
    <col min="14597" max="14597" width="14.625" style="5" customWidth="1"/>
    <col min="14598" max="14598" width="17.625" style="5" customWidth="1"/>
    <col min="14599" max="14601" width="14.625" style="5" customWidth="1"/>
    <col min="14602" max="14603" width="11.5" style="5" bestFit="1" customWidth="1"/>
    <col min="14604" max="14604" width="10.125" style="5" bestFit="1" customWidth="1"/>
    <col min="14605" max="14605" width="11.5" style="5" bestFit="1" customWidth="1"/>
    <col min="14606" max="14606" width="11.625" style="5" customWidth="1"/>
    <col min="14607" max="14607" width="9.5" style="5" bestFit="1" customWidth="1"/>
    <col min="14608" max="14608" width="10.5" style="5" bestFit="1" customWidth="1"/>
    <col min="14609" max="14609" width="8.625" style="5"/>
    <col min="14610" max="14610" width="9.5" style="5" bestFit="1" customWidth="1"/>
    <col min="14611" max="14611" width="10.5" style="5" bestFit="1" customWidth="1"/>
    <col min="14612" max="14848" width="8.625" style="5"/>
    <col min="14849" max="14849" width="11.625" style="5" customWidth="1"/>
    <col min="14850" max="14850" width="15.125" style="5" customWidth="1"/>
    <col min="14851" max="14851" width="14.875" style="5" customWidth="1"/>
    <col min="14852" max="14852" width="12.875" style="5" customWidth="1"/>
    <col min="14853" max="14853" width="14.625" style="5" customWidth="1"/>
    <col min="14854" max="14854" width="17.625" style="5" customWidth="1"/>
    <col min="14855" max="14857" width="14.625" style="5" customWidth="1"/>
    <col min="14858" max="14859" width="11.5" style="5" bestFit="1" customWidth="1"/>
    <col min="14860" max="14860" width="10.125" style="5" bestFit="1" customWidth="1"/>
    <col min="14861" max="14861" width="11.5" style="5" bestFit="1" customWidth="1"/>
    <col min="14862" max="14862" width="11.625" style="5" customWidth="1"/>
    <col min="14863" max="14863" width="9.5" style="5" bestFit="1" customWidth="1"/>
    <col min="14864" max="14864" width="10.5" style="5" bestFit="1" customWidth="1"/>
    <col min="14865" max="14865" width="8.625" style="5"/>
    <col min="14866" max="14866" width="9.5" style="5" bestFit="1" customWidth="1"/>
    <col min="14867" max="14867" width="10.5" style="5" bestFit="1" customWidth="1"/>
    <col min="14868" max="15104" width="8.625" style="5"/>
    <col min="15105" max="15105" width="11.625" style="5" customWidth="1"/>
    <col min="15106" max="15106" width="15.125" style="5" customWidth="1"/>
    <col min="15107" max="15107" width="14.875" style="5" customWidth="1"/>
    <col min="15108" max="15108" width="12.875" style="5" customWidth="1"/>
    <col min="15109" max="15109" width="14.625" style="5" customWidth="1"/>
    <col min="15110" max="15110" width="17.625" style="5" customWidth="1"/>
    <col min="15111" max="15113" width="14.625" style="5" customWidth="1"/>
    <col min="15114" max="15115" width="11.5" style="5" bestFit="1" customWidth="1"/>
    <col min="15116" max="15116" width="10.125" style="5" bestFit="1" customWidth="1"/>
    <col min="15117" max="15117" width="11.5" style="5" bestFit="1" customWidth="1"/>
    <col min="15118" max="15118" width="11.625" style="5" customWidth="1"/>
    <col min="15119" max="15119" width="9.5" style="5" bestFit="1" customWidth="1"/>
    <col min="15120" max="15120" width="10.5" style="5" bestFit="1" customWidth="1"/>
    <col min="15121" max="15121" width="8.625" style="5"/>
    <col min="15122" max="15122" width="9.5" style="5" bestFit="1" customWidth="1"/>
    <col min="15123" max="15123" width="10.5" style="5" bestFit="1" customWidth="1"/>
    <col min="15124" max="15360" width="8.625" style="5"/>
    <col min="15361" max="15361" width="11.625" style="5" customWidth="1"/>
    <col min="15362" max="15362" width="15.125" style="5" customWidth="1"/>
    <col min="15363" max="15363" width="14.875" style="5" customWidth="1"/>
    <col min="15364" max="15364" width="12.875" style="5" customWidth="1"/>
    <col min="15365" max="15365" width="14.625" style="5" customWidth="1"/>
    <col min="15366" max="15366" width="17.625" style="5" customWidth="1"/>
    <col min="15367" max="15369" width="14.625" style="5" customWidth="1"/>
    <col min="15370" max="15371" width="11.5" style="5" bestFit="1" customWidth="1"/>
    <col min="15372" max="15372" width="10.125" style="5" bestFit="1" customWidth="1"/>
    <col min="15373" max="15373" width="11.5" style="5" bestFit="1" customWidth="1"/>
    <col min="15374" max="15374" width="11.625" style="5" customWidth="1"/>
    <col min="15375" max="15375" width="9.5" style="5" bestFit="1" customWidth="1"/>
    <col min="15376" max="15376" width="10.5" style="5" bestFit="1" customWidth="1"/>
    <col min="15377" max="15377" width="8.625" style="5"/>
    <col min="15378" max="15378" width="9.5" style="5" bestFit="1" customWidth="1"/>
    <col min="15379" max="15379" width="10.5" style="5" bestFit="1" customWidth="1"/>
    <col min="15380" max="15616" width="8.625" style="5"/>
    <col min="15617" max="15617" width="11.625" style="5" customWidth="1"/>
    <col min="15618" max="15618" width="15.125" style="5" customWidth="1"/>
    <col min="15619" max="15619" width="14.875" style="5" customWidth="1"/>
    <col min="15620" max="15620" width="12.875" style="5" customWidth="1"/>
    <col min="15621" max="15621" width="14.625" style="5" customWidth="1"/>
    <col min="15622" max="15622" width="17.625" style="5" customWidth="1"/>
    <col min="15623" max="15625" width="14.625" style="5" customWidth="1"/>
    <col min="15626" max="15627" width="11.5" style="5" bestFit="1" customWidth="1"/>
    <col min="15628" max="15628" width="10.125" style="5" bestFit="1" customWidth="1"/>
    <col min="15629" max="15629" width="11.5" style="5" bestFit="1" customWidth="1"/>
    <col min="15630" max="15630" width="11.625" style="5" customWidth="1"/>
    <col min="15631" max="15631" width="9.5" style="5" bestFit="1" customWidth="1"/>
    <col min="15632" max="15632" width="10.5" style="5" bestFit="1" customWidth="1"/>
    <col min="15633" max="15633" width="8.625" style="5"/>
    <col min="15634" max="15634" width="9.5" style="5" bestFit="1" customWidth="1"/>
    <col min="15635" max="15635" width="10.5" style="5" bestFit="1" customWidth="1"/>
    <col min="15636" max="15872" width="8.625" style="5"/>
    <col min="15873" max="15873" width="11.625" style="5" customWidth="1"/>
    <col min="15874" max="15874" width="15.125" style="5" customWidth="1"/>
    <col min="15875" max="15875" width="14.875" style="5" customWidth="1"/>
    <col min="15876" max="15876" width="12.875" style="5" customWidth="1"/>
    <col min="15877" max="15877" width="14.625" style="5" customWidth="1"/>
    <col min="15878" max="15878" width="17.625" style="5" customWidth="1"/>
    <col min="15879" max="15881" width="14.625" style="5" customWidth="1"/>
    <col min="15882" max="15883" width="11.5" style="5" bestFit="1" customWidth="1"/>
    <col min="15884" max="15884" width="10.125" style="5" bestFit="1" customWidth="1"/>
    <col min="15885" max="15885" width="11.5" style="5" bestFit="1" customWidth="1"/>
    <col min="15886" max="15886" width="11.625" style="5" customWidth="1"/>
    <col min="15887" max="15887" width="9.5" style="5" bestFit="1" customWidth="1"/>
    <col min="15888" max="15888" width="10.5" style="5" bestFit="1" customWidth="1"/>
    <col min="15889" max="15889" width="8.625" style="5"/>
    <col min="15890" max="15890" width="9.5" style="5" bestFit="1" customWidth="1"/>
    <col min="15891" max="15891" width="10.5" style="5" bestFit="1" customWidth="1"/>
    <col min="15892" max="16128" width="8.625" style="5"/>
    <col min="16129" max="16129" width="11.625" style="5" customWidth="1"/>
    <col min="16130" max="16130" width="15.125" style="5" customWidth="1"/>
    <col min="16131" max="16131" width="14.875" style="5" customWidth="1"/>
    <col min="16132" max="16132" width="12.875" style="5" customWidth="1"/>
    <col min="16133" max="16133" width="14.625" style="5" customWidth="1"/>
    <col min="16134" max="16134" width="17.625" style="5" customWidth="1"/>
    <col min="16135" max="16137" width="14.625" style="5" customWidth="1"/>
    <col min="16138" max="16139" width="11.5" style="5" bestFit="1" customWidth="1"/>
    <col min="16140" max="16140" width="10.125" style="5" bestFit="1" customWidth="1"/>
    <col min="16141" max="16141" width="11.5" style="5" bestFit="1" customWidth="1"/>
    <col min="16142" max="16142" width="11.625" style="5" customWidth="1"/>
    <col min="16143" max="16143" width="9.5" style="5" bestFit="1" customWidth="1"/>
    <col min="16144" max="16144" width="10.5" style="5" bestFit="1" customWidth="1"/>
    <col min="16145" max="16145" width="8.625" style="5"/>
    <col min="16146" max="16146" width="9.5" style="5" bestFit="1" customWidth="1"/>
    <col min="16147" max="16147" width="10.5" style="5" bestFit="1" customWidth="1"/>
    <col min="16148" max="16384" width="8.625" style="5"/>
  </cols>
  <sheetData>
    <row r="1" spans="1:16" ht="20.100000000000001" customHeight="1" thickBot="1">
      <c r="A1" s="158" t="s">
        <v>3</v>
      </c>
      <c r="B1" s="158"/>
      <c r="C1" s="158"/>
      <c r="D1" s="158"/>
      <c r="E1" s="158"/>
      <c r="F1" s="158"/>
      <c r="G1" s="158"/>
      <c r="H1" s="158"/>
      <c r="I1" s="158"/>
      <c r="J1" s="4"/>
      <c r="K1" s="4"/>
      <c r="L1" s="4"/>
      <c r="M1" s="4"/>
      <c r="N1" s="4"/>
    </row>
    <row r="2" spans="1:16" ht="20.100000000000001" customHeight="1">
      <c r="A2" s="159" t="s">
        <v>4</v>
      </c>
      <c r="B2" s="162" t="s">
        <v>5</v>
      </c>
      <c r="C2" s="165" t="s">
        <v>6</v>
      </c>
      <c r="D2" s="168" t="s">
        <v>7</v>
      </c>
      <c r="E2" s="169"/>
      <c r="F2" s="169"/>
      <c r="G2" s="169"/>
      <c r="H2" s="169"/>
      <c r="I2" s="170"/>
      <c r="J2" s="150" t="s">
        <v>8</v>
      </c>
      <c r="K2" s="4"/>
      <c r="L2" s="4"/>
      <c r="M2" s="4"/>
      <c r="N2" s="4"/>
    </row>
    <row r="3" spans="1:16" ht="20.100000000000001" customHeight="1">
      <c r="A3" s="160"/>
      <c r="B3" s="163"/>
      <c r="C3" s="166"/>
      <c r="D3" s="151" t="s">
        <v>9</v>
      </c>
      <c r="E3" s="153" t="s">
        <v>10</v>
      </c>
      <c r="F3" s="154"/>
      <c r="G3" s="155"/>
      <c r="H3" s="156" t="s">
        <v>11</v>
      </c>
      <c r="I3" s="157"/>
      <c r="J3" s="150"/>
      <c r="K3" s="4"/>
      <c r="L3" s="4"/>
      <c r="M3" s="4"/>
      <c r="N3" s="4"/>
    </row>
    <row r="4" spans="1:16" ht="33.950000000000003" customHeight="1">
      <c r="A4" s="161"/>
      <c r="B4" s="164"/>
      <c r="C4" s="167"/>
      <c r="D4" s="152"/>
      <c r="E4" s="6" t="s">
        <v>12</v>
      </c>
      <c r="F4" s="6" t="s">
        <v>13</v>
      </c>
      <c r="G4" s="6" t="s">
        <v>14</v>
      </c>
      <c r="H4" s="7" t="s">
        <v>12</v>
      </c>
      <c r="I4" s="8" t="s">
        <v>15</v>
      </c>
      <c r="J4" s="150"/>
      <c r="K4" s="4"/>
      <c r="L4" s="4"/>
      <c r="M4" s="4"/>
      <c r="N4" s="4"/>
      <c r="O4" s="4"/>
      <c r="P4" s="4"/>
    </row>
    <row r="5" spans="1:16" ht="20.100000000000001" customHeight="1">
      <c r="A5" s="141" t="s">
        <v>16</v>
      </c>
      <c r="B5" s="9" t="s">
        <v>17</v>
      </c>
      <c r="C5" s="10" t="s">
        <v>18</v>
      </c>
      <c r="D5" s="11">
        <f>SUM(E5,H5)</f>
        <v>19895.96</v>
      </c>
      <c r="E5" s="12">
        <v>17739.419999999998</v>
      </c>
      <c r="F5" s="12">
        <v>0</v>
      </c>
      <c r="G5" s="12">
        <f>E5-F5</f>
        <v>17739.419999999998</v>
      </c>
      <c r="H5" s="12">
        <v>2156.54</v>
      </c>
      <c r="I5" s="12">
        <v>26.32</v>
      </c>
      <c r="J5" s="4"/>
      <c r="K5" s="4"/>
      <c r="L5" s="4"/>
      <c r="M5" s="4"/>
      <c r="N5" s="4"/>
      <c r="O5" s="4"/>
      <c r="P5" s="4"/>
    </row>
    <row r="6" spans="1:16" ht="20.100000000000001" customHeight="1">
      <c r="A6" s="141"/>
      <c r="B6" s="9" t="s">
        <v>19</v>
      </c>
      <c r="C6" s="10" t="s">
        <v>20</v>
      </c>
      <c r="D6" s="11">
        <f t="shared" ref="D6:D21" si="0">SUM(E6,H6)</f>
        <v>34902.86</v>
      </c>
      <c r="E6" s="12">
        <v>30622.34</v>
      </c>
      <c r="F6" s="12">
        <f>2213.14*2</f>
        <v>4426.28</v>
      </c>
      <c r="G6" s="12">
        <f>E6-F6</f>
        <v>26196.06</v>
      </c>
      <c r="H6" s="12">
        <v>4280.5200000000004</v>
      </c>
      <c r="I6" s="12"/>
      <c r="J6" s="13" t="s">
        <v>21</v>
      </c>
      <c r="K6" s="13"/>
      <c r="L6" s="13"/>
      <c r="M6" s="13"/>
      <c r="N6" s="14"/>
      <c r="O6" s="13"/>
      <c r="P6" s="13"/>
    </row>
    <row r="7" spans="1:16" ht="20.100000000000001" customHeight="1">
      <c r="A7" s="141"/>
      <c r="B7" s="9" t="s">
        <v>22</v>
      </c>
      <c r="C7" s="10" t="s">
        <v>20</v>
      </c>
      <c r="D7" s="11">
        <f t="shared" si="0"/>
        <v>17595.189999999999</v>
      </c>
      <c r="E7" s="12">
        <v>15452.3</v>
      </c>
      <c r="F7" s="12">
        <f>1116.24*2</f>
        <v>2232.48</v>
      </c>
      <c r="G7" s="12">
        <f>E7-F7</f>
        <v>13219.82</v>
      </c>
      <c r="H7" s="12">
        <v>2142.89</v>
      </c>
      <c r="I7" s="12">
        <v>26.32</v>
      </c>
      <c r="J7" s="13" t="s">
        <v>21</v>
      </c>
      <c r="K7" s="13"/>
      <c r="L7" s="13"/>
      <c r="M7" s="14"/>
      <c r="N7" s="14"/>
      <c r="O7" s="14"/>
      <c r="P7" s="13"/>
    </row>
    <row r="8" spans="1:16" ht="20.100000000000001" customHeight="1">
      <c r="A8" s="141"/>
      <c r="B8" s="9" t="s">
        <v>23</v>
      </c>
      <c r="C8" s="10" t="s">
        <v>24</v>
      </c>
      <c r="D8" s="11">
        <f t="shared" si="0"/>
        <v>18149.600000000002</v>
      </c>
      <c r="E8" s="12">
        <v>15763.62</v>
      </c>
      <c r="F8" s="12">
        <v>0</v>
      </c>
      <c r="G8" s="12">
        <f t="shared" ref="G8:G16" si="1">E8-F8</f>
        <v>15763.62</v>
      </c>
      <c r="H8" s="12">
        <v>2385.98</v>
      </c>
      <c r="I8" s="12"/>
      <c r="J8" s="13"/>
      <c r="K8" s="13"/>
      <c r="L8" s="13"/>
      <c r="M8" s="14"/>
      <c r="N8" s="14"/>
      <c r="O8" s="14"/>
      <c r="P8" s="13"/>
    </row>
    <row r="9" spans="1:16" ht="20.100000000000001" customHeight="1">
      <c r="A9" s="141"/>
      <c r="B9" s="9" t="s">
        <v>25</v>
      </c>
      <c r="C9" s="10" t="s">
        <v>20</v>
      </c>
      <c r="D9" s="11">
        <f t="shared" si="0"/>
        <v>33830.46</v>
      </c>
      <c r="E9" s="12">
        <v>29436.45</v>
      </c>
      <c r="F9" s="12">
        <v>2213.61</v>
      </c>
      <c r="G9" s="12">
        <f t="shared" si="1"/>
        <v>27222.84</v>
      </c>
      <c r="H9" s="12">
        <v>4394.01</v>
      </c>
      <c r="I9" s="12">
        <v>38.25</v>
      </c>
      <c r="J9" s="13">
        <v>11</v>
      </c>
      <c r="K9" s="13"/>
      <c r="L9" s="13"/>
      <c r="M9" s="14"/>
      <c r="N9" s="14"/>
      <c r="O9" s="14"/>
      <c r="P9" s="13"/>
    </row>
    <row r="10" spans="1:16" ht="20.100000000000001" customHeight="1">
      <c r="A10" s="141"/>
      <c r="B10" s="15" t="s">
        <v>26</v>
      </c>
      <c r="C10" s="16" t="s">
        <v>27</v>
      </c>
      <c r="D10" s="17">
        <f t="shared" si="0"/>
        <v>4919.7</v>
      </c>
      <c r="E10" s="18">
        <v>3518.45</v>
      </c>
      <c r="F10" s="19"/>
      <c r="G10" s="19">
        <v>3518.45</v>
      </c>
      <c r="H10" s="19">
        <v>1401.25</v>
      </c>
      <c r="I10" s="19"/>
      <c r="J10" s="13"/>
      <c r="K10" s="13"/>
      <c r="L10" s="13"/>
      <c r="M10" s="14"/>
      <c r="N10" s="14"/>
      <c r="O10" s="14"/>
      <c r="P10" s="13"/>
    </row>
    <row r="11" spans="1:16" ht="20.100000000000001" customHeight="1">
      <c r="A11" s="141"/>
      <c r="B11" s="9" t="s">
        <v>28</v>
      </c>
      <c r="C11" s="10" t="s">
        <v>24</v>
      </c>
      <c r="D11" s="11">
        <f t="shared" si="0"/>
        <v>21901.48</v>
      </c>
      <c r="E11" s="20">
        <v>18938.96</v>
      </c>
      <c r="F11" s="12">
        <f>1512.2*2</f>
        <v>3024.4</v>
      </c>
      <c r="G11" s="12">
        <f t="shared" si="1"/>
        <v>15914.56</v>
      </c>
      <c r="H11" s="12">
        <v>2962.52</v>
      </c>
      <c r="I11" s="12">
        <v>36.130000000000003</v>
      </c>
      <c r="J11" s="13" t="s">
        <v>29</v>
      </c>
      <c r="K11" s="13"/>
      <c r="L11" s="13"/>
      <c r="M11" s="14"/>
      <c r="N11" s="14"/>
      <c r="O11" s="14"/>
      <c r="P11" s="13"/>
    </row>
    <row r="12" spans="1:16" ht="20.100000000000001" customHeight="1">
      <c r="A12" s="141"/>
      <c r="B12" s="9" t="s">
        <v>30</v>
      </c>
      <c r="C12" s="10" t="s">
        <v>31</v>
      </c>
      <c r="D12" s="11">
        <f t="shared" si="0"/>
        <v>28461.23</v>
      </c>
      <c r="E12" s="20">
        <v>25552.59</v>
      </c>
      <c r="F12" s="12">
        <v>0</v>
      </c>
      <c r="G12" s="12">
        <f t="shared" si="1"/>
        <v>25552.59</v>
      </c>
      <c r="H12" s="12">
        <v>2908.64</v>
      </c>
      <c r="I12" s="12">
        <v>35.270000000000003</v>
      </c>
      <c r="J12" s="13"/>
      <c r="K12" s="13"/>
      <c r="L12" s="13"/>
      <c r="M12" s="14"/>
      <c r="N12" s="14"/>
      <c r="O12" s="14"/>
      <c r="P12" s="13"/>
    </row>
    <row r="13" spans="1:16" ht="20.100000000000001" customHeight="1">
      <c r="A13" s="141"/>
      <c r="B13" s="15" t="s">
        <v>32</v>
      </c>
      <c r="C13" s="16" t="s">
        <v>27</v>
      </c>
      <c r="D13" s="17">
        <f t="shared" si="0"/>
        <v>4670.07</v>
      </c>
      <c r="E13" s="18">
        <v>3526.04</v>
      </c>
      <c r="F13" s="19"/>
      <c r="G13" s="19">
        <v>3526.04</v>
      </c>
      <c r="H13" s="19">
        <v>1144.03</v>
      </c>
      <c r="I13" s="19"/>
      <c r="J13" s="13"/>
      <c r="K13" s="13"/>
      <c r="L13" s="13"/>
      <c r="M13" s="14"/>
      <c r="N13" s="14"/>
      <c r="O13" s="14"/>
      <c r="P13" s="13"/>
    </row>
    <row r="14" spans="1:16" ht="20.100000000000001" customHeight="1">
      <c r="A14" s="141"/>
      <c r="B14" s="21" t="s">
        <v>33</v>
      </c>
      <c r="C14" s="22" t="s">
        <v>20</v>
      </c>
      <c r="D14" s="23">
        <f t="shared" si="0"/>
        <v>27652.710000000003</v>
      </c>
      <c r="E14" s="24">
        <v>23480.49</v>
      </c>
      <c r="F14" s="24">
        <v>0</v>
      </c>
      <c r="G14" s="24">
        <f t="shared" si="1"/>
        <v>23480.49</v>
      </c>
      <c r="H14" s="24">
        <v>4172.22</v>
      </c>
      <c r="I14" s="24"/>
      <c r="J14" s="13"/>
      <c r="K14" s="13"/>
      <c r="L14" s="13"/>
      <c r="M14" s="14"/>
      <c r="N14" s="14"/>
      <c r="O14" s="14"/>
      <c r="P14" s="13"/>
    </row>
    <row r="15" spans="1:16" ht="20.100000000000001" customHeight="1">
      <c r="A15" s="141"/>
      <c r="B15" s="9" t="s">
        <v>34</v>
      </c>
      <c r="C15" s="10" t="s">
        <v>24</v>
      </c>
      <c r="D15" s="11">
        <f t="shared" si="0"/>
        <v>19589.150000000001</v>
      </c>
      <c r="E15" s="12">
        <v>16996.61</v>
      </c>
      <c r="F15" s="12">
        <f>1322.16*2</f>
        <v>2644.32</v>
      </c>
      <c r="G15" s="12">
        <f t="shared" si="1"/>
        <v>14352.29</v>
      </c>
      <c r="H15" s="12">
        <v>2592.54</v>
      </c>
      <c r="I15" s="12">
        <v>34.299999999999997</v>
      </c>
      <c r="J15" s="13" t="s">
        <v>35</v>
      </c>
      <c r="K15" s="13"/>
      <c r="L15" s="13"/>
      <c r="M15" s="14"/>
      <c r="N15" s="14"/>
      <c r="O15" s="14"/>
      <c r="P15" s="13"/>
    </row>
    <row r="16" spans="1:16" ht="20.100000000000001" customHeight="1">
      <c r="A16" s="141"/>
      <c r="B16" s="21" t="s">
        <v>36</v>
      </c>
      <c r="C16" s="22" t="s">
        <v>20</v>
      </c>
      <c r="D16" s="23">
        <f t="shared" si="0"/>
        <v>27606.309999999998</v>
      </c>
      <c r="E16" s="24">
        <v>23454.23</v>
      </c>
      <c r="F16" s="24">
        <v>0</v>
      </c>
      <c r="G16" s="24">
        <f t="shared" si="1"/>
        <v>23454.23</v>
      </c>
      <c r="H16" s="24">
        <v>4152.08</v>
      </c>
      <c r="I16" s="24">
        <v>26.19</v>
      </c>
      <c r="J16" s="13"/>
      <c r="K16" s="13"/>
      <c r="L16" s="13"/>
      <c r="M16" s="14"/>
      <c r="N16" s="14"/>
      <c r="O16" s="14"/>
      <c r="P16" s="13"/>
    </row>
    <row r="17" spans="1:16" ht="20.100000000000001" customHeight="1">
      <c r="A17" s="141"/>
      <c r="B17" s="9" t="s">
        <v>37</v>
      </c>
      <c r="C17" s="10" t="s">
        <v>38</v>
      </c>
      <c r="D17" s="11">
        <f t="shared" si="0"/>
        <v>18651.78</v>
      </c>
      <c r="E17" s="12">
        <v>0</v>
      </c>
      <c r="F17" s="12"/>
      <c r="G17" s="12"/>
      <c r="H17" s="12">
        <v>18651.78</v>
      </c>
      <c r="I17" s="12"/>
      <c r="J17" s="13"/>
      <c r="K17" s="13"/>
      <c r="L17" s="13"/>
      <c r="M17" s="14"/>
      <c r="N17" s="14"/>
      <c r="O17" s="14"/>
      <c r="P17" s="13"/>
    </row>
    <row r="18" spans="1:16" ht="20.100000000000001" customHeight="1">
      <c r="A18" s="141"/>
      <c r="B18" s="9" t="s">
        <v>39</v>
      </c>
      <c r="C18" s="10" t="s">
        <v>38</v>
      </c>
      <c r="D18" s="11">
        <f t="shared" si="0"/>
        <v>5217.68</v>
      </c>
      <c r="E18" s="12">
        <v>0</v>
      </c>
      <c r="F18" s="12"/>
      <c r="G18" s="12"/>
      <c r="H18" s="12">
        <v>5217.68</v>
      </c>
      <c r="I18" s="12"/>
      <c r="J18" s="13"/>
      <c r="K18" s="13"/>
      <c r="L18" s="13"/>
      <c r="M18" s="14"/>
      <c r="N18" s="14"/>
      <c r="O18" s="14"/>
      <c r="P18" s="13"/>
    </row>
    <row r="19" spans="1:16" ht="20.100000000000001" customHeight="1">
      <c r="A19" s="141"/>
      <c r="B19" s="9" t="s">
        <v>40</v>
      </c>
      <c r="C19" s="10" t="s">
        <v>38</v>
      </c>
      <c r="D19" s="11">
        <f t="shared" si="0"/>
        <v>5559.97</v>
      </c>
      <c r="E19" s="12">
        <v>0</v>
      </c>
      <c r="F19" s="12"/>
      <c r="G19" s="12"/>
      <c r="H19" s="12">
        <v>5559.97</v>
      </c>
      <c r="I19" s="12"/>
      <c r="J19" s="13"/>
      <c r="K19" s="13"/>
      <c r="L19" s="13"/>
      <c r="M19" s="14"/>
      <c r="N19" s="14"/>
      <c r="O19" s="14"/>
      <c r="P19" s="13"/>
    </row>
    <row r="20" spans="1:16" ht="20.100000000000001" customHeight="1">
      <c r="A20" s="141"/>
      <c r="B20" s="9" t="s">
        <v>41</v>
      </c>
      <c r="C20" s="10" t="s">
        <v>38</v>
      </c>
      <c r="D20" s="11">
        <f t="shared" si="0"/>
        <v>5939.78</v>
      </c>
      <c r="E20" s="12">
        <v>0</v>
      </c>
      <c r="F20" s="12"/>
      <c r="G20" s="12"/>
      <c r="H20" s="12">
        <v>5939.78</v>
      </c>
      <c r="I20" s="12"/>
      <c r="J20" s="13"/>
      <c r="K20" s="13"/>
      <c r="L20" s="13"/>
      <c r="M20" s="14"/>
      <c r="N20" s="14"/>
      <c r="O20" s="14"/>
      <c r="P20" s="13"/>
    </row>
    <row r="21" spans="1:16" ht="20.100000000000001" customHeight="1">
      <c r="A21" s="141"/>
      <c r="B21" s="9" t="s">
        <v>42</v>
      </c>
      <c r="C21" s="10" t="s">
        <v>38</v>
      </c>
      <c r="D21" s="11">
        <f t="shared" si="0"/>
        <v>6398.6</v>
      </c>
      <c r="E21" s="12">
        <v>0</v>
      </c>
      <c r="F21" s="12"/>
      <c r="G21" s="12"/>
      <c r="H21" s="12">
        <v>6398.6</v>
      </c>
      <c r="I21" s="12"/>
      <c r="J21" s="13"/>
      <c r="K21" s="13"/>
      <c r="L21" s="13"/>
      <c r="M21" s="14"/>
      <c r="N21" s="14"/>
      <c r="O21" s="14"/>
      <c r="P21" s="13"/>
    </row>
    <row r="22" spans="1:16" ht="20.100000000000001" customHeight="1">
      <c r="A22" s="141"/>
      <c r="B22" s="142" t="s">
        <v>43</v>
      </c>
      <c r="C22" s="142"/>
      <c r="D22" s="11">
        <f t="shared" ref="D22:I22" si="2">SUM(D5:D21)</f>
        <v>300942.52999999997</v>
      </c>
      <c r="E22" s="12">
        <f t="shared" si="2"/>
        <v>224481.49999999997</v>
      </c>
      <c r="F22" s="12">
        <f t="shared" si="2"/>
        <v>14541.09</v>
      </c>
      <c r="G22" s="12">
        <f t="shared" si="2"/>
        <v>209940.41</v>
      </c>
      <c r="H22" s="12">
        <f t="shared" si="2"/>
        <v>76461.030000000013</v>
      </c>
      <c r="I22" s="12">
        <f t="shared" si="2"/>
        <v>222.78000000000003</v>
      </c>
      <c r="J22" s="13"/>
      <c r="K22" s="13"/>
      <c r="L22" s="13"/>
      <c r="M22" s="14"/>
      <c r="N22" s="14"/>
      <c r="O22" s="14"/>
      <c r="P22" s="13"/>
    </row>
    <row r="23" spans="1:16" ht="20.100000000000001" customHeight="1">
      <c r="A23" s="147"/>
      <c r="B23" s="142"/>
      <c r="C23" s="142"/>
      <c r="D23" s="142"/>
      <c r="E23" s="142"/>
      <c r="F23" s="142"/>
      <c r="G23" s="142"/>
      <c r="H23" s="142"/>
      <c r="I23" s="142"/>
      <c r="J23" s="13"/>
      <c r="K23" s="13"/>
      <c r="L23" s="14"/>
      <c r="M23" s="13"/>
      <c r="N23" s="14"/>
      <c r="O23" s="14"/>
      <c r="P23" s="13"/>
    </row>
    <row r="24" spans="1:16" ht="20.100000000000001" customHeight="1">
      <c r="A24" s="141" t="s">
        <v>44</v>
      </c>
      <c r="B24" s="25" t="s">
        <v>45</v>
      </c>
      <c r="C24" s="16" t="s">
        <v>27</v>
      </c>
      <c r="D24" s="17">
        <f>SUM(E24,H24)</f>
        <v>4054.37</v>
      </c>
      <c r="E24" s="19">
        <v>2921.27</v>
      </c>
      <c r="F24" s="19"/>
      <c r="G24" s="19">
        <v>2921.27</v>
      </c>
      <c r="H24" s="19">
        <v>1133.0999999999999</v>
      </c>
      <c r="I24" s="19"/>
      <c r="J24" s="13"/>
      <c r="K24" s="13"/>
      <c r="L24" s="14"/>
      <c r="M24" s="13"/>
      <c r="N24" s="14"/>
      <c r="O24" s="14"/>
      <c r="P24" s="13"/>
    </row>
    <row r="25" spans="1:16" ht="20.100000000000001" customHeight="1">
      <c r="A25" s="141"/>
      <c r="B25" s="26" t="s">
        <v>46</v>
      </c>
      <c r="C25" s="10" t="s">
        <v>47</v>
      </c>
      <c r="D25" s="11">
        <f t="shared" ref="D25:D39" si="3">SUM(E25,H25)</f>
        <v>18392.689999999999</v>
      </c>
      <c r="E25" s="12">
        <v>15436.91</v>
      </c>
      <c r="F25" s="12">
        <f>1506.15*2</f>
        <v>3012.3</v>
      </c>
      <c r="G25" s="12">
        <f>E25-F25</f>
        <v>12424.61</v>
      </c>
      <c r="H25" s="12">
        <v>2955.78</v>
      </c>
      <c r="I25" s="12">
        <f>37.34</f>
        <v>37.340000000000003</v>
      </c>
      <c r="J25" s="13" t="s">
        <v>48</v>
      </c>
      <c r="K25" s="27"/>
      <c r="L25" s="13"/>
      <c r="M25" s="14"/>
      <c r="N25" s="14"/>
      <c r="O25" s="14"/>
      <c r="P25" s="13"/>
    </row>
    <row r="26" spans="1:16" ht="20.100000000000001" customHeight="1">
      <c r="A26" s="141"/>
      <c r="B26" s="26" t="s">
        <v>49</v>
      </c>
      <c r="C26" s="10" t="s">
        <v>50</v>
      </c>
      <c r="D26" s="11">
        <f t="shared" si="3"/>
        <v>24320.649999999998</v>
      </c>
      <c r="E26" s="12">
        <v>22351.35</v>
      </c>
      <c r="F26" s="12">
        <f>963.74*2</f>
        <v>1927.48</v>
      </c>
      <c r="G26" s="12">
        <f t="shared" ref="G26:G35" si="4">E26-F26</f>
        <v>20423.87</v>
      </c>
      <c r="H26" s="12">
        <v>1969.3</v>
      </c>
      <c r="I26" s="12"/>
      <c r="J26" s="13" t="s">
        <v>51</v>
      </c>
      <c r="K26" s="27"/>
      <c r="L26" s="27"/>
      <c r="M26" s="27"/>
      <c r="N26" s="27"/>
      <c r="O26" s="14"/>
      <c r="P26" s="13"/>
    </row>
    <row r="27" spans="1:16" ht="20.100000000000001" customHeight="1">
      <c r="A27" s="141"/>
      <c r="B27" s="26" t="s">
        <v>52</v>
      </c>
      <c r="C27" s="10" t="s">
        <v>53</v>
      </c>
      <c r="D27" s="11">
        <f t="shared" si="3"/>
        <v>26603.149999999998</v>
      </c>
      <c r="E27" s="12">
        <v>22862.46</v>
      </c>
      <c r="F27" s="12">
        <v>1929.61</v>
      </c>
      <c r="G27" s="12">
        <f t="shared" si="4"/>
        <v>20932.849999999999</v>
      </c>
      <c r="H27" s="12">
        <v>3740.69</v>
      </c>
      <c r="I27" s="12">
        <f>40.95+37.98</f>
        <v>78.930000000000007</v>
      </c>
      <c r="J27" s="13">
        <v>10</v>
      </c>
      <c r="K27" s="4"/>
      <c r="L27" s="4"/>
      <c r="M27" s="4"/>
      <c r="N27" s="4"/>
      <c r="O27" s="4"/>
      <c r="P27" s="4"/>
    </row>
    <row r="28" spans="1:16" ht="20.100000000000001" customHeight="1">
      <c r="A28" s="141"/>
      <c r="B28" s="26" t="s">
        <v>54</v>
      </c>
      <c r="C28" s="10" t="s">
        <v>55</v>
      </c>
      <c r="D28" s="11">
        <f t="shared" si="3"/>
        <v>25812.77</v>
      </c>
      <c r="E28" s="12">
        <v>23855.83</v>
      </c>
      <c r="F28" s="12">
        <f>963.52*2</f>
        <v>1927.04</v>
      </c>
      <c r="G28" s="12">
        <f t="shared" si="4"/>
        <v>21928.79</v>
      </c>
      <c r="H28" s="12">
        <v>1956.94</v>
      </c>
      <c r="I28" s="12"/>
      <c r="J28" s="13" t="s">
        <v>56</v>
      </c>
      <c r="K28" s="13"/>
      <c r="L28" s="13"/>
      <c r="M28" s="13"/>
      <c r="N28" s="13"/>
      <c r="O28" s="13"/>
      <c r="P28" s="13"/>
    </row>
    <row r="29" spans="1:16" ht="20.100000000000001" customHeight="1">
      <c r="A29" s="141"/>
      <c r="B29" s="26" t="s">
        <v>57</v>
      </c>
      <c r="C29" s="10" t="s">
        <v>55</v>
      </c>
      <c r="D29" s="11">
        <f t="shared" si="3"/>
        <v>20715.79</v>
      </c>
      <c r="E29" s="12">
        <v>18982.96</v>
      </c>
      <c r="F29" s="12">
        <f>902.15*2</f>
        <v>1804.3</v>
      </c>
      <c r="G29" s="12">
        <f t="shared" si="4"/>
        <v>17178.66</v>
      </c>
      <c r="H29" s="12">
        <v>1732.83</v>
      </c>
      <c r="I29" s="12"/>
      <c r="J29" s="13" t="s">
        <v>56</v>
      </c>
      <c r="K29" s="13"/>
      <c r="L29" s="13"/>
      <c r="M29" s="13"/>
      <c r="N29" s="13"/>
      <c r="O29" s="14"/>
      <c r="P29" s="13"/>
    </row>
    <row r="30" spans="1:16" ht="20.100000000000001" customHeight="1">
      <c r="A30" s="141"/>
      <c r="B30" s="26" t="s">
        <v>58</v>
      </c>
      <c r="C30" s="10" t="s">
        <v>55</v>
      </c>
      <c r="D30" s="11">
        <f t="shared" si="3"/>
        <v>25699.11</v>
      </c>
      <c r="E30" s="12">
        <v>23747.32</v>
      </c>
      <c r="F30" s="12">
        <f>963.52*2</f>
        <v>1927.04</v>
      </c>
      <c r="G30" s="12">
        <f t="shared" si="4"/>
        <v>21820.28</v>
      </c>
      <c r="H30" s="12">
        <v>1951.79</v>
      </c>
      <c r="I30" s="12"/>
      <c r="J30" s="13" t="s">
        <v>56</v>
      </c>
      <c r="K30" s="13"/>
      <c r="L30" s="13"/>
      <c r="M30" s="13"/>
      <c r="N30" s="13"/>
      <c r="O30" s="14"/>
      <c r="P30" s="13"/>
    </row>
    <row r="31" spans="1:16" ht="20.100000000000001" customHeight="1">
      <c r="A31" s="141"/>
      <c r="B31" s="26" t="s">
        <v>59</v>
      </c>
      <c r="C31" s="10" t="s">
        <v>60</v>
      </c>
      <c r="D31" s="11">
        <f t="shared" si="3"/>
        <v>18151.66</v>
      </c>
      <c r="E31" s="12">
        <v>15084.71</v>
      </c>
      <c r="F31" s="12">
        <f>1530.31*2</f>
        <v>3060.62</v>
      </c>
      <c r="G31" s="12">
        <f t="shared" si="4"/>
        <v>12024.09</v>
      </c>
      <c r="H31" s="12">
        <v>3066.95</v>
      </c>
      <c r="I31" s="12">
        <v>41.4</v>
      </c>
      <c r="J31" s="13" t="s">
        <v>48</v>
      </c>
      <c r="K31" s="13"/>
      <c r="L31" s="13"/>
      <c r="M31" s="13"/>
      <c r="N31" s="13"/>
      <c r="O31" s="14"/>
      <c r="P31" s="13"/>
    </row>
    <row r="32" spans="1:16" ht="20.100000000000001" customHeight="1">
      <c r="A32" s="141"/>
      <c r="B32" s="25" t="s">
        <v>61</v>
      </c>
      <c r="C32" s="16" t="s">
        <v>27</v>
      </c>
      <c r="D32" s="17">
        <f t="shared" si="3"/>
        <v>4527.97</v>
      </c>
      <c r="E32" s="19">
        <v>3275.92</v>
      </c>
      <c r="F32" s="19"/>
      <c r="G32" s="19">
        <v>3275.92</v>
      </c>
      <c r="H32" s="19">
        <v>1252.05</v>
      </c>
      <c r="I32" s="19"/>
      <c r="J32" s="13"/>
      <c r="K32" s="13"/>
      <c r="L32" s="13"/>
      <c r="M32" s="13"/>
      <c r="N32" s="13"/>
      <c r="O32" s="14"/>
      <c r="P32" s="13"/>
    </row>
    <row r="33" spans="1:16" ht="20.100000000000001" customHeight="1">
      <c r="A33" s="141"/>
      <c r="B33" s="26" t="s">
        <v>62</v>
      </c>
      <c r="C33" s="10" t="s">
        <v>47</v>
      </c>
      <c r="D33" s="11">
        <f t="shared" si="3"/>
        <v>15239.25</v>
      </c>
      <c r="E33" s="12">
        <v>12910.36</v>
      </c>
      <c r="F33" s="12">
        <f>1178.33*2</f>
        <v>2356.66</v>
      </c>
      <c r="G33" s="12">
        <f t="shared" si="4"/>
        <v>10553.7</v>
      </c>
      <c r="H33" s="12">
        <v>2328.89</v>
      </c>
      <c r="I33" s="12"/>
      <c r="J33" s="13" t="s">
        <v>63</v>
      </c>
      <c r="K33" s="13"/>
      <c r="L33" s="13"/>
      <c r="M33" s="13"/>
      <c r="N33" s="13"/>
      <c r="O33" s="14"/>
      <c r="P33" s="13"/>
    </row>
    <row r="34" spans="1:16" ht="20.100000000000001" customHeight="1">
      <c r="A34" s="141"/>
      <c r="B34" s="26" t="s">
        <v>64</v>
      </c>
      <c r="C34" s="10" t="s">
        <v>53</v>
      </c>
      <c r="D34" s="11">
        <f t="shared" si="3"/>
        <v>29234.28</v>
      </c>
      <c r="E34" s="12">
        <v>25096.23</v>
      </c>
      <c r="F34" s="12">
        <v>2117.5700000000002</v>
      </c>
      <c r="G34" s="12">
        <f t="shared" si="4"/>
        <v>22978.66</v>
      </c>
      <c r="H34" s="12">
        <v>4138.05</v>
      </c>
      <c r="I34" s="12">
        <f>38.69+38.69</f>
        <v>77.38</v>
      </c>
      <c r="J34" s="13">
        <v>10</v>
      </c>
      <c r="K34" s="13"/>
      <c r="L34" s="13"/>
      <c r="M34" s="13"/>
      <c r="N34" s="13"/>
      <c r="O34" s="14"/>
      <c r="P34" s="13"/>
    </row>
    <row r="35" spans="1:16" ht="20.100000000000001" customHeight="1">
      <c r="A35" s="141"/>
      <c r="B35" s="26" t="s">
        <v>65</v>
      </c>
      <c r="C35" s="10" t="s">
        <v>47</v>
      </c>
      <c r="D35" s="11">
        <f t="shared" si="3"/>
        <v>24707.03</v>
      </c>
      <c r="E35" s="12">
        <v>20915.46</v>
      </c>
      <c r="F35" s="12">
        <v>1928.17</v>
      </c>
      <c r="G35" s="12">
        <f t="shared" si="4"/>
        <v>18987.29</v>
      </c>
      <c r="H35" s="12">
        <v>3791.57</v>
      </c>
      <c r="I35" s="12">
        <v>42.79</v>
      </c>
      <c r="J35" s="13">
        <v>10</v>
      </c>
      <c r="K35" s="13"/>
      <c r="L35" s="13"/>
      <c r="M35" s="13"/>
      <c r="N35" s="13"/>
      <c r="O35" s="14"/>
      <c r="P35" s="13"/>
    </row>
    <row r="36" spans="1:16" ht="20.100000000000001" customHeight="1">
      <c r="A36" s="141"/>
      <c r="B36" s="26" t="s">
        <v>66</v>
      </c>
      <c r="C36" s="10" t="s">
        <v>38</v>
      </c>
      <c r="D36" s="11">
        <f t="shared" si="3"/>
        <v>4216.45</v>
      </c>
      <c r="E36" s="12">
        <v>0</v>
      </c>
      <c r="F36" s="12"/>
      <c r="G36" s="12"/>
      <c r="H36" s="12">
        <v>4216.45</v>
      </c>
      <c r="I36" s="12"/>
      <c r="J36" s="13"/>
      <c r="K36" s="13"/>
      <c r="L36" s="13"/>
      <c r="M36" s="13"/>
      <c r="N36" s="13"/>
      <c r="O36" s="14"/>
      <c r="P36" s="13"/>
    </row>
    <row r="37" spans="1:16" ht="20.100000000000001" customHeight="1">
      <c r="A37" s="141"/>
      <c r="B37" s="26" t="s">
        <v>67</v>
      </c>
      <c r="C37" s="10" t="s">
        <v>68</v>
      </c>
      <c r="D37" s="11">
        <f t="shared" si="3"/>
        <v>34814.44</v>
      </c>
      <c r="E37" s="12">
        <v>0</v>
      </c>
      <c r="F37" s="12"/>
      <c r="G37" s="12"/>
      <c r="H37" s="12">
        <v>34814.44</v>
      </c>
      <c r="I37" s="12"/>
      <c r="J37" s="13"/>
      <c r="K37" s="13"/>
      <c r="L37" s="13"/>
      <c r="M37" s="13"/>
      <c r="N37" s="13"/>
      <c r="O37" s="14"/>
      <c r="P37" s="13"/>
    </row>
    <row r="38" spans="1:16" ht="20.100000000000001" customHeight="1">
      <c r="A38" s="141"/>
      <c r="B38" s="26" t="s">
        <v>69</v>
      </c>
      <c r="C38" s="10" t="s">
        <v>38</v>
      </c>
      <c r="D38" s="11">
        <f t="shared" si="3"/>
        <v>6660.24</v>
      </c>
      <c r="E38" s="12">
        <v>0</v>
      </c>
      <c r="F38" s="12"/>
      <c r="G38" s="12"/>
      <c r="H38" s="12">
        <v>6660.24</v>
      </c>
      <c r="I38" s="12"/>
      <c r="J38" s="13"/>
      <c r="K38" s="13"/>
      <c r="L38" s="13"/>
      <c r="M38" s="13"/>
      <c r="N38" s="13"/>
      <c r="O38" s="14"/>
      <c r="P38" s="13"/>
    </row>
    <row r="39" spans="1:16" ht="20.100000000000001" customHeight="1">
      <c r="A39" s="141"/>
      <c r="B39" s="26" t="s">
        <v>70</v>
      </c>
      <c r="C39" s="10" t="s">
        <v>38</v>
      </c>
      <c r="D39" s="11">
        <f t="shared" si="3"/>
        <v>4707.38</v>
      </c>
      <c r="E39" s="12">
        <v>0</v>
      </c>
      <c r="F39" s="12"/>
      <c r="G39" s="12"/>
      <c r="H39" s="12">
        <v>4707.38</v>
      </c>
      <c r="I39" s="12"/>
      <c r="J39" s="13"/>
      <c r="K39" s="13"/>
      <c r="L39" s="13"/>
      <c r="M39" s="13"/>
      <c r="N39" s="13"/>
      <c r="O39" s="14"/>
      <c r="P39" s="13"/>
    </row>
    <row r="40" spans="1:16" ht="20.100000000000001" customHeight="1">
      <c r="A40" s="141"/>
      <c r="B40" s="148" t="s">
        <v>71</v>
      </c>
      <c r="C40" s="149"/>
      <c r="D40" s="11">
        <f t="shared" ref="D40:I40" si="5">SUM(D24:D39)</f>
        <v>287857.23</v>
      </c>
      <c r="E40" s="12">
        <f t="shared" si="5"/>
        <v>207440.78000000003</v>
      </c>
      <c r="F40" s="12">
        <f t="shared" si="5"/>
        <v>21990.79</v>
      </c>
      <c r="G40" s="12">
        <f t="shared" si="5"/>
        <v>185449.99000000002</v>
      </c>
      <c r="H40" s="12">
        <f t="shared" si="5"/>
        <v>80416.450000000012</v>
      </c>
      <c r="I40" s="12">
        <f t="shared" si="5"/>
        <v>277.84000000000003</v>
      </c>
      <c r="J40" s="13"/>
      <c r="K40" s="13"/>
      <c r="L40" s="13"/>
      <c r="M40" s="13"/>
      <c r="N40" s="13"/>
      <c r="O40" s="14"/>
      <c r="P40" s="13"/>
    </row>
    <row r="41" spans="1:16" ht="20.100000000000001" customHeight="1">
      <c r="A41" s="147"/>
      <c r="B41" s="142"/>
      <c r="C41" s="142"/>
      <c r="D41" s="142"/>
      <c r="E41" s="142"/>
      <c r="F41" s="142"/>
      <c r="G41" s="142"/>
      <c r="H41" s="142"/>
      <c r="I41" s="142"/>
      <c r="J41" s="13"/>
      <c r="K41" s="13"/>
      <c r="L41" s="13"/>
      <c r="M41" s="13"/>
      <c r="N41" s="13"/>
      <c r="O41" s="14"/>
      <c r="P41" s="13"/>
    </row>
    <row r="42" spans="1:16" ht="20.100000000000001" customHeight="1">
      <c r="A42" s="141" t="s">
        <v>72</v>
      </c>
      <c r="B42" s="9" t="s">
        <v>73</v>
      </c>
      <c r="C42" s="10" t="s">
        <v>74</v>
      </c>
      <c r="D42" s="11">
        <f>SUM(E42,H42)</f>
        <v>19096.04</v>
      </c>
      <c r="E42" s="12">
        <v>16257.94</v>
      </c>
      <c r="F42" s="12">
        <f>3142.21*2</f>
        <v>6284.42</v>
      </c>
      <c r="G42" s="12">
        <f>E42-F42</f>
        <v>9973.52</v>
      </c>
      <c r="H42" s="12">
        <v>2838.1</v>
      </c>
      <c r="I42" s="12"/>
      <c r="J42" s="13" t="s">
        <v>75</v>
      </c>
      <c r="K42" s="13"/>
      <c r="L42" s="13"/>
      <c r="M42" s="13"/>
      <c r="N42" s="13"/>
      <c r="O42" s="14"/>
      <c r="P42" s="13"/>
    </row>
    <row r="43" spans="1:16" ht="20.100000000000001" customHeight="1">
      <c r="A43" s="141"/>
      <c r="B43" s="9" t="s">
        <v>76</v>
      </c>
      <c r="C43" s="10" t="s">
        <v>74</v>
      </c>
      <c r="D43" s="11">
        <f>SUM(E43,H43)</f>
        <v>19096.04</v>
      </c>
      <c r="E43" s="12">
        <v>16257.94</v>
      </c>
      <c r="F43" s="12">
        <f>3142.21*2</f>
        <v>6284.42</v>
      </c>
      <c r="G43" s="12">
        <f>E43-F43</f>
        <v>9973.52</v>
      </c>
      <c r="H43" s="12">
        <v>2838.1</v>
      </c>
      <c r="I43" s="12"/>
      <c r="J43" s="13" t="s">
        <v>75</v>
      </c>
      <c r="K43" s="13"/>
      <c r="L43" s="13"/>
      <c r="M43" s="13"/>
      <c r="N43" s="13"/>
      <c r="O43" s="14"/>
      <c r="P43" s="13"/>
    </row>
    <row r="44" spans="1:16" ht="20.100000000000001" customHeight="1">
      <c r="A44" s="141"/>
      <c r="B44" s="9" t="s">
        <v>77</v>
      </c>
      <c r="C44" s="10" t="s">
        <v>74</v>
      </c>
      <c r="D44" s="11">
        <f>SUM(E44,H44)</f>
        <v>15487.1</v>
      </c>
      <c r="E44" s="12">
        <v>13189.12</v>
      </c>
      <c r="F44" s="12">
        <f>2532.12*2</f>
        <v>5064.24</v>
      </c>
      <c r="G44" s="12">
        <f>E44-F44</f>
        <v>8124.880000000001</v>
      </c>
      <c r="H44" s="12">
        <v>2297.98</v>
      </c>
      <c r="I44" s="12"/>
      <c r="J44" s="13" t="s">
        <v>75</v>
      </c>
      <c r="K44" s="13"/>
      <c r="L44" s="13"/>
      <c r="M44" s="13"/>
      <c r="N44" s="13"/>
      <c r="O44" s="14"/>
      <c r="P44" s="13"/>
    </row>
    <row r="45" spans="1:16" ht="20.100000000000001" customHeight="1">
      <c r="A45" s="141"/>
      <c r="B45" s="9" t="s">
        <v>78</v>
      </c>
      <c r="C45" s="10" t="s">
        <v>74</v>
      </c>
      <c r="D45" s="11">
        <f>SUM(E45,H45)</f>
        <v>12831.699999999999</v>
      </c>
      <c r="E45" s="12">
        <v>10936.8</v>
      </c>
      <c r="F45" s="12">
        <f>2098.58*2</f>
        <v>4197.16</v>
      </c>
      <c r="G45" s="12">
        <f>E45-F45</f>
        <v>6739.6399999999994</v>
      </c>
      <c r="H45" s="12">
        <v>1894.9</v>
      </c>
      <c r="I45" s="12"/>
      <c r="J45" s="13" t="s">
        <v>75</v>
      </c>
      <c r="K45" s="27"/>
      <c r="L45" s="27"/>
      <c r="M45" s="27"/>
      <c r="N45" s="27"/>
      <c r="O45" s="14"/>
      <c r="P45" s="13"/>
    </row>
    <row r="46" spans="1:16" ht="20.100000000000001" customHeight="1">
      <c r="A46" s="141"/>
      <c r="B46" s="9" t="s">
        <v>79</v>
      </c>
      <c r="C46" s="10" t="s">
        <v>38</v>
      </c>
      <c r="D46" s="11">
        <f>SUM(E46,H46)</f>
        <v>24730.28</v>
      </c>
      <c r="E46" s="12">
        <v>0</v>
      </c>
      <c r="F46" s="12"/>
      <c r="G46" s="12"/>
      <c r="H46" s="12">
        <v>24730.28</v>
      </c>
      <c r="I46" s="12"/>
      <c r="J46" s="13"/>
      <c r="K46" s="27"/>
      <c r="L46" s="27"/>
      <c r="M46" s="27"/>
      <c r="N46" s="27"/>
      <c r="O46" s="14"/>
      <c r="P46" s="13"/>
    </row>
    <row r="47" spans="1:16" ht="20.100000000000001" customHeight="1">
      <c r="A47" s="141"/>
      <c r="B47" s="142" t="s">
        <v>80</v>
      </c>
      <c r="C47" s="142"/>
      <c r="D47" s="11">
        <f>SUM(D42:D46)</f>
        <v>91241.16</v>
      </c>
      <c r="E47" s="12">
        <f>SUM(E42:E46)</f>
        <v>56641.8</v>
      </c>
      <c r="F47" s="12">
        <f>SUM(F42:F46)</f>
        <v>21830.240000000002</v>
      </c>
      <c r="G47" s="12">
        <f>SUM(G42:G46)</f>
        <v>34811.56</v>
      </c>
      <c r="H47" s="12">
        <f>SUM(H42:H46)</f>
        <v>34599.360000000001</v>
      </c>
      <c r="I47" s="12"/>
    </row>
    <row r="48" spans="1:16" ht="35.1" customHeight="1" thickBot="1">
      <c r="A48" s="143" t="s">
        <v>81</v>
      </c>
      <c r="B48" s="144"/>
      <c r="C48" s="145"/>
      <c r="D48" s="28">
        <f t="shared" ref="D48:I48" si="6">D47+D40+D22</f>
        <v>680040.91999999993</v>
      </c>
      <c r="E48" s="28">
        <f t="shared" si="6"/>
        <v>488564.07999999996</v>
      </c>
      <c r="F48" s="28">
        <f t="shared" si="6"/>
        <v>58362.119999999995</v>
      </c>
      <c r="G48" s="28">
        <f t="shared" si="6"/>
        <v>430201.96</v>
      </c>
      <c r="H48" s="28">
        <f t="shared" si="6"/>
        <v>191476.84000000003</v>
      </c>
      <c r="I48" s="9">
        <f t="shared" si="6"/>
        <v>500.62000000000006</v>
      </c>
    </row>
    <row r="49" spans="1:9" ht="20.100000000000001" customHeight="1">
      <c r="A49" s="146" t="s">
        <v>82</v>
      </c>
      <c r="B49" s="146"/>
      <c r="C49" s="146"/>
      <c r="D49" s="146"/>
      <c r="E49" s="146"/>
      <c r="F49" s="146"/>
      <c r="G49" s="146"/>
      <c r="H49" s="146"/>
      <c r="I49" s="146"/>
    </row>
    <row r="50" spans="1:9" ht="20.100000000000001" customHeight="1">
      <c r="A50" s="29"/>
      <c r="B50" s="30"/>
      <c r="C50" s="29"/>
      <c r="D50" s="31"/>
      <c r="E50" s="31"/>
      <c r="F50" s="31"/>
      <c r="G50" s="31"/>
      <c r="H50" s="31"/>
      <c r="I50" s="31"/>
    </row>
    <row r="51" spans="1:9" ht="20.100000000000001" customHeight="1">
      <c r="A51" s="29"/>
      <c r="B51" s="30"/>
      <c r="C51" s="29"/>
      <c r="D51" s="31"/>
      <c r="E51" s="31"/>
      <c r="F51" s="32"/>
      <c r="G51" s="31"/>
      <c r="H51" s="31"/>
      <c r="I51" s="31"/>
    </row>
    <row r="52" spans="1:9" ht="14.25">
      <c r="A52" s="29"/>
      <c r="B52" s="30"/>
      <c r="C52" s="29"/>
      <c r="D52" s="31"/>
      <c r="E52" s="31"/>
      <c r="F52" s="31"/>
      <c r="G52" s="31"/>
      <c r="H52" s="31"/>
      <c r="I52" s="31"/>
    </row>
    <row r="53" spans="1:9" ht="14.25">
      <c r="A53" s="29"/>
      <c r="B53" s="30"/>
      <c r="C53" s="29"/>
      <c r="D53" s="31"/>
      <c r="E53" s="31"/>
      <c r="F53" s="31"/>
      <c r="G53" s="31"/>
      <c r="H53" s="31"/>
      <c r="I53" s="31"/>
    </row>
    <row r="54" spans="1:9" ht="14.25">
      <c r="A54" s="29"/>
    </row>
    <row r="55" spans="1:9" ht="14.25">
      <c r="A55" s="29"/>
    </row>
  </sheetData>
  <mergeCells count="19">
    <mergeCell ref="J2:J4"/>
    <mergeCell ref="D3:D4"/>
    <mergeCell ref="E3:G3"/>
    <mergeCell ref="H3:I3"/>
    <mergeCell ref="A1:I1"/>
    <mergeCell ref="A2:A4"/>
    <mergeCell ref="B2:B4"/>
    <mergeCell ref="C2:C4"/>
    <mergeCell ref="D2:I2"/>
    <mergeCell ref="A42:A47"/>
    <mergeCell ref="B47:C47"/>
    <mergeCell ref="A48:C48"/>
    <mergeCell ref="A49:I49"/>
    <mergeCell ref="A5:A22"/>
    <mergeCell ref="B22:C22"/>
    <mergeCell ref="A23:I23"/>
    <mergeCell ref="A24:A40"/>
    <mergeCell ref="B40:C40"/>
    <mergeCell ref="A41:I41"/>
  </mergeCells>
  <phoneticPr fontId="5" type="noConversion"/>
  <pageMargins left="0.75" right="0.75" top="1" bottom="1" header="0.5" footer="0.5"/>
  <pageSetup paperSize="8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H9" sqref="H9"/>
    </sheetView>
  </sheetViews>
  <sheetFormatPr defaultColWidth="8.875" defaultRowHeight="13.5"/>
  <cols>
    <col min="2" max="2" width="19.625" customWidth="1"/>
    <col min="3" max="3" width="17.625" customWidth="1"/>
    <col min="4" max="4" width="19.375" customWidth="1"/>
    <col min="5" max="5" width="18.5" customWidth="1"/>
    <col min="8" max="8" width="24.875" customWidth="1"/>
  </cols>
  <sheetData>
    <row r="1" spans="1:8">
      <c r="A1" s="174" t="s">
        <v>300</v>
      </c>
      <c r="B1" s="175"/>
      <c r="C1" s="175"/>
      <c r="D1" s="175"/>
      <c r="E1" s="175"/>
    </row>
    <row r="2" spans="1:8" ht="14.25" thickBot="1">
      <c r="A2" s="176"/>
      <c r="B2" s="176"/>
      <c r="C2" s="176"/>
      <c r="D2" s="176"/>
      <c r="E2" s="176"/>
    </row>
    <row r="3" spans="1:8" ht="15" thickBot="1">
      <c r="A3" s="177" t="s">
        <v>105</v>
      </c>
      <c r="B3" s="179" t="s">
        <v>106</v>
      </c>
      <c r="C3" s="180"/>
      <c r="D3" s="42" t="s">
        <v>107</v>
      </c>
      <c r="E3" s="177" t="s">
        <v>108</v>
      </c>
    </row>
    <row r="4" spans="1:8" ht="16.5" thickBot="1">
      <c r="A4" s="178"/>
      <c r="B4" s="181"/>
      <c r="C4" s="182"/>
      <c r="D4" s="43" t="s">
        <v>109</v>
      </c>
      <c r="E4" s="178"/>
    </row>
    <row r="5" spans="1:8" ht="15.75" thickBot="1">
      <c r="A5" s="40">
        <v>1</v>
      </c>
      <c r="B5" s="44" t="s">
        <v>110</v>
      </c>
      <c r="C5" s="44" t="s">
        <v>111</v>
      </c>
      <c r="D5" s="45">
        <f>'1员工工资'!H13</f>
        <v>69308.652000000002</v>
      </c>
      <c r="E5" s="39" t="s">
        <v>112</v>
      </c>
    </row>
    <row r="6" spans="1:8" ht="42.75" customHeight="1" thickBot="1">
      <c r="A6" s="40">
        <v>2</v>
      </c>
      <c r="B6" s="183" t="s">
        <v>113</v>
      </c>
      <c r="C6" s="184"/>
      <c r="D6" s="45">
        <f>'2工程人员工资'!H5+'2-1设施设备维修'!F23+'2-2设施设备运行1'!J18+'2-3设施设备运行2'!J7</f>
        <v>1721983.1550390001</v>
      </c>
      <c r="E6" s="39" t="s">
        <v>114</v>
      </c>
    </row>
    <row r="7" spans="1:8" ht="15.75" thickBot="1">
      <c r="A7" s="40">
        <v>3</v>
      </c>
      <c r="B7" s="185" t="s">
        <v>115</v>
      </c>
      <c r="C7" s="186"/>
      <c r="D7" s="45">
        <f>'3-1环境人员工资'!H5</f>
        <v>607233.25200000009</v>
      </c>
      <c r="E7" s="39" t="s">
        <v>116</v>
      </c>
    </row>
    <row r="8" spans="1:8" ht="15.75" hidden="1" thickBot="1">
      <c r="A8" s="40">
        <v>4</v>
      </c>
      <c r="B8" s="185" t="s">
        <v>117</v>
      </c>
      <c r="C8" s="186"/>
      <c r="D8" s="45">
        <f>'4绿化养护'!D9</f>
        <v>0</v>
      </c>
      <c r="E8" s="39" t="s">
        <v>118</v>
      </c>
    </row>
    <row r="9" spans="1:8" ht="15.75" thickBot="1">
      <c r="A9" s="40">
        <v>5</v>
      </c>
      <c r="B9" s="185" t="s">
        <v>119</v>
      </c>
      <c r="C9" s="186"/>
      <c r="D9" s="45">
        <f>'5秩序维护人员工资 '!H7</f>
        <v>2227066.932</v>
      </c>
      <c r="E9" s="39" t="s">
        <v>120</v>
      </c>
    </row>
    <row r="10" spans="1:8" ht="15.75" thickBot="1">
      <c r="A10" s="40">
        <v>6</v>
      </c>
      <c r="B10" s="185" t="s">
        <v>121</v>
      </c>
      <c r="C10" s="186"/>
      <c r="D10" s="45">
        <f>'6办公费'!E10</f>
        <v>82300</v>
      </c>
      <c r="E10" s="39" t="s">
        <v>122</v>
      </c>
    </row>
    <row r="11" spans="1:8" ht="15.75" thickBot="1">
      <c r="A11" s="40">
        <v>7</v>
      </c>
      <c r="B11" s="185" t="s">
        <v>123</v>
      </c>
      <c r="C11" s="186"/>
      <c r="D11" s="45">
        <f>'7固定资产折旧'!C4</f>
        <v>12000</v>
      </c>
      <c r="E11" s="39" t="s">
        <v>124</v>
      </c>
    </row>
    <row r="12" spans="1:8" ht="42.75" customHeight="1" thickBot="1">
      <c r="A12" s="40">
        <v>8</v>
      </c>
      <c r="B12" s="183" t="s">
        <v>125</v>
      </c>
      <c r="C12" s="184"/>
      <c r="D12" s="45">
        <f>'8公众责任保险费用'!C4</f>
        <v>56110.368000000009</v>
      </c>
      <c r="E12" s="39" t="s">
        <v>126</v>
      </c>
    </row>
    <row r="13" spans="1:8" ht="16.5" thickBot="1">
      <c r="A13" s="171" t="s">
        <v>127</v>
      </c>
      <c r="B13" s="172"/>
      <c r="C13" s="173"/>
      <c r="D13" s="41">
        <f>SUM(D5:D12)</f>
        <v>4776002.3590390002</v>
      </c>
      <c r="E13" s="39"/>
      <c r="G13">
        <v>3</v>
      </c>
      <c r="H13" s="129">
        <f>ROUND(D13+D14+D15,2)</f>
        <v>5120071.13</v>
      </c>
    </row>
    <row r="14" spans="1:8" ht="15.75" thickBot="1">
      <c r="A14" s="40">
        <v>9</v>
      </c>
      <c r="B14" s="185" t="s">
        <v>128</v>
      </c>
      <c r="C14" s="186"/>
      <c r="D14" s="45">
        <f>D16*E14</f>
        <v>344068.77119999996</v>
      </c>
      <c r="E14" s="46">
        <v>6.7199999999999996E-2</v>
      </c>
      <c r="G14">
        <v>2</v>
      </c>
      <c r="H14" s="114">
        <f>D16</f>
        <v>5120071</v>
      </c>
    </row>
    <row r="15" spans="1:8" ht="15.75" thickBot="1">
      <c r="A15" s="40">
        <v>10</v>
      </c>
      <c r="B15" s="185" t="s">
        <v>129</v>
      </c>
      <c r="C15" s="186"/>
      <c r="D15" s="45">
        <f>D16*E15</f>
        <v>0</v>
      </c>
      <c r="E15" s="47">
        <v>0</v>
      </c>
    </row>
    <row r="16" spans="1:8" ht="16.5" thickBot="1">
      <c r="A16" s="193" t="s">
        <v>130</v>
      </c>
      <c r="B16" s="194"/>
      <c r="C16" s="195"/>
      <c r="D16" s="48">
        <f>C21+C22</f>
        <v>5120071</v>
      </c>
      <c r="E16" s="49"/>
      <c r="H16" s="128">
        <f>H14-H13</f>
        <v>-0.12999999988824129</v>
      </c>
    </row>
    <row r="17" spans="1:8" ht="16.5" thickBot="1">
      <c r="A17" s="193" t="s">
        <v>131</v>
      </c>
      <c r="B17" s="194"/>
      <c r="C17" s="195"/>
      <c r="D17" s="50">
        <f>D21+D22</f>
        <v>116896.6</v>
      </c>
      <c r="E17" s="39"/>
    </row>
    <row r="18" spans="1:8" ht="16.5" thickBot="1">
      <c r="A18" s="171" t="s">
        <v>132</v>
      </c>
      <c r="B18" s="172"/>
      <c r="C18" s="172"/>
      <c r="D18" s="172"/>
      <c r="E18" s="173"/>
    </row>
    <row r="19" spans="1:8" ht="16.5" thickBot="1">
      <c r="A19" s="196" t="s">
        <v>133</v>
      </c>
      <c r="B19" s="197"/>
      <c r="C19" s="198"/>
      <c r="D19" s="202" t="s">
        <v>134</v>
      </c>
      <c r="E19" s="50" t="s">
        <v>135</v>
      </c>
      <c r="H19" s="135">
        <f>D13+D14</f>
        <v>5120071.1302390005</v>
      </c>
    </row>
    <row r="20" spans="1:8" ht="16.5" thickBot="1">
      <c r="A20" s="199"/>
      <c r="B20" s="200"/>
      <c r="C20" s="201"/>
      <c r="D20" s="203"/>
      <c r="E20" s="50" t="s">
        <v>136</v>
      </c>
      <c r="H20">
        <f>H19/12/D22</f>
        <v>3.6500000358144149</v>
      </c>
    </row>
    <row r="21" spans="1:8" ht="16.5" hidden="1" thickBot="1">
      <c r="A21" s="51"/>
      <c r="B21" s="134"/>
      <c r="C21" s="127"/>
      <c r="D21" s="50"/>
      <c r="E21" s="50"/>
    </row>
    <row r="22" spans="1:8" ht="15.75">
      <c r="A22" s="136"/>
      <c r="B22" s="137" t="s">
        <v>299</v>
      </c>
      <c r="C22" s="140">
        <f>ROUND(D22*E22*12,0)</f>
        <v>5120071</v>
      </c>
      <c r="D22" s="138">
        <f>'2-1设施设备维修'!G31</f>
        <v>116896.6</v>
      </c>
      <c r="E22" s="139">
        <v>3.65</v>
      </c>
      <c r="H22">
        <f>'2-1设施设备维修'!G30*140*12</f>
        <v>5142480</v>
      </c>
    </row>
    <row r="23" spans="1:8" ht="28.5" hidden="1" customHeight="1">
      <c r="A23" s="187" t="s">
        <v>137</v>
      </c>
      <c r="B23" s="188"/>
      <c r="C23" s="188"/>
      <c r="D23" s="188"/>
      <c r="E23" s="189"/>
    </row>
    <row r="24" spans="1:8" ht="16.5" hidden="1" thickBot="1">
      <c r="A24" s="190" t="s">
        <v>138</v>
      </c>
      <c r="B24" s="191"/>
      <c r="C24" s="191"/>
      <c r="D24" s="191"/>
      <c r="E24" s="192"/>
    </row>
    <row r="27" spans="1:8">
      <c r="A27" t="s">
        <v>290</v>
      </c>
      <c r="B27" s="3">
        <f>ROUND(D13+D14+D15,2)</f>
        <v>5120071.13</v>
      </c>
      <c r="C27" s="116"/>
      <c r="D27" s="116" t="s">
        <v>83</v>
      </c>
      <c r="E27" s="116"/>
      <c r="F27" s="116"/>
    </row>
    <row r="28" spans="1:8">
      <c r="A28" t="s">
        <v>286</v>
      </c>
      <c r="B28" s="114">
        <f>D16</f>
        <v>5120071</v>
      </c>
      <c r="C28" s="116">
        <v>1</v>
      </c>
      <c r="D28" s="116" t="s">
        <v>84</v>
      </c>
      <c r="E28" s="116"/>
      <c r="F28" s="116"/>
    </row>
    <row r="29" spans="1:8">
      <c r="A29" t="s">
        <v>287</v>
      </c>
      <c r="B29" s="3">
        <f>B27-B28</f>
        <v>0.12999999988824129</v>
      </c>
      <c r="C29" s="116">
        <v>2</v>
      </c>
      <c r="D29" s="116" t="s">
        <v>85</v>
      </c>
      <c r="E29" s="116"/>
      <c r="F29" s="116"/>
      <c r="H29" s="135">
        <f>C22-D14</f>
        <v>4776002.2287999997</v>
      </c>
    </row>
    <row r="30" spans="1:8">
      <c r="C30" s="116">
        <v>3</v>
      </c>
      <c r="D30" s="116" t="s">
        <v>285</v>
      </c>
      <c r="E30" s="116"/>
      <c r="F30" s="116"/>
      <c r="H30" s="135">
        <f>H29-D13</f>
        <v>-0.13023900054395199</v>
      </c>
    </row>
    <row r="31" spans="1:8">
      <c r="A31" t="s">
        <v>288</v>
      </c>
      <c r="B31">
        <f>D17-D21</f>
        <v>116896.6</v>
      </c>
      <c r="C31" s="116">
        <v>4</v>
      </c>
      <c r="D31" s="116" t="s">
        <v>291</v>
      </c>
    </row>
    <row r="32" spans="1:8">
      <c r="A32" t="s">
        <v>289</v>
      </c>
      <c r="B32">
        <f>B31*E21*12</f>
        <v>0</v>
      </c>
    </row>
    <row r="34" spans="2:4">
      <c r="D34">
        <f>(D5+D7+D9)/C22</f>
        <v>0.56710323665433549</v>
      </c>
    </row>
    <row r="36" spans="2:4">
      <c r="B36" s="117"/>
    </row>
  </sheetData>
  <mergeCells count="21">
    <mergeCell ref="A23:E23"/>
    <mergeCell ref="A24:E24"/>
    <mergeCell ref="B14:C14"/>
    <mergeCell ref="B15:C15"/>
    <mergeCell ref="A16:C16"/>
    <mergeCell ref="A17:C17"/>
    <mergeCell ref="A18:E18"/>
    <mergeCell ref="A19:C20"/>
    <mergeCell ref="D19:D20"/>
    <mergeCell ref="A13:C13"/>
    <mergeCell ref="A1:E2"/>
    <mergeCell ref="A3:A4"/>
    <mergeCell ref="B3:C4"/>
    <mergeCell ref="E3:E4"/>
    <mergeCell ref="B6:C6"/>
    <mergeCell ref="B7:C7"/>
    <mergeCell ref="B8:C8"/>
    <mergeCell ref="B9:C9"/>
    <mergeCell ref="B10:C10"/>
    <mergeCell ref="B11:C11"/>
    <mergeCell ref="B12:C12"/>
  </mergeCells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C10" sqref="C10"/>
    </sheetView>
  </sheetViews>
  <sheetFormatPr defaultColWidth="9" defaultRowHeight="14.25"/>
  <cols>
    <col min="1" max="8" width="17.125" style="35" customWidth="1"/>
    <col min="9" max="9" width="21.875" style="35" customWidth="1"/>
    <col min="10" max="16384" width="9" style="35"/>
  </cols>
  <sheetData>
    <row r="1" spans="1:9" ht="19.5" thickBot="1">
      <c r="A1" s="204" t="s">
        <v>165</v>
      </c>
      <c r="B1" s="204"/>
      <c r="C1" s="204"/>
      <c r="D1" s="204"/>
      <c r="E1" s="204"/>
      <c r="F1" s="204"/>
      <c r="G1" s="204"/>
      <c r="H1" s="204"/>
      <c r="I1" s="204"/>
    </row>
    <row r="2" spans="1:9" ht="30" thickBot="1">
      <c r="A2" s="52" t="s">
        <v>140</v>
      </c>
      <c r="B2" s="53" t="s">
        <v>141</v>
      </c>
      <c r="C2" s="54" t="s">
        <v>142</v>
      </c>
      <c r="D2" s="54" t="s">
        <v>143</v>
      </c>
      <c r="E2" s="54" t="s">
        <v>144</v>
      </c>
      <c r="F2" s="54" t="s">
        <v>145</v>
      </c>
      <c r="G2" s="54" t="s">
        <v>166</v>
      </c>
      <c r="H2" s="54" t="s">
        <v>146</v>
      </c>
      <c r="I2" s="55" t="s">
        <v>147</v>
      </c>
    </row>
    <row r="3" spans="1:9" ht="15.75" thickBot="1">
      <c r="A3" s="205" t="s">
        <v>139</v>
      </c>
      <c r="B3" s="56" t="s">
        <v>148</v>
      </c>
      <c r="C3" s="36">
        <v>0</v>
      </c>
      <c r="D3" s="57">
        <v>10000</v>
      </c>
      <c r="E3" s="57">
        <f>D3*C3</f>
        <v>0</v>
      </c>
      <c r="F3" s="57">
        <f>E3*12</f>
        <v>0</v>
      </c>
      <c r="G3" s="57">
        <f>F3*$I$14</f>
        <v>0</v>
      </c>
      <c r="H3" s="57">
        <f>F3+G3</f>
        <v>0</v>
      </c>
      <c r="I3" s="58"/>
    </row>
    <row r="4" spans="1:9" ht="15.75" thickBot="1">
      <c r="A4" s="206"/>
      <c r="B4" s="59" t="s">
        <v>149</v>
      </c>
      <c r="C4" s="60">
        <v>0</v>
      </c>
      <c r="D4" s="61">
        <v>9000</v>
      </c>
      <c r="E4" s="57">
        <f>D4*C4</f>
        <v>0</v>
      </c>
      <c r="F4" s="61">
        <f>E4*12</f>
        <v>0</v>
      </c>
      <c r="G4" s="61">
        <f>F4*$I$14</f>
        <v>0</v>
      </c>
      <c r="H4" s="61">
        <f>F4+G4</f>
        <v>0</v>
      </c>
      <c r="I4" s="58"/>
    </row>
    <row r="5" spans="1:9" ht="15.75" thickBot="1">
      <c r="A5" s="206"/>
      <c r="B5" s="56" t="s">
        <v>150</v>
      </c>
      <c r="C5" s="36">
        <v>0</v>
      </c>
      <c r="D5" s="57">
        <v>4000</v>
      </c>
      <c r="E5" s="57">
        <f t="shared" ref="E5:E12" si="0">D5*C5</f>
        <v>0</v>
      </c>
      <c r="F5" s="57">
        <f t="shared" ref="F5:F12" si="1">E5*12</f>
        <v>0</v>
      </c>
      <c r="G5" s="57">
        <f>(D5*(B21+C21)+D20*D21+E20*(E21+F21)+D5*G21)*12*C5</f>
        <v>0</v>
      </c>
      <c r="H5" s="57">
        <f t="shared" ref="H5:H12" si="2">F5+G5</f>
        <v>0</v>
      </c>
      <c r="I5" s="44"/>
    </row>
    <row r="6" spans="1:9" ht="15.75" thickBot="1">
      <c r="A6" s="207"/>
      <c r="B6" s="56" t="s">
        <v>151</v>
      </c>
      <c r="C6" s="36">
        <v>0</v>
      </c>
      <c r="D6" s="57">
        <f>D5</f>
        <v>4000</v>
      </c>
      <c r="E6" s="57">
        <f t="shared" si="0"/>
        <v>0</v>
      </c>
      <c r="F6" s="57">
        <f t="shared" si="1"/>
        <v>0</v>
      </c>
      <c r="G6" s="57">
        <f>(D6*(B21+C21)+D20*D21+E20*(E21+F21)+D6*G21)*12*C6</f>
        <v>0</v>
      </c>
      <c r="H6" s="57">
        <f t="shared" si="2"/>
        <v>0</v>
      </c>
      <c r="I6" s="44"/>
    </row>
    <row r="7" spans="1:9" ht="15.75" thickBot="1">
      <c r="A7" s="208" t="s">
        <v>152</v>
      </c>
      <c r="B7" s="56" t="s">
        <v>153</v>
      </c>
      <c r="C7" s="36"/>
      <c r="D7" s="57">
        <v>7000</v>
      </c>
      <c r="E7" s="57">
        <f t="shared" si="0"/>
        <v>0</v>
      </c>
      <c r="F7" s="57">
        <f t="shared" si="1"/>
        <v>0</v>
      </c>
      <c r="G7" s="57">
        <f t="shared" ref="G7:G12" si="3">F7*$I$14</f>
        <v>0</v>
      </c>
      <c r="H7" s="57">
        <f t="shared" si="2"/>
        <v>0</v>
      </c>
      <c r="I7" s="58"/>
    </row>
    <row r="8" spans="1:9" ht="15.75" thickBot="1">
      <c r="A8" s="206"/>
      <c r="B8" s="56" t="s">
        <v>154</v>
      </c>
      <c r="C8" s="36">
        <v>0</v>
      </c>
      <c r="D8" s="115">
        <v>4000</v>
      </c>
      <c r="E8" s="57">
        <f t="shared" si="0"/>
        <v>0</v>
      </c>
      <c r="F8" s="57">
        <f t="shared" si="1"/>
        <v>0</v>
      </c>
      <c r="G8" s="57">
        <f>(D8*(B21+C21)+D20*D21+E20*(E21+F21)+D8*G21)*12*C8</f>
        <v>0</v>
      </c>
      <c r="H8" s="57">
        <f t="shared" si="2"/>
        <v>0</v>
      </c>
      <c r="I8" s="44"/>
    </row>
    <row r="9" spans="1:9" ht="15.75" thickBot="1">
      <c r="A9" s="207"/>
      <c r="B9" s="56" t="s">
        <v>155</v>
      </c>
      <c r="C9" s="60">
        <v>1</v>
      </c>
      <c r="D9" s="57">
        <f>D5</f>
        <v>4000</v>
      </c>
      <c r="E9" s="57">
        <f t="shared" si="0"/>
        <v>4000</v>
      </c>
      <c r="F9" s="57">
        <f t="shared" si="1"/>
        <v>48000</v>
      </c>
      <c r="G9" s="57">
        <f>(D9*(B21+C21)+D20*D21+E20*(E21+F21)+D9*G21)*12*C9</f>
        <v>21308.652000000002</v>
      </c>
      <c r="H9" s="57">
        <f t="shared" si="2"/>
        <v>69308.652000000002</v>
      </c>
      <c r="I9" s="44"/>
    </row>
    <row r="10" spans="1:9" ht="15.75" thickBot="1">
      <c r="A10" s="62" t="s">
        <v>156</v>
      </c>
      <c r="B10" s="56" t="s">
        <v>157</v>
      </c>
      <c r="C10" s="36">
        <v>0</v>
      </c>
      <c r="D10" s="57">
        <v>7000</v>
      </c>
      <c r="E10" s="57">
        <f t="shared" si="0"/>
        <v>0</v>
      </c>
      <c r="F10" s="57">
        <f t="shared" si="1"/>
        <v>0</v>
      </c>
      <c r="G10" s="57">
        <f t="shared" si="3"/>
        <v>0</v>
      </c>
      <c r="H10" s="57">
        <f t="shared" si="2"/>
        <v>0</v>
      </c>
      <c r="I10" s="58"/>
    </row>
    <row r="11" spans="1:9" ht="15.75" thickBot="1">
      <c r="A11" s="63" t="s">
        <v>158</v>
      </c>
      <c r="B11" s="56" t="s">
        <v>159</v>
      </c>
      <c r="C11" s="36">
        <v>0</v>
      </c>
      <c r="D11" s="57">
        <v>7000</v>
      </c>
      <c r="E11" s="57">
        <f t="shared" si="0"/>
        <v>0</v>
      </c>
      <c r="F11" s="57">
        <f t="shared" si="1"/>
        <v>0</v>
      </c>
      <c r="G11" s="57">
        <f t="shared" si="3"/>
        <v>0</v>
      </c>
      <c r="H11" s="57">
        <f t="shared" si="2"/>
        <v>0</v>
      </c>
      <c r="I11" s="58"/>
    </row>
    <row r="12" spans="1:9" ht="15.75" thickBot="1">
      <c r="A12" s="63" t="s">
        <v>160</v>
      </c>
      <c r="B12" s="56" t="s">
        <v>161</v>
      </c>
      <c r="C12" s="36">
        <v>0</v>
      </c>
      <c r="D12" s="57">
        <v>7000</v>
      </c>
      <c r="E12" s="57">
        <f t="shared" si="0"/>
        <v>0</v>
      </c>
      <c r="F12" s="57">
        <f t="shared" si="1"/>
        <v>0</v>
      </c>
      <c r="G12" s="57">
        <f t="shared" si="3"/>
        <v>0</v>
      </c>
      <c r="H12" s="57">
        <f t="shared" si="2"/>
        <v>0</v>
      </c>
      <c r="I12" s="58"/>
    </row>
    <row r="13" spans="1:9" ht="16.5" thickBot="1">
      <c r="A13" s="64" t="s">
        <v>163</v>
      </c>
      <c r="B13" s="65"/>
      <c r="C13" s="66">
        <f>SUM(C3:C12)</f>
        <v>1</v>
      </c>
      <c r="D13" s="67"/>
      <c r="E13" s="67"/>
      <c r="F13" s="67"/>
      <c r="G13" s="67"/>
      <c r="H13" s="68">
        <f>SUM(H3:H12)</f>
        <v>69308.652000000002</v>
      </c>
      <c r="I13" s="58"/>
    </row>
    <row r="14" spans="1:9" ht="28.5" customHeight="1" thickBot="1">
      <c r="A14" s="183" t="s">
        <v>164</v>
      </c>
      <c r="B14" s="209"/>
      <c r="C14" s="209"/>
      <c r="D14" s="209"/>
      <c r="E14" s="209"/>
      <c r="F14" s="209"/>
      <c r="G14" s="209"/>
      <c r="H14" s="184"/>
      <c r="I14" s="69">
        <v>0.40100000000000002</v>
      </c>
    </row>
    <row r="18" spans="1:7">
      <c r="A18" s="70" t="s">
        <v>167</v>
      </c>
      <c r="B18" s="70"/>
      <c r="C18" s="70"/>
      <c r="D18" s="70"/>
      <c r="E18" s="70"/>
    </row>
    <row r="19" spans="1:7">
      <c r="A19" s="70" t="s">
        <v>168</v>
      </c>
      <c r="B19" s="70" t="s">
        <v>169</v>
      </c>
      <c r="C19" s="70" t="s">
        <v>170</v>
      </c>
      <c r="D19" s="70" t="s">
        <v>171</v>
      </c>
      <c r="E19" s="70" t="s">
        <v>172</v>
      </c>
      <c r="F19" s="70" t="s">
        <v>173</v>
      </c>
      <c r="G19" s="70" t="s">
        <v>174</v>
      </c>
    </row>
    <row r="20" spans="1:7">
      <c r="A20" s="70" t="s">
        <v>175</v>
      </c>
      <c r="B20" s="70">
        <v>3613</v>
      </c>
      <c r="C20" s="70">
        <v>3613</v>
      </c>
      <c r="D20" s="70">
        <v>4713</v>
      </c>
      <c r="E20" s="70">
        <v>5557</v>
      </c>
      <c r="F20" s="70">
        <f>E20</f>
        <v>5557</v>
      </c>
    </row>
    <row r="21" spans="1:7">
      <c r="A21" s="71" t="s">
        <v>176</v>
      </c>
      <c r="B21" s="72">
        <v>0.16</v>
      </c>
      <c r="C21" s="73">
        <v>8.0000000000000002E-3</v>
      </c>
      <c r="D21" s="73">
        <v>5.0000000000000001E-3</v>
      </c>
      <c r="E21" s="73">
        <v>8.0000000000000002E-3</v>
      </c>
      <c r="F21" s="72">
        <v>0.1</v>
      </c>
      <c r="G21" s="73">
        <v>0.12</v>
      </c>
    </row>
    <row r="22" spans="1:7">
      <c r="A22" s="74" t="s">
        <v>177</v>
      </c>
      <c r="B22" s="75">
        <v>0.2</v>
      </c>
      <c r="C22" s="76">
        <v>0.01</v>
      </c>
      <c r="D22" s="74" t="s">
        <v>2</v>
      </c>
      <c r="E22" s="76">
        <v>8.0000000000000002E-3</v>
      </c>
      <c r="F22" s="75">
        <v>0.1</v>
      </c>
      <c r="G22" s="77"/>
    </row>
  </sheetData>
  <mergeCells count="4">
    <mergeCell ref="A1:I1"/>
    <mergeCell ref="A3:A6"/>
    <mergeCell ref="A7:A9"/>
    <mergeCell ref="A14:H14"/>
  </mergeCells>
  <phoneticPr fontId="5" type="noConversion"/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C5" sqref="C5"/>
    </sheetView>
  </sheetViews>
  <sheetFormatPr defaultColWidth="9" defaultRowHeight="14.25"/>
  <cols>
    <col min="1" max="1" width="9" style="35"/>
    <col min="2" max="2" width="12.875" style="35" customWidth="1"/>
    <col min="3" max="3" width="9" style="35"/>
    <col min="4" max="4" width="9.5" style="35" bestFit="1" customWidth="1"/>
    <col min="5" max="5" width="15.375" style="35" customWidth="1"/>
    <col min="6" max="6" width="15.625" style="35" customWidth="1"/>
    <col min="7" max="7" width="13.5" style="35" customWidth="1"/>
    <col min="8" max="8" width="18.125" style="35" customWidth="1"/>
    <col min="9" max="9" width="26.125" style="35" customWidth="1"/>
    <col min="10" max="16384" width="9" style="35"/>
  </cols>
  <sheetData>
    <row r="1" spans="1:9" ht="18.75" thickBot="1">
      <c r="A1" s="210" t="s">
        <v>183</v>
      </c>
      <c r="B1" s="210"/>
      <c r="C1" s="210"/>
      <c r="D1" s="210"/>
      <c r="E1" s="210"/>
      <c r="F1" s="210"/>
      <c r="G1" s="210"/>
      <c r="H1" s="210"/>
      <c r="I1" s="210"/>
    </row>
    <row r="2" spans="1:9" ht="30" thickBot="1">
      <c r="A2" s="78" t="s">
        <v>178</v>
      </c>
      <c r="B2" s="54" t="s">
        <v>179</v>
      </c>
      <c r="C2" s="54" t="s">
        <v>142</v>
      </c>
      <c r="D2" s="54" t="s">
        <v>143</v>
      </c>
      <c r="E2" s="54" t="s">
        <v>144</v>
      </c>
      <c r="F2" s="54" t="s">
        <v>145</v>
      </c>
      <c r="G2" s="54" t="s">
        <v>162</v>
      </c>
      <c r="H2" s="54" t="s">
        <v>146</v>
      </c>
      <c r="I2" s="55" t="s">
        <v>147</v>
      </c>
    </row>
    <row r="3" spans="1:9" ht="15.75" thickBot="1">
      <c r="A3" s="213" t="s">
        <v>180</v>
      </c>
      <c r="B3" s="79" t="s">
        <v>181</v>
      </c>
      <c r="C3" s="40">
        <v>1</v>
      </c>
      <c r="D3" s="80">
        <v>5500</v>
      </c>
      <c r="E3" s="80">
        <f>C3*D3</f>
        <v>5500</v>
      </c>
      <c r="F3" s="80">
        <f>E3*12</f>
        <v>66000</v>
      </c>
      <c r="G3" s="36">
        <f>(D3*(B14+C14+D14+G14)+E13*(E14+F14))*12*C3</f>
        <v>26539.872000000003</v>
      </c>
      <c r="H3" s="80">
        <f>F3+G3</f>
        <v>92539.872000000003</v>
      </c>
      <c r="I3" s="44" t="s">
        <v>184</v>
      </c>
    </row>
    <row r="4" spans="1:9" ht="15.75" thickBot="1">
      <c r="A4" s="214"/>
      <c r="B4" s="79" t="s">
        <v>182</v>
      </c>
      <c r="C4" s="60">
        <v>3</v>
      </c>
      <c r="D4" s="80">
        <v>4500</v>
      </c>
      <c r="E4" s="80">
        <f>C4*D4</f>
        <v>13500</v>
      </c>
      <c r="F4" s="80">
        <f>E4*12</f>
        <v>162000</v>
      </c>
      <c r="G4" s="36">
        <f>(D4*(B14+C14)+D13*D14+E13*(E14+F14)+D4*G14)*12*C4</f>
        <v>69109.956000000006</v>
      </c>
      <c r="H4" s="80">
        <f>F4+G4</f>
        <v>231109.95600000001</v>
      </c>
      <c r="I4" s="44"/>
    </row>
    <row r="5" spans="1:9" ht="16.5" thickBot="1">
      <c r="A5" s="211" t="s">
        <v>163</v>
      </c>
      <c r="B5" s="212"/>
      <c r="C5" s="66">
        <f>C3+C4</f>
        <v>4</v>
      </c>
      <c r="D5" s="66"/>
      <c r="E5" s="66"/>
      <c r="F5" s="66"/>
      <c r="G5" s="66"/>
      <c r="H5" s="81">
        <f>H3+H4</f>
        <v>323649.82799999998</v>
      </c>
      <c r="I5" s="58"/>
    </row>
    <row r="6" spans="1:9" ht="28.5" customHeight="1" thickBot="1">
      <c r="A6" s="183" t="s">
        <v>185</v>
      </c>
      <c r="B6" s="209"/>
      <c r="C6" s="209"/>
      <c r="D6" s="209"/>
      <c r="E6" s="209"/>
      <c r="F6" s="209"/>
      <c r="G6" s="209"/>
      <c r="H6" s="184"/>
      <c r="I6" s="69">
        <v>0.40100000000000002</v>
      </c>
    </row>
    <row r="8" spans="1:9">
      <c r="G8" s="82"/>
    </row>
    <row r="11" spans="1:9">
      <c r="A11" s="70" t="s">
        <v>167</v>
      </c>
      <c r="B11" s="70"/>
      <c r="C11" s="70"/>
      <c r="D11" s="70"/>
      <c r="E11" s="70"/>
    </row>
    <row r="12" spans="1:9">
      <c r="A12" s="70" t="s">
        <v>168</v>
      </c>
      <c r="B12" s="70" t="s">
        <v>169</v>
      </c>
      <c r="C12" s="70" t="s">
        <v>170</v>
      </c>
      <c r="D12" s="70" t="s">
        <v>171</v>
      </c>
      <c r="E12" s="70" t="s">
        <v>172</v>
      </c>
      <c r="F12" s="70" t="s">
        <v>173</v>
      </c>
      <c r="G12" s="70" t="s">
        <v>174</v>
      </c>
    </row>
    <row r="13" spans="1:9">
      <c r="A13" s="70" t="s">
        <v>175</v>
      </c>
      <c r="B13" s="70">
        <v>3613</v>
      </c>
      <c r="C13" s="70">
        <v>3613</v>
      </c>
      <c r="D13" s="70">
        <v>4713</v>
      </c>
      <c r="E13" s="70">
        <v>5557</v>
      </c>
      <c r="F13" s="70">
        <f>E13</f>
        <v>5557</v>
      </c>
    </row>
    <row r="14" spans="1:9">
      <c r="A14" s="71" t="s">
        <v>176</v>
      </c>
      <c r="B14" s="72">
        <v>0.16</v>
      </c>
      <c r="C14" s="73">
        <v>8.0000000000000002E-3</v>
      </c>
      <c r="D14" s="73">
        <v>5.0000000000000001E-3</v>
      </c>
      <c r="E14" s="73">
        <v>8.0000000000000002E-3</v>
      </c>
      <c r="F14" s="72">
        <v>0.1</v>
      </c>
      <c r="G14" s="73">
        <v>0.12</v>
      </c>
    </row>
  </sheetData>
  <mergeCells count="4">
    <mergeCell ref="A1:I1"/>
    <mergeCell ref="A5:B5"/>
    <mergeCell ref="A6:H6"/>
    <mergeCell ref="A3:A4"/>
  </mergeCells>
  <phoneticPr fontId="5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zoomScale="130" zoomScaleNormal="130" workbookViewId="0">
      <selection activeCell="A23" sqref="A23:E23"/>
    </sheetView>
  </sheetViews>
  <sheetFormatPr defaultColWidth="8.875" defaultRowHeight="13.5"/>
  <cols>
    <col min="1" max="5" width="13.375" customWidth="1"/>
    <col min="6" max="6" width="17.125" customWidth="1"/>
    <col min="7" max="7" width="13.375" customWidth="1"/>
  </cols>
  <sheetData>
    <row r="1" spans="1:7" ht="20.25" thickBot="1">
      <c r="A1" s="217" t="s">
        <v>218</v>
      </c>
      <c r="B1" s="217"/>
      <c r="C1" s="217"/>
      <c r="D1" s="217"/>
      <c r="E1" s="217"/>
      <c r="F1" s="217"/>
      <c r="G1" s="217"/>
    </row>
    <row r="2" spans="1:7" ht="15.75" thickBot="1">
      <c r="A2" s="218" t="s">
        <v>86</v>
      </c>
      <c r="B2" s="218" t="s">
        <v>186</v>
      </c>
      <c r="C2" s="221" t="s">
        <v>187</v>
      </c>
      <c r="D2" s="222"/>
      <c r="E2" s="223"/>
      <c r="F2" s="224" t="s">
        <v>188</v>
      </c>
      <c r="G2" s="218" t="s">
        <v>147</v>
      </c>
    </row>
    <row r="3" spans="1:7" ht="15.75" thickBot="1">
      <c r="A3" s="219"/>
      <c r="B3" s="219"/>
      <c r="C3" s="218" t="s">
        <v>189</v>
      </c>
      <c r="D3" s="221" t="s">
        <v>190</v>
      </c>
      <c r="E3" s="223"/>
      <c r="F3" s="225"/>
      <c r="G3" s="219"/>
    </row>
    <row r="4" spans="1:7" ht="15.75" thickBot="1">
      <c r="A4" s="220"/>
      <c r="B4" s="220"/>
      <c r="C4" s="220"/>
      <c r="D4" s="36" t="s">
        <v>191</v>
      </c>
      <c r="E4" s="36" t="s">
        <v>219</v>
      </c>
      <c r="F4" s="226"/>
      <c r="G4" s="220"/>
    </row>
    <row r="5" spans="1:7" ht="15.75" thickBot="1">
      <c r="A5" s="227" t="s">
        <v>220</v>
      </c>
      <c r="B5" s="83" t="s">
        <v>192</v>
      </c>
      <c r="C5" s="84">
        <v>12</v>
      </c>
      <c r="D5" s="84">
        <v>0</v>
      </c>
      <c r="E5" s="84">
        <v>100</v>
      </c>
      <c r="F5" s="85">
        <f>C5*D5*E5</f>
        <v>0</v>
      </c>
      <c r="G5" s="36"/>
    </row>
    <row r="6" spans="1:7" ht="15.75" thickBot="1">
      <c r="A6" s="228"/>
      <c r="B6" s="86" t="s">
        <v>193</v>
      </c>
      <c r="C6" s="84">
        <v>12</v>
      </c>
      <c r="D6" s="84">
        <v>0</v>
      </c>
      <c r="E6" s="84">
        <v>100</v>
      </c>
      <c r="F6" s="85">
        <f t="shared" ref="F6:F9" si="0">C6*D6*E6</f>
        <v>0</v>
      </c>
      <c r="G6" s="36"/>
    </row>
    <row r="7" spans="1:7" ht="15.75" thickBot="1">
      <c r="A7" s="229"/>
      <c r="B7" s="86" t="s">
        <v>194</v>
      </c>
      <c r="C7" s="84">
        <v>12</v>
      </c>
      <c r="D7" s="84">
        <v>0</v>
      </c>
      <c r="E7" s="84">
        <v>5</v>
      </c>
      <c r="F7" s="85">
        <f t="shared" si="0"/>
        <v>0</v>
      </c>
      <c r="G7" s="36"/>
    </row>
    <row r="8" spans="1:7" ht="15" thickBot="1">
      <c r="A8" s="227" t="s">
        <v>195</v>
      </c>
      <c r="B8" s="86" t="s">
        <v>196</v>
      </c>
      <c r="C8" s="86">
        <v>12</v>
      </c>
      <c r="D8" s="86">
        <v>0</v>
      </c>
      <c r="E8" s="86">
        <v>500</v>
      </c>
      <c r="F8" s="85">
        <f t="shared" si="0"/>
        <v>0</v>
      </c>
      <c r="G8" s="87"/>
    </row>
    <row r="9" spans="1:7" ht="15" thickBot="1">
      <c r="A9" s="229"/>
      <c r="B9" s="86" t="s">
        <v>197</v>
      </c>
      <c r="C9" s="86">
        <v>1</v>
      </c>
      <c r="D9" s="86">
        <v>0</v>
      </c>
      <c r="E9" s="86">
        <v>600</v>
      </c>
      <c r="F9" s="85">
        <f t="shared" si="0"/>
        <v>0</v>
      </c>
      <c r="G9" s="87"/>
    </row>
    <row r="10" spans="1:7" ht="24.75" customHeight="1" thickBot="1">
      <c r="A10" s="227" t="s">
        <v>198</v>
      </c>
      <c r="B10" s="86" t="s">
        <v>199</v>
      </c>
      <c r="C10" s="86">
        <v>12</v>
      </c>
      <c r="D10" s="86">
        <v>3</v>
      </c>
      <c r="E10" s="86">
        <v>833</v>
      </c>
      <c r="F10" s="85">
        <f>ROUND(C10*D10*E10/10000,0)*10000</f>
        <v>30000</v>
      </c>
      <c r="G10" s="87"/>
    </row>
    <row r="11" spans="1:7" ht="15" thickBot="1">
      <c r="A11" s="229"/>
      <c r="B11" s="86" t="s">
        <v>200</v>
      </c>
      <c r="C11" s="86">
        <v>12</v>
      </c>
      <c r="D11" s="86">
        <v>3</v>
      </c>
      <c r="E11" s="86">
        <v>500</v>
      </c>
      <c r="F11" s="85">
        <f>C11*D11*E11</f>
        <v>18000</v>
      </c>
      <c r="G11" s="87"/>
    </row>
    <row r="12" spans="1:7" ht="15" thickBot="1">
      <c r="A12" s="227" t="s">
        <v>201</v>
      </c>
      <c r="B12" s="86" t="s">
        <v>202</v>
      </c>
      <c r="C12" s="86">
        <v>12</v>
      </c>
      <c r="D12" s="86">
        <v>2</v>
      </c>
      <c r="E12" s="86">
        <v>100</v>
      </c>
      <c r="F12" s="85">
        <f t="shared" ref="F12:F17" si="1">C12*D12*E12</f>
        <v>2400</v>
      </c>
      <c r="G12" s="87"/>
    </row>
    <row r="13" spans="1:7" ht="15" thickBot="1">
      <c r="A13" s="228"/>
      <c r="B13" s="86" t="s">
        <v>203</v>
      </c>
      <c r="C13" s="86">
        <v>12</v>
      </c>
      <c r="D13" s="86">
        <v>2</v>
      </c>
      <c r="E13" s="86">
        <v>100</v>
      </c>
      <c r="F13" s="85">
        <f t="shared" si="1"/>
        <v>2400</v>
      </c>
      <c r="G13" s="87"/>
    </row>
    <row r="14" spans="1:7" ht="15" thickBot="1">
      <c r="A14" s="228"/>
      <c r="B14" s="86" t="s">
        <v>204</v>
      </c>
      <c r="C14" s="86">
        <v>12</v>
      </c>
      <c r="D14" s="86">
        <v>4</v>
      </c>
      <c r="E14" s="86">
        <v>100</v>
      </c>
      <c r="F14" s="85">
        <f t="shared" si="1"/>
        <v>4800</v>
      </c>
      <c r="G14" s="87"/>
    </row>
    <row r="15" spans="1:7" ht="15" thickBot="1">
      <c r="A15" s="229"/>
      <c r="B15" s="86" t="s">
        <v>205</v>
      </c>
      <c r="C15" s="86" t="s">
        <v>1</v>
      </c>
      <c r="D15" s="86">
        <v>300</v>
      </c>
      <c r="E15" s="86">
        <v>25</v>
      </c>
      <c r="F15" s="85">
        <f>D15*E15</f>
        <v>7500</v>
      </c>
      <c r="G15" s="88"/>
    </row>
    <row r="16" spans="1:7" ht="15" thickBot="1">
      <c r="A16" s="227" t="s">
        <v>206</v>
      </c>
      <c r="B16" s="86" t="s">
        <v>207</v>
      </c>
      <c r="C16" s="86">
        <v>12</v>
      </c>
      <c r="D16" s="86">
        <v>3</v>
      </c>
      <c r="E16" s="89">
        <v>3000</v>
      </c>
      <c r="F16" s="85">
        <f t="shared" si="1"/>
        <v>108000</v>
      </c>
      <c r="G16" s="87"/>
    </row>
    <row r="17" spans="1:7" ht="15" thickBot="1">
      <c r="A17" s="229"/>
      <c r="B17" s="86" t="s">
        <v>208</v>
      </c>
      <c r="C17" s="86">
        <v>12</v>
      </c>
      <c r="D17" s="86">
        <v>3</v>
      </c>
      <c r="E17" s="89">
        <v>1000</v>
      </c>
      <c r="F17" s="85">
        <f t="shared" si="1"/>
        <v>36000</v>
      </c>
      <c r="G17" s="87"/>
    </row>
    <row r="18" spans="1:7" ht="15" thickBot="1">
      <c r="A18" s="90" t="s">
        <v>209</v>
      </c>
      <c r="B18" s="86" t="s">
        <v>210</v>
      </c>
      <c r="C18" s="86">
        <v>12</v>
      </c>
      <c r="D18" s="215">
        <v>2500</v>
      </c>
      <c r="E18" s="216"/>
      <c r="F18" s="85">
        <f>C18*D18</f>
        <v>30000</v>
      </c>
      <c r="G18" s="87"/>
    </row>
    <row r="19" spans="1:7" ht="15" thickBot="1">
      <c r="A19" s="215" t="s">
        <v>211</v>
      </c>
      <c r="B19" s="216"/>
      <c r="C19" s="86" t="s">
        <v>221</v>
      </c>
      <c r="D19" s="86" t="s">
        <v>212</v>
      </c>
      <c r="E19" s="86" t="s">
        <v>213</v>
      </c>
      <c r="F19" s="86"/>
      <c r="G19" s="91"/>
    </row>
    <row r="20" spans="1:7" ht="27" customHeight="1" thickBot="1">
      <c r="A20" s="215" t="s">
        <v>214</v>
      </c>
      <c r="B20" s="216"/>
      <c r="C20" s="86">
        <v>3000</v>
      </c>
      <c r="D20" s="86">
        <v>0</v>
      </c>
      <c r="E20" s="86">
        <v>2</v>
      </c>
      <c r="F20" s="85">
        <f>C20*D20*E20</f>
        <v>0</v>
      </c>
      <c r="G20" s="91"/>
    </row>
    <row r="21" spans="1:7" ht="15" thickBot="1">
      <c r="A21" s="215" t="s">
        <v>215</v>
      </c>
      <c r="B21" s="216"/>
      <c r="C21" s="86">
        <v>1690</v>
      </c>
      <c r="D21" s="86">
        <v>0</v>
      </c>
      <c r="E21" s="86">
        <v>1</v>
      </c>
      <c r="F21" s="85">
        <f t="shared" ref="F21:F22" si="2">C21*D21*E21</f>
        <v>0</v>
      </c>
      <c r="G21" s="91"/>
    </row>
    <row r="22" spans="1:7" ht="15" thickBot="1">
      <c r="A22" s="215" t="s">
        <v>216</v>
      </c>
      <c r="B22" s="216"/>
      <c r="C22" s="86">
        <v>70</v>
      </c>
      <c r="D22" s="92">
        <v>0</v>
      </c>
      <c r="E22" s="86">
        <v>1</v>
      </c>
      <c r="F22" s="85">
        <f t="shared" si="2"/>
        <v>0</v>
      </c>
      <c r="G22" s="91"/>
    </row>
    <row r="23" spans="1:7" ht="15.75" thickBot="1">
      <c r="A23" s="230" t="s">
        <v>217</v>
      </c>
      <c r="B23" s="231"/>
      <c r="C23" s="231"/>
      <c r="D23" s="231"/>
      <c r="E23" s="232"/>
      <c r="F23" s="93">
        <f>SUM(F5:F22)</f>
        <v>239100</v>
      </c>
      <c r="G23" s="91"/>
    </row>
    <row r="26" spans="1:7">
      <c r="F26" s="1"/>
    </row>
    <row r="30" spans="1:7">
      <c r="D30">
        <f>汇总表!D21+汇总表!D22</f>
        <v>116896.6</v>
      </c>
      <c r="E30">
        <f>D30/140</f>
        <v>834.97571428571428</v>
      </c>
      <c r="F30" t="s">
        <v>293</v>
      </c>
      <c r="G30">
        <v>3061</v>
      </c>
    </row>
    <row r="31" spans="1:7">
      <c r="D31">
        <f>D30/D15</f>
        <v>389.65533333333337</v>
      </c>
      <c r="F31" t="s">
        <v>294</v>
      </c>
      <c r="G31">
        <v>116896.6</v>
      </c>
    </row>
    <row r="32" spans="1:7">
      <c r="D32">
        <f>G31/D31</f>
        <v>300</v>
      </c>
      <c r="G32">
        <f>G31/3500</f>
        <v>33.399028571428573</v>
      </c>
    </row>
  </sheetData>
  <mergeCells count="19">
    <mergeCell ref="A19:B19"/>
    <mergeCell ref="A20:B20"/>
    <mergeCell ref="A21:B21"/>
    <mergeCell ref="A22:B22"/>
    <mergeCell ref="A23:E23"/>
    <mergeCell ref="D18:E18"/>
    <mergeCell ref="A1:G1"/>
    <mergeCell ref="A2:A4"/>
    <mergeCell ref="B2:B4"/>
    <mergeCell ref="C2:E2"/>
    <mergeCell ref="F2:F4"/>
    <mergeCell ref="G2:G4"/>
    <mergeCell ref="C3:C4"/>
    <mergeCell ref="D3:E3"/>
    <mergeCell ref="A5:A7"/>
    <mergeCell ref="A8:A9"/>
    <mergeCell ref="A10:A11"/>
    <mergeCell ref="A12:A15"/>
    <mergeCell ref="A16:A17"/>
  </mergeCells>
  <phoneticPr fontId="5" type="noConversion"/>
  <pageMargins left="0.7" right="0.7" top="0.75" bottom="0.75" header="0.3" footer="0.3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J5" sqref="J5"/>
    </sheetView>
  </sheetViews>
  <sheetFormatPr defaultColWidth="9" defaultRowHeight="14.25"/>
  <cols>
    <col min="1" max="4" width="9" style="35"/>
    <col min="5" max="5" width="10.625" style="35" customWidth="1"/>
    <col min="6" max="6" width="10.5" style="35" customWidth="1"/>
    <col min="7" max="7" width="9" style="35"/>
    <col min="8" max="8" width="10.625" style="35" customWidth="1"/>
    <col min="9" max="9" width="13.625" style="35" customWidth="1"/>
    <col min="10" max="10" width="18" style="35" customWidth="1"/>
    <col min="11" max="16384" width="9" style="35"/>
  </cols>
  <sheetData>
    <row r="1" spans="1:11" ht="19.5" thickBot="1">
      <c r="A1" s="217" t="s">
        <v>234</v>
      </c>
      <c r="B1" s="217"/>
      <c r="C1" s="217"/>
      <c r="D1" s="217"/>
      <c r="E1" s="217"/>
      <c r="F1" s="217"/>
      <c r="G1" s="217"/>
      <c r="H1" s="217"/>
      <c r="I1" s="217"/>
      <c r="J1" s="217"/>
      <c r="K1" s="37"/>
    </row>
    <row r="2" spans="1:11" ht="15" thickBot="1">
      <c r="A2" s="233" t="s">
        <v>86</v>
      </c>
      <c r="B2" s="234"/>
      <c r="C2" s="218" t="s">
        <v>87</v>
      </c>
      <c r="D2" s="36" t="s">
        <v>88</v>
      </c>
      <c r="E2" s="36" t="s">
        <v>89</v>
      </c>
      <c r="F2" s="36" t="s">
        <v>90</v>
      </c>
      <c r="G2" s="36" t="s">
        <v>90</v>
      </c>
      <c r="H2" s="36" t="s">
        <v>91</v>
      </c>
      <c r="I2" s="36" t="s">
        <v>92</v>
      </c>
      <c r="J2" s="36" t="s">
        <v>93</v>
      </c>
      <c r="K2" s="37"/>
    </row>
    <row r="3" spans="1:11" ht="15.75" thickBot="1">
      <c r="A3" s="235"/>
      <c r="B3" s="236"/>
      <c r="C3" s="220"/>
      <c r="D3" s="36" t="s">
        <v>0</v>
      </c>
      <c r="E3" s="36" t="s">
        <v>0</v>
      </c>
      <c r="F3" s="36" t="s">
        <v>94</v>
      </c>
      <c r="G3" s="36" t="s">
        <v>95</v>
      </c>
      <c r="H3" s="36" t="s">
        <v>103</v>
      </c>
      <c r="I3" s="36" t="s">
        <v>96</v>
      </c>
      <c r="J3" s="36" t="s">
        <v>104</v>
      </c>
      <c r="K3" s="37"/>
    </row>
    <row r="4" spans="1:11" ht="28.5" customHeight="1" thickBot="1">
      <c r="A4" s="237" t="s">
        <v>297</v>
      </c>
      <c r="B4" s="223"/>
      <c r="C4" s="36">
        <v>1</v>
      </c>
      <c r="D4" s="36">
        <v>90</v>
      </c>
      <c r="E4" s="36">
        <f>C4*D4</f>
        <v>90</v>
      </c>
      <c r="F4" s="36">
        <v>24</v>
      </c>
      <c r="G4" s="130">
        <v>0.5</v>
      </c>
      <c r="H4" s="36">
        <v>0.51029999999999998</v>
      </c>
      <c r="I4" s="94">
        <f>E4*F4*G4*$G$20</f>
        <v>394200</v>
      </c>
      <c r="J4" s="131">
        <f>I4*H4+6957</f>
        <v>208117.25999999998</v>
      </c>
      <c r="K4" s="37"/>
    </row>
    <row r="5" spans="1:11" ht="15.75" thickBot="1">
      <c r="A5" s="221" t="s">
        <v>222</v>
      </c>
      <c r="B5" s="223"/>
      <c r="C5" s="79">
        <v>155</v>
      </c>
      <c r="D5" s="95">
        <v>9</v>
      </c>
      <c r="E5" s="124">
        <f t="shared" ref="E5:E8" si="0">C5*D5</f>
        <v>1395</v>
      </c>
      <c r="F5" s="95">
        <v>24</v>
      </c>
      <c r="G5" s="95">
        <v>0.1</v>
      </c>
      <c r="H5" s="95">
        <v>0.51029999999999998</v>
      </c>
      <c r="I5" s="94">
        <f t="shared" ref="I5:I9" si="1">E5*F5*G5*$G$20</f>
        <v>1222020</v>
      </c>
      <c r="J5" s="96">
        <f>I5*H5</f>
        <v>623596.80599999998</v>
      </c>
      <c r="K5" s="37"/>
    </row>
    <row r="6" spans="1:11" ht="15.75" thickBot="1">
      <c r="A6" s="221" t="s">
        <v>223</v>
      </c>
      <c r="B6" s="223"/>
      <c r="C6" s="40">
        <v>12</v>
      </c>
      <c r="D6" s="36">
        <v>75</v>
      </c>
      <c r="E6" s="124">
        <f t="shared" si="0"/>
        <v>900</v>
      </c>
      <c r="F6" s="36">
        <v>24</v>
      </c>
      <c r="G6" s="36">
        <v>2E-3</v>
      </c>
      <c r="H6" s="36">
        <v>0.51029999999999998</v>
      </c>
      <c r="I6" s="94">
        <f t="shared" si="1"/>
        <v>15768.000000000002</v>
      </c>
      <c r="J6" s="96">
        <f t="shared" ref="J6:J9" si="2">I6*H6</f>
        <v>8046.4104000000007</v>
      </c>
      <c r="K6" s="37"/>
    </row>
    <row r="7" spans="1:11" ht="15.75" thickBot="1">
      <c r="A7" s="221" t="s">
        <v>224</v>
      </c>
      <c r="B7" s="223"/>
      <c r="C7" s="40">
        <v>12</v>
      </c>
      <c r="D7" s="36">
        <v>37</v>
      </c>
      <c r="E7" s="124">
        <f t="shared" si="0"/>
        <v>444</v>
      </c>
      <c r="F7" s="36">
        <v>24</v>
      </c>
      <c r="G7" s="36">
        <v>2E-3</v>
      </c>
      <c r="H7" s="36">
        <v>0.51029999999999998</v>
      </c>
      <c r="I7" s="94">
        <f t="shared" si="1"/>
        <v>7778.88</v>
      </c>
      <c r="J7" s="96">
        <f t="shared" si="2"/>
        <v>3969.5624640000001</v>
      </c>
      <c r="K7" s="37"/>
    </row>
    <row r="8" spans="1:11" ht="15.75" thickBot="1">
      <c r="A8" s="221" t="s">
        <v>225</v>
      </c>
      <c r="B8" s="223"/>
      <c r="C8" s="40">
        <v>0</v>
      </c>
      <c r="D8" s="36">
        <v>2.2000000000000002</v>
      </c>
      <c r="E8" s="124">
        <f t="shared" si="0"/>
        <v>0</v>
      </c>
      <c r="F8" s="36">
        <v>24</v>
      </c>
      <c r="G8" s="36">
        <v>0.3</v>
      </c>
      <c r="H8" s="36">
        <v>0.51029999999999998</v>
      </c>
      <c r="I8" s="94">
        <f t="shared" si="1"/>
        <v>0</v>
      </c>
      <c r="J8" s="96">
        <f t="shared" si="2"/>
        <v>0</v>
      </c>
      <c r="K8" s="37"/>
    </row>
    <row r="9" spans="1:11" ht="30.75" thickBot="1">
      <c r="A9" s="122" t="s">
        <v>298</v>
      </c>
      <c r="B9" s="123"/>
      <c r="C9" s="121"/>
      <c r="D9" s="133"/>
      <c r="E9" s="133">
        <v>66</v>
      </c>
      <c r="F9" s="133">
        <v>24</v>
      </c>
      <c r="G9" s="133">
        <v>0.6</v>
      </c>
      <c r="H9" s="133">
        <v>0.51029999999999998</v>
      </c>
      <c r="I9" s="94">
        <f t="shared" si="1"/>
        <v>346896</v>
      </c>
      <c r="J9" s="96">
        <f t="shared" si="2"/>
        <v>177021.0288</v>
      </c>
      <c r="K9" s="37"/>
    </row>
    <row r="10" spans="1:11" ht="14.25" customHeight="1">
      <c r="A10" s="218" t="s">
        <v>226</v>
      </c>
      <c r="B10" s="218" t="s">
        <v>227</v>
      </c>
      <c r="C10" s="218">
        <v>3</v>
      </c>
      <c r="D10" s="218">
        <v>10</v>
      </c>
      <c r="E10" s="218">
        <f>C10*D10</f>
        <v>30</v>
      </c>
      <c r="F10" s="218">
        <v>24</v>
      </c>
      <c r="G10" s="218">
        <v>1</v>
      </c>
      <c r="H10" s="218">
        <v>0.51029999999999998</v>
      </c>
      <c r="I10" s="238">
        <f>E10*F10*G10*G20</f>
        <v>262800</v>
      </c>
      <c r="J10" s="238">
        <f>I10*H10</f>
        <v>134106.84</v>
      </c>
      <c r="K10" s="37"/>
    </row>
    <row r="11" spans="1:11" ht="14.25" customHeight="1" thickBot="1">
      <c r="A11" s="219"/>
      <c r="B11" s="220"/>
      <c r="C11" s="219"/>
      <c r="D11" s="219"/>
      <c r="E11" s="219"/>
      <c r="F11" s="219"/>
      <c r="G11" s="219"/>
      <c r="H11" s="219"/>
      <c r="I11" s="239"/>
      <c r="J11" s="239"/>
      <c r="K11" s="37"/>
    </row>
    <row r="12" spans="1:11" ht="29.25" thickBot="1">
      <c r="A12" s="219"/>
      <c r="B12" s="36" t="s">
        <v>228</v>
      </c>
      <c r="C12" s="219"/>
      <c r="D12" s="219"/>
      <c r="E12" s="219"/>
      <c r="F12" s="219"/>
      <c r="G12" s="219"/>
      <c r="H12" s="219"/>
      <c r="I12" s="239"/>
      <c r="J12" s="239"/>
      <c r="K12" s="37"/>
    </row>
    <row r="13" spans="1:11" ht="29.25" thickBot="1">
      <c r="A13" s="220"/>
      <c r="B13" s="36" t="s">
        <v>229</v>
      </c>
      <c r="C13" s="220"/>
      <c r="D13" s="220"/>
      <c r="E13" s="220"/>
      <c r="F13" s="220"/>
      <c r="G13" s="220"/>
      <c r="H13" s="220"/>
      <c r="I13" s="240"/>
      <c r="J13" s="240"/>
      <c r="K13" s="37"/>
    </row>
    <row r="14" spans="1:11" ht="15.75" thickBot="1">
      <c r="A14" s="241" t="s">
        <v>230</v>
      </c>
      <c r="B14" s="242"/>
      <c r="C14" s="242"/>
      <c r="D14" s="242"/>
      <c r="E14" s="242"/>
      <c r="F14" s="242"/>
      <c r="G14" s="242"/>
      <c r="H14" s="243"/>
      <c r="I14" s="97">
        <f>SUM(I4:I13)</f>
        <v>2249462.88</v>
      </c>
      <c r="J14" s="98">
        <f>SUM(J4:J13)</f>
        <v>1154857.9076640001</v>
      </c>
      <c r="K14" s="37"/>
    </row>
    <row r="15" spans="1:11" ht="15.75" thickBot="1">
      <c r="A15" s="244" t="s">
        <v>231</v>
      </c>
      <c r="B15" s="245"/>
      <c r="C15" s="241" t="s">
        <v>232</v>
      </c>
      <c r="D15" s="243"/>
      <c r="E15" s="241" t="s">
        <v>235</v>
      </c>
      <c r="F15" s="243"/>
      <c r="G15" s="39" t="s">
        <v>189</v>
      </c>
      <c r="H15" s="241" t="s">
        <v>233</v>
      </c>
      <c r="I15" s="243"/>
      <c r="J15" s="39" t="s">
        <v>93</v>
      </c>
      <c r="K15" s="37"/>
    </row>
    <row r="16" spans="1:11" ht="15.75" thickBot="1">
      <c r="A16" s="214"/>
      <c r="B16" s="246"/>
      <c r="C16" s="241">
        <v>2</v>
      </c>
      <c r="D16" s="243"/>
      <c r="E16" s="241">
        <v>9.5</v>
      </c>
      <c r="F16" s="243"/>
      <c r="G16" s="39">
        <v>12</v>
      </c>
      <c r="H16" s="241">
        <v>240</v>
      </c>
      <c r="I16" s="243"/>
      <c r="J16" s="80">
        <f>H16*E16</f>
        <v>2280</v>
      </c>
      <c r="K16" s="37"/>
    </row>
    <row r="17" spans="1:11" ht="15.75" thickBot="1">
      <c r="A17" s="241" t="s">
        <v>230</v>
      </c>
      <c r="B17" s="242"/>
      <c r="C17" s="242"/>
      <c r="D17" s="242"/>
      <c r="E17" s="242"/>
      <c r="F17" s="242"/>
      <c r="G17" s="243"/>
      <c r="H17" s="241">
        <v>240</v>
      </c>
      <c r="I17" s="243"/>
      <c r="J17" s="80">
        <f>J16</f>
        <v>2280</v>
      </c>
      <c r="K17" s="37"/>
    </row>
    <row r="18" spans="1:11" ht="16.5" thickBot="1">
      <c r="A18" s="171" t="s">
        <v>101</v>
      </c>
      <c r="B18" s="172"/>
      <c r="C18" s="172"/>
      <c r="D18" s="172"/>
      <c r="E18" s="172"/>
      <c r="F18" s="172"/>
      <c r="G18" s="172"/>
      <c r="H18" s="172"/>
      <c r="I18" s="173"/>
      <c r="J18" s="127">
        <f>J14+J17</f>
        <v>1157137.9076640001</v>
      </c>
      <c r="K18" s="37"/>
    </row>
    <row r="20" spans="1:11">
      <c r="G20" s="35">
        <v>365</v>
      </c>
    </row>
  </sheetData>
  <mergeCells count="29">
    <mergeCell ref="A17:G17"/>
    <mergeCell ref="H17:I17"/>
    <mergeCell ref="A18:I18"/>
    <mergeCell ref="A14:H14"/>
    <mergeCell ref="A15:B16"/>
    <mergeCell ref="C15:D15"/>
    <mergeCell ref="E15:F15"/>
    <mergeCell ref="H15:I15"/>
    <mergeCell ref="C16:D16"/>
    <mergeCell ref="E16:F16"/>
    <mergeCell ref="H16:I16"/>
    <mergeCell ref="J10:J13"/>
    <mergeCell ref="A7:B7"/>
    <mergeCell ref="A8:B8"/>
    <mergeCell ref="A10:A13"/>
    <mergeCell ref="B10:B11"/>
    <mergeCell ref="C10:C13"/>
    <mergeCell ref="D10:D13"/>
    <mergeCell ref="E10:E13"/>
    <mergeCell ref="F10:F13"/>
    <mergeCell ref="G10:G13"/>
    <mergeCell ref="H10:H13"/>
    <mergeCell ref="I10:I13"/>
    <mergeCell ref="A6:B6"/>
    <mergeCell ref="A1:J1"/>
    <mergeCell ref="A2:B3"/>
    <mergeCell ref="C2:C3"/>
    <mergeCell ref="A4:B4"/>
    <mergeCell ref="A5:B5"/>
  </mergeCells>
  <phoneticPr fontId="5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D14" sqref="D14"/>
    </sheetView>
  </sheetViews>
  <sheetFormatPr defaultColWidth="9" defaultRowHeight="14.25"/>
  <cols>
    <col min="1" max="7" width="9" style="35"/>
    <col min="8" max="8" width="11.625" style="35" customWidth="1"/>
    <col min="9" max="9" width="11" style="35" customWidth="1"/>
    <col min="10" max="10" width="16.5" style="35" customWidth="1"/>
    <col min="11" max="16384" width="9" style="35"/>
  </cols>
  <sheetData>
    <row r="1" spans="1:11" ht="19.5" thickBot="1">
      <c r="A1" s="217" t="s">
        <v>102</v>
      </c>
      <c r="B1" s="217"/>
      <c r="C1" s="217"/>
      <c r="D1" s="217"/>
      <c r="E1" s="217"/>
      <c r="F1" s="217"/>
      <c r="G1" s="217"/>
      <c r="H1" s="217"/>
      <c r="I1" s="217"/>
      <c r="J1" s="217"/>
    </row>
    <row r="2" spans="1:11" ht="15" thickBot="1">
      <c r="A2" s="233" t="s">
        <v>86</v>
      </c>
      <c r="B2" s="234"/>
      <c r="C2" s="218" t="s">
        <v>87</v>
      </c>
      <c r="D2" s="36" t="s">
        <v>88</v>
      </c>
      <c r="E2" s="36" t="s">
        <v>89</v>
      </c>
      <c r="F2" s="36" t="s">
        <v>90</v>
      </c>
      <c r="G2" s="36" t="s">
        <v>90</v>
      </c>
      <c r="H2" s="36" t="s">
        <v>91</v>
      </c>
      <c r="I2" s="36" t="s">
        <v>92</v>
      </c>
      <c r="J2" s="36" t="s">
        <v>93</v>
      </c>
      <c r="K2" s="37"/>
    </row>
    <row r="3" spans="1:11" ht="15.75" thickBot="1">
      <c r="A3" s="235"/>
      <c r="B3" s="236"/>
      <c r="C3" s="220"/>
      <c r="D3" s="36" t="s">
        <v>0</v>
      </c>
      <c r="E3" s="36" t="s">
        <v>0</v>
      </c>
      <c r="F3" s="36" t="s">
        <v>94</v>
      </c>
      <c r="G3" s="36" t="s">
        <v>95</v>
      </c>
      <c r="H3" s="36" t="s">
        <v>103</v>
      </c>
      <c r="I3" s="36" t="s">
        <v>96</v>
      </c>
      <c r="J3" s="36" t="s">
        <v>104</v>
      </c>
      <c r="K3" s="37"/>
    </row>
    <row r="4" spans="1:11" ht="15.75" thickBot="1">
      <c r="A4" s="218" t="s">
        <v>97</v>
      </c>
      <c r="B4" s="38" t="s">
        <v>98</v>
      </c>
      <c r="C4" s="38">
        <v>0</v>
      </c>
      <c r="D4" s="38">
        <v>7.5</v>
      </c>
      <c r="E4" s="38">
        <f>D4*C4</f>
        <v>0</v>
      </c>
      <c r="F4" s="38">
        <v>24</v>
      </c>
      <c r="G4" s="38">
        <v>0.3</v>
      </c>
      <c r="H4" s="38">
        <v>0.51029999999999998</v>
      </c>
      <c r="I4" s="125">
        <f>E4*F4*G4*$G$10</f>
        <v>0</v>
      </c>
      <c r="J4" s="2">
        <f>I4*H4</f>
        <v>0</v>
      </c>
    </row>
    <row r="5" spans="1:11" ht="15.75" thickBot="1">
      <c r="A5" s="219"/>
      <c r="B5" s="39" t="s">
        <v>99</v>
      </c>
      <c r="C5" s="125">
        <v>0</v>
      </c>
      <c r="D5" s="125">
        <v>5.5</v>
      </c>
      <c r="E5" s="125">
        <f t="shared" ref="E5:E6" si="0">D5*C5</f>
        <v>0</v>
      </c>
      <c r="F5" s="125">
        <v>24</v>
      </c>
      <c r="G5" s="125">
        <v>0.3</v>
      </c>
      <c r="H5" s="125">
        <v>0.51029999999999998</v>
      </c>
      <c r="I5" s="125">
        <f t="shared" ref="I5:I6" si="1">E5*F5*G5*$G$10</f>
        <v>0</v>
      </c>
      <c r="J5" s="126">
        <f t="shared" ref="J5:J6" si="2">I5*H5</f>
        <v>0</v>
      </c>
    </row>
    <row r="6" spans="1:11" ht="29.25" thickBot="1">
      <c r="A6" s="220"/>
      <c r="B6" s="36" t="s">
        <v>100</v>
      </c>
      <c r="C6" s="124">
        <v>30</v>
      </c>
      <c r="D6" s="124">
        <v>1.5</v>
      </c>
      <c r="E6" s="125">
        <f t="shared" si="0"/>
        <v>45</v>
      </c>
      <c r="F6" s="124">
        <v>0.5</v>
      </c>
      <c r="G6" s="124">
        <v>0.5</v>
      </c>
      <c r="H6" s="124">
        <v>0.51029999999999998</v>
      </c>
      <c r="I6" s="125">
        <f t="shared" si="1"/>
        <v>4106.25</v>
      </c>
      <c r="J6" s="126">
        <f t="shared" si="2"/>
        <v>2095.4193749999999</v>
      </c>
    </row>
    <row r="7" spans="1:11" ht="16.5" thickBot="1">
      <c r="A7" s="247" t="s">
        <v>101</v>
      </c>
      <c r="B7" s="248"/>
      <c r="C7" s="248"/>
      <c r="D7" s="248"/>
      <c r="E7" s="248"/>
      <c r="F7" s="248"/>
      <c r="G7" s="248"/>
      <c r="H7" s="248"/>
      <c r="I7" s="249"/>
      <c r="J7" s="41">
        <f>SUM(J4:J6)</f>
        <v>2095.4193749999999</v>
      </c>
    </row>
    <row r="10" spans="1:11">
      <c r="G10" s="35">
        <v>365</v>
      </c>
    </row>
    <row r="15" spans="1:11">
      <c r="I15" s="35" t="e">
        <f>I4/G4/E4</f>
        <v>#DIV/0!</v>
      </c>
    </row>
    <row r="16" spans="1:11">
      <c r="I16" s="35" t="e">
        <f>I15/365</f>
        <v>#DIV/0!</v>
      </c>
    </row>
  </sheetData>
  <mergeCells count="5">
    <mergeCell ref="A1:J1"/>
    <mergeCell ref="A4:A6"/>
    <mergeCell ref="A7:I7"/>
    <mergeCell ref="C2:C3"/>
    <mergeCell ref="A2:B3"/>
  </mergeCells>
  <phoneticPr fontId="5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48" sqref="A48"/>
    </sheetView>
  </sheetViews>
  <sheetFormatPr defaultColWidth="9" defaultRowHeight="14.25"/>
  <cols>
    <col min="1" max="1" width="13.125" style="35" customWidth="1"/>
    <col min="2" max="4" width="9" style="35"/>
    <col min="5" max="5" width="15" style="35" customWidth="1"/>
    <col min="6" max="16384" width="9" style="35"/>
  </cols>
  <sheetData>
    <row r="1" spans="1:6" ht="19.5" thickBot="1">
      <c r="A1" s="217" t="s">
        <v>241</v>
      </c>
      <c r="B1" s="217"/>
      <c r="C1" s="217"/>
      <c r="D1" s="217"/>
      <c r="E1" s="217"/>
      <c r="F1" s="217"/>
    </row>
    <row r="2" spans="1:6" ht="15.75" thickBot="1">
      <c r="A2" s="40" t="s">
        <v>242</v>
      </c>
      <c r="B2" s="36" t="s">
        <v>87</v>
      </c>
      <c r="C2" s="36" t="s">
        <v>236</v>
      </c>
      <c r="D2" s="36" t="s">
        <v>189</v>
      </c>
      <c r="E2" s="36" t="s">
        <v>237</v>
      </c>
      <c r="F2" s="36" t="s">
        <v>147</v>
      </c>
    </row>
    <row r="3" spans="1:6" ht="15.75" thickBot="1">
      <c r="A3" s="40" t="s">
        <v>238</v>
      </c>
      <c r="B3" s="36">
        <v>1</v>
      </c>
      <c r="C3" s="36">
        <v>150</v>
      </c>
      <c r="D3" s="36">
        <v>12</v>
      </c>
      <c r="E3" s="45">
        <f>B3*C3*D3</f>
        <v>1800</v>
      </c>
      <c r="F3" s="36"/>
    </row>
    <row r="4" spans="1:6" ht="29.25" thickBot="1">
      <c r="A4" s="40" t="s">
        <v>239</v>
      </c>
      <c r="B4" s="36">
        <v>0</v>
      </c>
      <c r="C4" s="36">
        <v>9125</v>
      </c>
      <c r="D4" s="36">
        <v>12</v>
      </c>
      <c r="E4" s="45">
        <f t="shared" ref="E4:E5" si="0">B4*C4*D4</f>
        <v>0</v>
      </c>
      <c r="F4" s="99"/>
    </row>
    <row r="5" spans="1:6" ht="15.75" thickBot="1">
      <c r="A5" s="40" t="s">
        <v>240</v>
      </c>
      <c r="B5" s="36">
        <v>1</v>
      </c>
      <c r="C5" s="36">
        <v>100</v>
      </c>
      <c r="D5" s="36">
        <v>12</v>
      </c>
      <c r="E5" s="45">
        <f t="shared" si="0"/>
        <v>1200</v>
      </c>
      <c r="F5" s="100"/>
    </row>
    <row r="6" spans="1:6" ht="16.5" thickBot="1">
      <c r="A6" s="247" t="s">
        <v>101</v>
      </c>
      <c r="B6" s="248"/>
      <c r="C6" s="248"/>
      <c r="D6" s="249"/>
      <c r="E6" s="41">
        <f>SUM(E3:E5)</f>
        <v>3000</v>
      </c>
      <c r="F6" s="99"/>
    </row>
  </sheetData>
  <mergeCells count="2">
    <mergeCell ref="A1:F1"/>
    <mergeCell ref="A6:D6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待确认</vt:lpstr>
      <vt:lpstr>面积</vt:lpstr>
      <vt:lpstr>汇总表</vt:lpstr>
      <vt:lpstr>1员工工资</vt:lpstr>
      <vt:lpstr>2工程人员工资</vt:lpstr>
      <vt:lpstr>2-1设施设备维修</vt:lpstr>
      <vt:lpstr>2-2设施设备运行1</vt:lpstr>
      <vt:lpstr>2-3设施设备运行2</vt:lpstr>
      <vt:lpstr>3清洁卫生</vt:lpstr>
      <vt:lpstr>3-1环境人员工资</vt:lpstr>
      <vt:lpstr>4绿化养护</vt:lpstr>
      <vt:lpstr>5秩序维护人员工资 </vt:lpstr>
      <vt:lpstr>5-1秩序维护费用</vt:lpstr>
      <vt:lpstr>6办公费</vt:lpstr>
      <vt:lpstr>7固定资产折旧</vt:lpstr>
      <vt:lpstr>8公众责任保险费用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2020-05-27T08:16:11Z</dcterms:modified>
</cp:coreProperties>
</file>