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55" windowWidth="22770" windowHeight="6795" tabRatio="875" firstSheet="8"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研发楼"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地下车库" sheetId="74" r:id="rId42"/>
    <sheet name="基准地价" sheetId="46" r:id="rId43"/>
    <sheet name="资料" sheetId="72" r:id="rId44"/>
    <sheet name="指标" sheetId="73" r:id="rId45"/>
    <sheet name="土地案例" sheetId="75" r:id="rId46"/>
  </sheets>
  <externalReferences>
    <externalReference r:id="rId47"/>
    <externalReference r:id="rId48"/>
  </externalReferences>
  <definedNames>
    <definedName name="_xlnm._FilterDatabase" localSheetId="17"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'不动产收益法-地下车库'!$A$1:$F$43,'不动产收益法-地下车库'!$H$3:$M$29,'不动产收益法-地下车库'!$A$46:$F$70,'不动产收益法-地下车库'!$I$46:$M$60</definedName>
    <definedName name="_xlnm.Print_Area" localSheetId="30">'不动产收益法-研发楼'!$A$1:$F$43,'不动产收益法-研发楼'!$H$3:$M$29,'不动产收益法-研发楼'!$A$46:$F$70,'不动产收益法-研发楼'!$I$46:$M$60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S4" i="75" l="1"/>
  <c r="U21" i="1" l="1"/>
  <c r="I36" i="40"/>
  <c r="G36" i="40"/>
  <c r="E36" i="40"/>
  <c r="C36" i="40"/>
  <c r="I43" i="40"/>
  <c r="G43" i="40"/>
  <c r="E43" i="40"/>
  <c r="S14" i="75"/>
  <c r="S13" i="75"/>
  <c r="S12" i="75"/>
  <c r="S11" i="75"/>
  <c r="S10" i="75"/>
  <c r="S9" i="75"/>
  <c r="S8" i="75"/>
  <c r="S3" i="75"/>
  <c r="S2" i="75"/>
  <c r="H110" i="40" l="1"/>
  <c r="G110" i="40"/>
  <c r="F110" i="40"/>
  <c r="E110" i="40"/>
  <c r="D110" i="40"/>
  <c r="N67" i="40"/>
  <c r="M67" i="40"/>
  <c r="L67" i="40"/>
  <c r="K67" i="40"/>
  <c r="J67" i="40"/>
  <c r="I67" i="40"/>
  <c r="H67" i="40"/>
  <c r="G67" i="40"/>
  <c r="F67" i="40"/>
  <c r="E67" i="40"/>
  <c r="D67" i="40"/>
  <c r="I9" i="40"/>
  <c r="G9" i="40"/>
  <c r="E9" i="40"/>
  <c r="I7" i="40"/>
  <c r="G7" i="40"/>
  <c r="E7" i="40"/>
  <c r="K19" i="9"/>
  <c r="G44" i="46"/>
  <c r="D42" i="46"/>
  <c r="D33" i="46"/>
  <c r="B35" i="1"/>
  <c r="F17" i="74" s="1"/>
  <c r="B29" i="1"/>
  <c r="AM7" i="1"/>
  <c r="AL7" i="1"/>
  <c r="AK7" i="1"/>
  <c r="AH7" i="1"/>
  <c r="Y7" i="1"/>
  <c r="W7" i="1"/>
  <c r="V7" i="1"/>
  <c r="Q73" i="74"/>
  <c r="Q60" i="74"/>
  <c r="D60" i="74"/>
  <c r="Q59" i="74"/>
  <c r="K59" i="74"/>
  <c r="F58" i="74"/>
  <c r="Q52" i="74"/>
  <c r="J50" i="74"/>
  <c r="M47" i="74"/>
  <c r="F33" i="74"/>
  <c r="F60" i="74" s="1"/>
  <c r="F31" i="74"/>
  <c r="F23" i="74"/>
  <c r="D24" i="74" s="1"/>
  <c r="F21" i="74"/>
  <c r="F20" i="74"/>
  <c r="M19" i="74"/>
  <c r="F18" i="74"/>
  <c r="M17" i="74"/>
  <c r="F15" i="74"/>
  <c r="G1" i="74"/>
  <c r="N14" i="1"/>
  <c r="N7" i="1"/>
  <c r="L14" i="1"/>
  <c r="J7" i="1"/>
  <c r="G20" i="6"/>
  <c r="F19" i="6"/>
  <c r="AT13" i="3"/>
  <c r="AN13" i="3"/>
  <c r="AL13" i="3"/>
  <c r="K13" i="3"/>
  <c r="I13" i="3"/>
  <c r="A3" i="3"/>
  <c r="H17" i="4"/>
  <c r="F10" i="4"/>
  <c r="D3" i="4"/>
  <c r="E19" i="72"/>
  <c r="C14" i="73"/>
  <c r="C16" i="73" s="1"/>
  <c r="C17" i="73" s="1"/>
  <c r="D16" i="73"/>
  <c r="D13" i="73"/>
  <c r="C15" i="73"/>
  <c r="D15" i="73"/>
  <c r="D14" i="73"/>
  <c r="C12" i="73"/>
  <c r="C8" i="73"/>
  <c r="C7" i="73"/>
  <c r="C6" i="73"/>
  <c r="C5" i="73"/>
  <c r="C4" i="73"/>
  <c r="F9" i="74"/>
  <c r="L47" i="74"/>
  <c r="F36" i="74"/>
  <c r="M24" i="74"/>
  <c r="F8" i="74"/>
  <c r="F42" i="74"/>
  <c r="M22" i="74"/>
  <c r="F43" i="74"/>
  <c r="L48" i="74"/>
  <c r="F7" i="74"/>
  <c r="M28" i="74"/>
  <c r="H36" i="74" l="1"/>
  <c r="D22" i="74"/>
  <c r="D23" i="74"/>
  <c r="F70" i="74"/>
  <c r="F50" i="74"/>
  <c r="F63" i="74"/>
  <c r="L58" i="74"/>
  <c r="M7" i="74"/>
  <c r="F49" i="74"/>
  <c r="P75" i="74"/>
  <c r="P62" i="74"/>
  <c r="J51" i="7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C17" i="74"/>
  <c r="M9" i="74"/>
  <c r="M23" i="74"/>
  <c r="M29" i="74"/>
  <c r="F38" i="74"/>
  <c r="M8" i="74"/>
  <c r="J15" i="74"/>
  <c r="F26" i="74"/>
  <c r="F35" i="74"/>
  <c r="F40" i="74"/>
  <c r="M6" i="74"/>
  <c r="F16" i="74"/>
  <c r="M26" i="74"/>
  <c r="J36" i="74"/>
  <c r="F6" i="74"/>
  <c r="F13" i="74"/>
  <c r="M21" i="74"/>
  <c r="M27" i="74"/>
  <c r="F37" i="74"/>
  <c r="I54" i="74" l="1"/>
  <c r="F67" i="74"/>
  <c r="F64" i="74"/>
  <c r="F62" i="74"/>
  <c r="C27" i="74"/>
  <c r="C6" i="74"/>
  <c r="F65" i="74"/>
  <c r="Q72" i="74"/>
  <c r="F48" i="74"/>
  <c r="C48" i="74" s="1"/>
  <c r="J6" i="74"/>
  <c r="J53" i="74"/>
  <c r="L56" i="74"/>
  <c r="L59" i="74"/>
  <c r="J57" i="74"/>
  <c r="J55" i="74" s="1"/>
  <c r="J58" i="74" s="1"/>
  <c r="Q51" i="74" s="1"/>
  <c r="Q61" i="74"/>
  <c r="Q74" i="74"/>
  <c r="P28" i="70"/>
  <c r="Q75" i="74" l="1"/>
  <c r="Q62" i="74"/>
  <c r="Q53" i="74"/>
  <c r="F1" i="74"/>
  <c r="B3" i="69"/>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R14" i="68"/>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P29" i="59"/>
  <c r="E29" i="59" s="1"/>
  <c r="O29" i="59"/>
  <c r="C29" i="59" s="1"/>
  <c r="D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O50" i="59"/>
  <c r="C51" i="59" s="1"/>
  <c r="D51"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P40" i="59"/>
  <c r="O40" i="59"/>
  <c r="Y40" i="59"/>
  <c r="Z40" i="59" s="1"/>
  <c r="N40" i="59"/>
  <c r="Q39" i="59"/>
  <c r="AB39" i="59" s="1"/>
  <c r="P39" i="59"/>
  <c r="AA39" i="59" s="1"/>
  <c r="O39" i="59"/>
  <c r="Y39" i="59" s="1"/>
  <c r="Z39" i="59" s="1"/>
  <c r="N39" i="59"/>
  <c r="X39" i="59" s="1"/>
  <c r="Q38" i="59"/>
  <c r="AB38" i="59" s="1"/>
  <c r="F39" i="59"/>
  <c r="P38" i="59"/>
  <c r="AA38" i="59" s="1"/>
  <c r="E39" i="59"/>
  <c r="E40" i="59" s="1"/>
  <c r="E41" i="59" s="1"/>
  <c r="U41" i="59" s="1"/>
  <c r="O38" i="59"/>
  <c r="Y38" i="59" s="1"/>
  <c r="Z38" i="59" s="1"/>
  <c r="N38" i="59"/>
  <c r="X38"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N30" i="59"/>
  <c r="X30" i="59" s="1"/>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E31" i="59"/>
  <c r="E32" i="59" s="1"/>
  <c r="E33" i="59" s="1"/>
  <c r="U33" i="59" s="1"/>
  <c r="S53" i="59"/>
  <c r="E53" i="59"/>
  <c r="U53" i="59" s="1"/>
  <c r="S69" i="59"/>
  <c r="AA40" i="59"/>
  <c r="F32" i="59"/>
  <c r="F33" i="59"/>
  <c r="V33" i="59" s="1"/>
  <c r="F40" i="59"/>
  <c r="F41" i="59"/>
  <c r="V41" i="59" s="1"/>
  <c r="F44" i="59"/>
  <c r="F45" i="59" s="1"/>
  <c r="V45" i="59" s="1"/>
  <c r="F49" i="59"/>
  <c r="V49" i="59" s="1"/>
  <c r="F56" i="59"/>
  <c r="F57" i="59" s="1"/>
  <c r="V57" i="59"/>
  <c r="F60" i="59"/>
  <c r="F61" i="59"/>
  <c r="V61" i="59" s="1"/>
  <c r="F64" i="59"/>
  <c r="F65" i="59" s="1"/>
  <c r="V65" i="59"/>
  <c r="D43" i="59"/>
  <c r="C48" i="59"/>
  <c r="D48" i="59"/>
  <c r="D47" i="59"/>
  <c r="C52" i="59"/>
  <c r="C56" i="59"/>
  <c r="D55" i="59"/>
  <c r="C60" i="59"/>
  <c r="C64" i="59"/>
  <c r="D63" i="59"/>
  <c r="C36" i="59"/>
  <c r="D35" i="59"/>
  <c r="E67" i="59"/>
  <c r="Q68" i="59"/>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6" i="59"/>
  <c r="P67" i="59"/>
  <c r="D88" i="59"/>
  <c r="C87" i="59"/>
  <c r="D87" i="59" s="1"/>
  <c r="D80" i="59"/>
  <c r="C79" i="59"/>
  <c r="D79" i="59"/>
  <c r="D72" i="59"/>
  <c r="C71" i="59"/>
  <c r="D71" i="59" s="1"/>
  <c r="C67" i="59"/>
  <c r="O68" i="59"/>
  <c r="D68" i="59"/>
  <c r="D84" i="59"/>
  <c r="C83" i="59"/>
  <c r="D83" i="59" s="1"/>
  <c r="D76" i="59"/>
  <c r="C75" i="59"/>
  <c r="D75" i="59"/>
  <c r="C37" i="59"/>
  <c r="D36" i="59"/>
  <c r="C65" i="59"/>
  <c r="D64" i="59"/>
  <c r="D60" i="59"/>
  <c r="C61" i="59"/>
  <c r="C57" i="59"/>
  <c r="D56" i="59"/>
  <c r="C53" i="59"/>
  <c r="D52" i="59"/>
  <c r="C45" i="59"/>
  <c r="D44" i="59"/>
  <c r="T61"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95" i="40" s="1"/>
  <c r="G95" i="40" s="1"/>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H27" i="40"/>
  <c r="U27" i="40" s="1"/>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s="1"/>
  <c r="AB21" i="40" s="1"/>
  <c r="D87" i="40"/>
  <c r="E87" i="40" s="1"/>
  <c r="D85" i="40"/>
  <c r="E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W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s="1"/>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W10" i="40"/>
  <c r="U11" i="40"/>
  <c r="U36" i="40"/>
  <c r="S40" i="39"/>
  <c r="F11" i="21"/>
  <c r="S11" i="21" s="1"/>
  <c r="AC40" i="21"/>
  <c r="AB36" i="21"/>
  <c r="AC35" i="21"/>
  <c r="C29" i="39"/>
  <c r="C23" i="39"/>
  <c r="U36" i="39"/>
  <c r="H32" i="33"/>
  <c r="AB32" i="33"/>
  <c r="H11" i="21"/>
  <c r="U11" i="21"/>
  <c r="J11" i="21"/>
  <c r="W11" i="2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F21" i="40"/>
  <c r="S21"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82" i="3"/>
  <c r="AZ185"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62" i="3"/>
  <c r="AZ166" i="3"/>
  <c r="AZ174" i="3"/>
  <c r="AZ179"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c r="W37" i="37"/>
  <c r="AA30" i="33"/>
  <c r="AA36" i="37"/>
  <c r="S42" i="33"/>
  <c r="U32" i="33"/>
  <c r="AB17" i="37"/>
  <c r="AZ508" i="3"/>
  <c r="AC29" i="33"/>
  <c r="AA45" i="33"/>
  <c r="AC11" i="36"/>
  <c r="AB45" i="34"/>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4" i="40"/>
  <c r="W14" i="40" s="1"/>
  <c r="H42" i="40"/>
  <c r="AB42" i="40" s="1"/>
  <c r="H40" i="40"/>
  <c r="U40" i="40" s="1"/>
  <c r="H34" i="40"/>
  <c r="U34" i="40" s="1"/>
  <c r="J42" i="40"/>
  <c r="AC42" i="40" s="1"/>
  <c r="J40" i="40"/>
  <c r="AC40" i="40" s="1"/>
  <c r="J34" i="40"/>
  <c r="AC34" i="40" s="1"/>
  <c r="F32" i="40"/>
  <c r="AA32" i="40"/>
  <c r="F61" i="46"/>
  <c r="F72" i="46"/>
  <c r="H74" i="46" s="1"/>
  <c r="AZ167" i="3"/>
  <c r="AZ32" i="3"/>
  <c r="AZ40" i="3"/>
  <c r="AZ56" i="3"/>
  <c r="AZ63" i="3"/>
  <c r="AZ91" i="3"/>
  <c r="AZ107" i="3"/>
  <c r="AZ112" i="3"/>
  <c r="J13" i="40"/>
  <c r="W13" i="40" s="1"/>
  <c r="W40" i="40"/>
  <c r="AC14" i="40"/>
  <c r="S47" i="39"/>
  <c r="U37" i="34"/>
  <c r="AB37" i="34"/>
  <c r="AC41" i="40"/>
  <c r="U41" i="40"/>
  <c r="J23" i="40"/>
  <c r="AC23" i="40" s="1"/>
  <c r="F23" i="40"/>
  <c r="S23" i="40" s="1"/>
  <c r="AC15" i="40"/>
  <c r="W15" i="40"/>
  <c r="W27" i="39"/>
  <c r="S23" i="39"/>
  <c r="AB16" i="39"/>
  <c r="W14" i="39"/>
  <c r="U23" i="35"/>
  <c r="AB23" i="35"/>
  <c r="H20" i="35"/>
  <c r="F20" i="35"/>
  <c r="S20" i="35" s="1"/>
  <c r="H15" i="34"/>
  <c r="AB15" i="34" s="1"/>
  <c r="F78" i="34"/>
  <c r="G78" i="34" s="1"/>
  <c r="J15" i="34"/>
  <c r="W15" i="34" s="1"/>
  <c r="H41" i="33"/>
  <c r="U4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c r="AA11" i="33"/>
  <c r="AA40" i="21"/>
  <c r="U17" i="21"/>
  <c r="S13" i="39"/>
  <c r="AA13" i="39"/>
  <c r="W34" i="40"/>
  <c r="AB34" i="40"/>
  <c r="U42" i="40"/>
  <c r="W32" i="40"/>
  <c r="H25" i="40"/>
  <c r="AB25" i="40" s="1"/>
  <c r="F93" i="40"/>
  <c r="G93" i="40" s="1"/>
  <c r="U47"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AC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W11" i="40"/>
  <c r="W42" i="40"/>
  <c r="U35" i="40"/>
  <c r="F37" i="40"/>
  <c r="J37" i="40"/>
  <c r="AC37" i="40" s="1"/>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F87" i="40"/>
  <c r="G87" i="40" s="1"/>
  <c r="F19" i="40"/>
  <c r="AA19" i="40" s="1"/>
  <c r="H19" i="40"/>
  <c r="AB19" i="40" s="1"/>
  <c r="J19" i="40"/>
  <c r="W19" i="40" s="1"/>
  <c r="AC17" i="40"/>
  <c r="F17" i="40"/>
  <c r="AA17" i="40" s="1"/>
  <c r="H17" i="40"/>
  <c r="U17" i="40" s="1"/>
  <c r="AB40" i="40"/>
  <c r="U10"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s="1"/>
  <c r="M43" i="9"/>
  <c r="D96" i="9"/>
  <c r="A18" i="64"/>
  <c r="B74" i="63" s="1"/>
  <c r="BA16" i="3"/>
  <c r="BA17" i="3"/>
  <c r="AZ17" i="3" s="1"/>
  <c r="F3" i="35"/>
  <c r="K1" i="43"/>
  <c r="K1" i="12"/>
  <c r="G1" i="44"/>
  <c r="I4" i="6"/>
  <c r="G3" i="46" s="1"/>
  <c r="Z7" i="46" s="1"/>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K5" i="54"/>
  <c r="B38" i="63"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J27" i="40"/>
  <c r="AC27" i="40" s="1"/>
  <c r="W30" i="40"/>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AC15" i="21"/>
  <c r="U39" i="40"/>
  <c r="AC39" i="40"/>
  <c r="W39" i="40"/>
  <c r="S39" i="40"/>
  <c r="U37" i="40"/>
  <c r="AB37" i="40"/>
  <c r="AA37" i="40"/>
  <c r="S37" i="40"/>
  <c r="AB29" i="40"/>
  <c r="AC29" i="40"/>
  <c r="W29" i="40"/>
  <c r="AA29" i="40"/>
  <c r="S29" i="40"/>
  <c r="S19" i="40"/>
  <c r="U19" i="40"/>
  <c r="R22" i="31"/>
  <c r="B21" i="31" s="1"/>
  <c r="AT6" i="3"/>
  <c r="AZ16" i="3"/>
  <c r="G66" i="36"/>
  <c r="J18" i="36"/>
  <c r="W18" i="36"/>
  <c r="AC18" i="36"/>
  <c r="L20" i="6"/>
  <c r="C45" i="9"/>
  <c r="B7" i="66" s="1"/>
  <c r="O40" i="9"/>
  <c r="K31" i="9" s="1"/>
  <c r="K32" i="9" s="1"/>
  <c r="N76" i="9"/>
  <c r="C46" i="9"/>
  <c r="K33" i="9" s="1"/>
  <c r="B8" i="66"/>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L48" i="15"/>
  <c r="F43" i="15"/>
  <c r="J7" i="65"/>
  <c r="F37" i="15"/>
  <c r="F8" i="15"/>
  <c r="M31" i="44"/>
  <c r="N5" i="65"/>
  <c r="F8" i="44"/>
  <c r="M24" i="44"/>
  <c r="E10" i="67"/>
  <c r="F36" i="15"/>
  <c r="E12" i="67"/>
  <c r="F10" i="67"/>
  <c r="I3" i="65"/>
  <c r="B9" i="67"/>
  <c r="E14" i="67"/>
  <c r="B11" i="67"/>
  <c r="J6" i="65"/>
  <c r="J4" i="65"/>
  <c r="I4" i="65"/>
  <c r="F11" i="67"/>
  <c r="F13" i="67"/>
  <c r="F8" i="67"/>
  <c r="J5" i="65"/>
  <c r="M24" i="15"/>
  <c r="N4" i="65"/>
  <c r="L48" i="44"/>
  <c r="F12" i="67"/>
  <c r="M25" i="44"/>
  <c r="B13" i="67"/>
  <c r="F45" i="44"/>
  <c r="E8" i="67"/>
  <c r="C16" i="74"/>
  <c r="F42" i="15"/>
  <c r="M10" i="44"/>
  <c r="M28" i="15"/>
  <c r="F18" i="44"/>
  <c r="F39" i="44"/>
  <c r="J15" i="15"/>
  <c r="M29" i="15"/>
  <c r="N3" i="65"/>
  <c r="J36" i="15"/>
  <c r="F40" i="15"/>
  <c r="F6" i="15"/>
  <c r="F28" i="44"/>
  <c r="B12" i="67"/>
  <c r="B8" i="67"/>
  <c r="I5" i="65"/>
  <c r="F9" i="67"/>
  <c r="F14" i="67"/>
  <c r="B14" i="67"/>
  <c r="J3" i="65"/>
  <c r="I7" i="65"/>
  <c r="E9" i="67"/>
  <c r="N6" i="65"/>
  <c r="F7" i="15"/>
  <c r="N7" i="65"/>
  <c r="M26" i="15"/>
  <c r="E13" i="67"/>
  <c r="B10" i="67"/>
  <c r="E11" i="67"/>
  <c r="M8" i="15"/>
  <c r="I6" i="65"/>
  <c r="F26" i="15"/>
  <c r="F16" i="15"/>
  <c r="M11" i="44"/>
  <c r="B41" i="1" l="1"/>
  <c r="M18" i="15" s="1"/>
  <c r="S25" i="40"/>
  <c r="AA21" i="40"/>
  <c r="E89" i="40"/>
  <c r="F89" i="40" s="1"/>
  <c r="G89" i="40" s="1"/>
  <c r="AA40" i="40"/>
  <c r="S40" i="40"/>
  <c r="S16" i="40"/>
  <c r="S15" i="40"/>
  <c r="U15" i="40"/>
  <c r="H14" i="40"/>
  <c r="H16" i="40"/>
  <c r="J16" i="40"/>
  <c r="W23" i="40"/>
  <c r="W27" i="40"/>
  <c r="U25" i="40"/>
  <c r="W25" i="40"/>
  <c r="AA23" i="40"/>
  <c r="W21" i="40"/>
  <c r="U21" i="40"/>
  <c r="AC19" i="40"/>
  <c r="P75" i="15"/>
  <c r="F34" i="15"/>
  <c r="F61" i="15" s="1"/>
  <c r="F34" i="74"/>
  <c r="M20" i="74"/>
  <c r="J20" i="74" s="1"/>
  <c r="F72" i="9"/>
  <c r="F28" i="74"/>
  <c r="C28" i="74" s="1"/>
  <c r="J19" i="74"/>
  <c r="C60" i="74"/>
  <c r="C33" i="74"/>
  <c r="A18" i="51"/>
  <c r="B14" i="63" s="1"/>
  <c r="T41" i="4"/>
  <c r="A17" i="64" s="1"/>
  <c r="L5" i="54"/>
  <c r="B39" i="63" s="1"/>
  <c r="A17" i="51"/>
  <c r="B13" i="63" s="1"/>
  <c r="K34" i="9"/>
  <c r="O41" i="9"/>
  <c r="R8" i="54" s="1"/>
  <c r="B54" i="63" s="1"/>
  <c r="G12" i="1"/>
  <c r="C20" i="59"/>
  <c r="T21" i="59"/>
  <c r="D21" i="59"/>
  <c r="AZ488" i="3"/>
  <c r="S21" i="59"/>
  <c r="W37" i="40"/>
  <c r="W34" i="33"/>
  <c r="AA20" i="35"/>
  <c r="M20" i="44"/>
  <c r="AC36" i="33"/>
  <c r="AB23" i="40"/>
  <c r="W15" i="39"/>
  <c r="AB25" i="39"/>
  <c r="S33" i="40"/>
  <c r="AZ486" i="3"/>
  <c r="AZ489" i="3"/>
  <c r="AZ513" i="3"/>
  <c r="AZ518" i="3"/>
  <c r="AZ529" i="3"/>
  <c r="AZ552" i="3"/>
  <c r="AZ571" i="3"/>
  <c r="AC14" i="37"/>
  <c r="AB15" i="37"/>
  <c r="AZ356" i="3"/>
  <c r="AZ345" i="3"/>
  <c r="AZ340" i="3"/>
  <c r="AZ329" i="3"/>
  <c r="AZ324" i="3"/>
  <c r="AZ305" i="3"/>
  <c r="AZ381" i="3"/>
  <c r="AZ372" i="3"/>
  <c r="AZ355" i="3"/>
  <c r="AZ307" i="3"/>
  <c r="U12" i="37"/>
  <c r="AA13" i="33"/>
  <c r="AC23" i="37"/>
  <c r="AC28" i="34"/>
  <c r="AZ514" i="3"/>
  <c r="AZ524" i="3"/>
  <c r="AZ532" i="3"/>
  <c r="AZ546" i="3"/>
  <c r="AZ543" i="3"/>
  <c r="AZ502" i="3"/>
  <c r="AZ550" i="3"/>
  <c r="AZ556" i="3"/>
  <c r="S45" i="21"/>
  <c r="AA27" i="33"/>
  <c r="W31" i="34"/>
  <c r="AB13" i="21"/>
  <c r="AB40" i="37"/>
  <c r="W46" i="33"/>
  <c r="W35" i="35"/>
  <c r="S22" i="35"/>
  <c r="AA38" i="21"/>
  <c r="B94" i="46"/>
  <c r="B84" i="46"/>
  <c r="AZ526" i="3"/>
  <c r="AZ534" i="3"/>
  <c r="AZ542" i="3"/>
  <c r="E5" i="6"/>
  <c r="D12" i="11" s="1"/>
  <c r="C12" i="11" s="1"/>
  <c r="BF5" i="3"/>
  <c r="J9" i="33"/>
  <c r="H9" i="33"/>
  <c r="F9" i="33"/>
  <c r="H5" i="3"/>
  <c r="BA572" i="3"/>
  <c r="AZ572" i="3" s="1"/>
  <c r="BA570" i="3"/>
  <c r="AZ570" i="3" s="1"/>
  <c r="BE5" i="3"/>
  <c r="B101" i="46"/>
  <c r="B79" i="46"/>
  <c r="F12" i="33"/>
  <c r="H12" i="33"/>
  <c r="F34" i="35"/>
  <c r="H34" i="35"/>
  <c r="F26" i="37"/>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A30" i="64"/>
  <c r="A30" i="51"/>
  <c r="B22" i="63" s="1"/>
  <c r="A2" i="55"/>
  <c r="B55" i="63" s="1"/>
  <c r="AZ398" i="3"/>
  <c r="AZ414" i="3"/>
  <c r="AZ418" i="3"/>
  <c r="AZ428" i="3"/>
  <c r="AZ434" i="3"/>
  <c r="AZ438" i="3"/>
  <c r="AZ444" i="3"/>
  <c r="AZ452" i="3"/>
  <c r="AZ458" i="3"/>
  <c r="AZ466" i="3"/>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AZ474" i="3"/>
  <c r="AZ309" i="3"/>
  <c r="AZ313" i="3"/>
  <c r="AZ317" i="3"/>
  <c r="AZ333" i="3"/>
  <c r="AZ349" i="3"/>
  <c r="AZ357" i="3"/>
  <c r="AZ364" i="3"/>
  <c r="AZ369" i="3"/>
  <c r="AZ375" i="3"/>
  <c r="AZ385" i="3"/>
  <c r="AZ205" i="3"/>
  <c r="AZ216" i="3"/>
  <c r="AZ232" i="3"/>
  <c r="AZ248" i="3"/>
  <c r="AZ264" i="3"/>
  <c r="AZ294" i="3"/>
  <c r="AZ132" i="3"/>
  <c r="AZ148" i="3"/>
  <c r="AZ159" i="3"/>
  <c r="AZ171" i="3"/>
  <c r="AZ204" i="3"/>
  <c r="AZ22" i="3"/>
  <c r="AZ26" i="3"/>
  <c r="AZ36" i="3"/>
  <c r="BL39" i="3"/>
  <c r="AZ39" i="3" s="1"/>
  <c r="BL43" i="3"/>
  <c r="AZ43" i="3" s="1"/>
  <c r="BA44" i="3"/>
  <c r="AZ44" i="3" s="1"/>
  <c r="BL45" i="3"/>
  <c r="BA46" i="3"/>
  <c r="AZ46" i="3" s="1"/>
  <c r="BA48" i="3"/>
  <c r="AZ48" i="3" s="1"/>
  <c r="BL49" i="3"/>
  <c r="AZ49" i="3" s="1"/>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AZ58" i="3"/>
  <c r="AZ61" i="3"/>
  <c r="AZ67" i="3"/>
  <c r="P16" i="4"/>
  <c r="B31" i="59"/>
  <c r="B32" i="59" s="1"/>
  <c r="B33" i="59" s="1"/>
  <c r="S33" i="59" s="1"/>
  <c r="C31" i="59"/>
  <c r="E35" i="59"/>
  <c r="E36" i="59" s="1"/>
  <c r="E37" i="59" s="1"/>
  <c r="U37" i="59" s="1"/>
  <c r="F35" i="59"/>
  <c r="F36" i="59" s="1"/>
  <c r="F37" i="59" s="1"/>
  <c r="V37" i="59" s="1"/>
  <c r="B39" i="59"/>
  <c r="B40" i="59" s="1"/>
  <c r="B41" i="59" s="1"/>
  <c r="S41" i="59" s="1"/>
  <c r="C39" i="59"/>
  <c r="X6" i="59"/>
  <c r="X5" i="59"/>
  <c r="X7" i="59"/>
  <c r="X8" i="59"/>
  <c r="X10" i="59"/>
  <c r="AA5" i="59"/>
  <c r="AA7" i="59"/>
  <c r="AA8" i="59"/>
  <c r="AA6" i="59"/>
  <c r="AA10" i="59"/>
  <c r="AB6" i="59"/>
  <c r="AB5" i="59"/>
  <c r="AB7" i="59"/>
  <c r="AB8" i="59"/>
  <c r="AB10" i="59"/>
  <c r="AB11" i="59"/>
  <c r="B68" i="59"/>
  <c r="X24" i="59"/>
  <c r="X25" i="59"/>
  <c r="U29" i="59"/>
  <c r="E28" i="59"/>
  <c r="E27" i="59" s="1"/>
  <c r="C28" i="59"/>
  <c r="O76" i="9"/>
  <c r="K76" i="9"/>
  <c r="B29" i="59"/>
  <c r="Y24" i="59"/>
  <c r="Z24" i="59" s="1"/>
  <c r="AB24" i="59"/>
  <c r="X19" i="59"/>
  <c r="AA19" i="59"/>
  <c r="Y19" i="59"/>
  <c r="Z19" i="59" s="1"/>
  <c r="AB19" i="59"/>
  <c r="X15" i="59"/>
  <c r="AA15" i="59"/>
  <c r="X40" i="59"/>
  <c r="Y7" i="59"/>
  <c r="Z7" i="59" s="1"/>
  <c r="Y6" i="59"/>
  <c r="Z6" i="59" s="1"/>
  <c r="Y5" i="59"/>
  <c r="Z5" i="59" s="1"/>
  <c r="Y8" i="59"/>
  <c r="Z8" i="59" s="1"/>
  <c r="Y10" i="59"/>
  <c r="Z10" i="59" s="1"/>
  <c r="Y11" i="59"/>
  <c r="Z11" i="59" s="1"/>
  <c r="AB40" i="59"/>
  <c r="T25" i="59"/>
  <c r="T29" i="59"/>
  <c r="L76" i="9"/>
  <c r="X22" i="59"/>
  <c r="AA24" i="59"/>
  <c r="AA22" i="59"/>
  <c r="X18" i="59"/>
  <c r="Y18" i="59"/>
  <c r="Z18" i="59" s="1"/>
  <c r="AA18" i="59"/>
  <c r="AB18" i="59"/>
  <c r="Y15" i="59"/>
  <c r="Z15" i="59" s="1"/>
  <c r="AB16" i="59"/>
  <c r="AB12" i="59"/>
  <c r="AB14" i="59"/>
  <c r="AA11" i="59"/>
  <c r="AA12" i="59"/>
  <c r="X12" i="59"/>
  <c r="X14" i="59"/>
  <c r="Y12" i="59"/>
  <c r="Z12" i="59" s="1"/>
  <c r="Y14" i="59"/>
  <c r="Z14" i="59" s="1"/>
  <c r="F25" i="59"/>
  <c r="E25" i="59"/>
  <c r="Y25" i="59"/>
  <c r="Z25" i="59" s="1"/>
  <c r="AB25" i="59"/>
  <c r="AA16" i="59"/>
  <c r="X17" i="59"/>
  <c r="AB13" i="59"/>
  <c r="AB15" i="59"/>
  <c r="AA13" i="59"/>
  <c r="AA14" i="59"/>
  <c r="X13" i="59"/>
  <c r="X11" i="59"/>
  <c r="Y13" i="59"/>
  <c r="Z13" i="59" s="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E4" i="4" s="1"/>
  <c r="B21" i="55" s="1"/>
  <c r="B72" i="63" s="1"/>
  <c r="B8" i="52"/>
  <c r="E10" i="52"/>
  <c r="C4" i="4" s="1"/>
  <c r="B20" i="55" s="1"/>
  <c r="B70" i="63" s="1"/>
  <c r="B10" i="52"/>
  <c r="B6" i="52"/>
  <c r="B5" i="52"/>
  <c r="B11" i="52"/>
  <c r="B12" i="52"/>
  <c r="E8" i="52"/>
  <c r="B14" i="52"/>
  <c r="E5" i="52"/>
  <c r="Y3" i="59"/>
  <c r="Z3" i="59" s="1"/>
  <c r="AB17" i="59"/>
  <c r="AA17" i="59"/>
  <c r="Y17" i="59"/>
  <c r="Z17" i="59" s="1"/>
  <c r="P26" i="46"/>
  <c r="P28" i="46"/>
  <c r="B67" i="40" s="1"/>
  <c r="P27" i="46"/>
  <c r="P29" i="46"/>
  <c r="B72" i="39" s="1"/>
  <c r="P25" i="46"/>
  <c r="C29" i="44"/>
  <c r="J1" i="65"/>
  <c r="F67" i="15"/>
  <c r="F50" i="15"/>
  <c r="C27" i="15"/>
  <c r="F64" i="15"/>
  <c r="F70" i="15"/>
  <c r="L60" i="44"/>
  <c r="J53" i="15"/>
  <c r="J57" i="15"/>
  <c r="J55" i="15" s="1"/>
  <c r="J58" i="15" s="1"/>
  <c r="Q51" i="15" s="1"/>
  <c r="I54" i="15"/>
  <c r="L56" i="15"/>
  <c r="F49" i="15"/>
  <c r="M7" i="15"/>
  <c r="Q72" i="15"/>
  <c r="F63" i="15"/>
  <c r="C4" i="65"/>
  <c r="B39" i="1" s="1"/>
  <c r="L49" i="44"/>
  <c r="F38" i="44"/>
  <c r="M23" i="15"/>
  <c r="M30" i="44"/>
  <c r="M26" i="44"/>
  <c r="L47" i="15"/>
  <c r="F38" i="15"/>
  <c r="F43" i="44"/>
  <c r="F9" i="15"/>
  <c r="M8" i="44"/>
  <c r="E2" i="65"/>
  <c r="C16" i="15"/>
  <c r="F15" i="44"/>
  <c r="M22" i="15"/>
  <c r="F9" i="44"/>
  <c r="M9" i="15"/>
  <c r="F40" i="44"/>
  <c r="F10" i="44"/>
  <c r="M28" i="44"/>
  <c r="F11" i="44"/>
  <c r="F13" i="15"/>
  <c r="M6" i="15"/>
  <c r="J17" i="44"/>
  <c r="C18" i="44"/>
  <c r="E3" i="65"/>
  <c r="M18" i="74" l="1"/>
  <c r="J18" i="74" s="1"/>
  <c r="F32" i="74"/>
  <c r="W16" i="40"/>
  <c r="AC16" i="40"/>
  <c r="U14" i="40"/>
  <c r="AB14" i="40"/>
  <c r="AB16" i="40"/>
  <c r="U16" i="40"/>
  <c r="F61" i="74"/>
  <c r="C61" i="74" s="1"/>
  <c r="C34" i="74"/>
  <c r="J17" i="74"/>
  <c r="F59" i="74"/>
  <c r="C32" i="74"/>
  <c r="M11" i="74"/>
  <c r="J10" i="74" s="1"/>
  <c r="J5" i="74" s="1"/>
  <c r="F11" i="74"/>
  <c r="AP16" i="1"/>
  <c r="F22" i="11" s="1"/>
  <c r="F48" i="15"/>
  <c r="C48" i="15" s="1"/>
  <c r="C6" i="15"/>
  <c r="C32" i="15" s="1"/>
  <c r="Q73" i="44"/>
  <c r="F65" i="15"/>
  <c r="L59" i="15"/>
  <c r="Q75" i="15" s="1"/>
  <c r="L58" i="15"/>
  <c r="Q61" i="15" s="1"/>
  <c r="C8" i="44"/>
  <c r="C34" i="44" s="1"/>
  <c r="F33" i="44"/>
  <c r="M9" i="44"/>
  <c r="J8" i="44" s="1"/>
  <c r="J20" i="44" s="1"/>
  <c r="I55" i="44"/>
  <c r="L57" i="44"/>
  <c r="L59" i="44"/>
  <c r="Q75" i="44" s="1"/>
  <c r="J54" i="44"/>
  <c r="Q54" i="44" s="1"/>
  <c r="J58" i="44"/>
  <c r="J56" i="44" s="1"/>
  <c r="J59" i="44" s="1"/>
  <c r="Q52" i="44" s="1"/>
  <c r="M17" i="15"/>
  <c r="J7" i="33"/>
  <c r="V25" i="59"/>
  <c r="F24" i="59"/>
  <c r="F23" i="59" s="1"/>
  <c r="F22" i="59" s="1"/>
  <c r="F21" i="59" s="1"/>
  <c r="D28" i="59"/>
  <c r="C27" i="59"/>
  <c r="D27" i="59" s="1"/>
  <c r="C40" i="59"/>
  <c r="D39" i="59"/>
  <c r="C32" i="59"/>
  <c r="D31" i="59"/>
  <c r="AA26" i="37"/>
  <c r="S26" i="37"/>
  <c r="AA34" i="35"/>
  <c r="S34" i="35"/>
  <c r="AA12" i="33"/>
  <c r="S12" i="33"/>
  <c r="U9" i="33"/>
  <c r="AB9" i="33"/>
  <c r="B16" i="59"/>
  <c r="B15" i="59" s="1"/>
  <c r="B14" i="59" s="1"/>
  <c r="B13" i="59" s="1"/>
  <c r="S17" i="59"/>
  <c r="U25" i="59"/>
  <c r="E24" i="59"/>
  <c r="E23" i="59" s="1"/>
  <c r="E22" i="59" s="1"/>
  <c r="E21" i="59" s="1"/>
  <c r="S29" i="59"/>
  <c r="B28" i="59"/>
  <c r="B27" i="59" s="1"/>
  <c r="N68" i="59"/>
  <c r="B67" i="59"/>
  <c r="AB34" i="35"/>
  <c r="U34" i="35"/>
  <c r="U12" i="33"/>
  <c r="AB12" i="33"/>
  <c r="AA9" i="33"/>
  <c r="S9" i="33"/>
  <c r="AC9" i="33"/>
  <c r="W9" i="33"/>
  <c r="C19" i="59"/>
  <c r="D20" i="59"/>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M13" i="44"/>
  <c r="J12" i="44" s="1"/>
  <c r="F11" i="15"/>
  <c r="M11" i="15"/>
  <c r="F13" i="44"/>
  <c r="C12" i="44" s="1"/>
  <c r="M32" i="46"/>
  <c r="P32" i="46"/>
  <c r="O32" i="46"/>
  <c r="N32" i="46"/>
  <c r="Q63" i="44"/>
  <c r="Q76" i="44"/>
  <c r="F1" i="15"/>
  <c r="Q53" i="15"/>
  <c r="J6" i="15"/>
  <c r="J18" i="15" s="1"/>
  <c r="AE12" i="1"/>
  <c r="AE8" i="1"/>
  <c r="AE9" i="1"/>
  <c r="AE10" i="1"/>
  <c r="AE11" i="1"/>
  <c r="AE6" i="1"/>
  <c r="F46" i="44"/>
  <c r="AE7" i="1"/>
  <c r="F41" i="15"/>
  <c r="C31" i="74" l="1"/>
  <c r="C52" i="74"/>
  <c r="C47" i="74" s="1"/>
  <c r="C10" i="74"/>
  <c r="C5" i="74" s="1"/>
  <c r="L36" i="46"/>
  <c r="O36" i="46" s="1"/>
  <c r="F24" i="74"/>
  <c r="J24" i="74"/>
  <c r="J26" i="74"/>
  <c r="C7" i="44"/>
  <c r="C40" i="44" s="1"/>
  <c r="Q62" i="44"/>
  <c r="Q62" i="15"/>
  <c r="Q74" i="15"/>
  <c r="F1" i="44"/>
  <c r="J7" i="44"/>
  <c r="J26" i="44" s="1"/>
  <c r="J60" i="44"/>
  <c r="J61" i="44" s="1"/>
  <c r="Q50" i="44" s="1"/>
  <c r="N66" i="59"/>
  <c r="N67" i="59"/>
  <c r="E20" i="59"/>
  <c r="E19" i="59" s="1"/>
  <c r="E18" i="59" s="1"/>
  <c r="E17" i="59" s="1"/>
  <c r="U21" i="59"/>
  <c r="F20" i="59"/>
  <c r="F19" i="59" s="1"/>
  <c r="F18" i="59" s="1"/>
  <c r="F17" i="59" s="1"/>
  <c r="V21" i="59"/>
  <c r="C18" i="59"/>
  <c r="D19" i="59"/>
  <c r="C33" i="59"/>
  <c r="D32" i="59"/>
  <c r="C41" i="59"/>
  <c r="D40" i="59"/>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22" i="11" s="1"/>
  <c r="C23" i="11" s="1"/>
  <c r="B2" i="11" s="1"/>
  <c r="F41" i="74"/>
  <c r="M27" i="15"/>
  <c r="M29" i="44"/>
  <c r="F68" i="74" l="1"/>
  <c r="J29" i="74"/>
  <c r="M36" i="46"/>
  <c r="P36" i="46"/>
  <c r="Q36" i="46"/>
  <c r="N36" i="46"/>
  <c r="L37" i="46"/>
  <c r="Q37" i="46" s="1"/>
  <c r="C24" i="74"/>
  <c r="C38" i="74"/>
  <c r="C59" i="74"/>
  <c r="C58" i="74" s="1"/>
  <c r="C65" i="74"/>
  <c r="B6" i="66"/>
  <c r="T41" i="59"/>
  <c r="D41" i="59"/>
  <c r="T33" i="59"/>
  <c r="D33" i="59"/>
  <c r="D18" i="59"/>
  <c r="C17" i="59"/>
  <c r="F16" i="59"/>
  <c r="F15" i="59" s="1"/>
  <c r="F14" i="59" s="1"/>
  <c r="F13" i="59" s="1"/>
  <c r="V17" i="59"/>
  <c r="E16" i="59"/>
  <c r="E15" i="59" s="1"/>
  <c r="E14" i="59" s="1"/>
  <c r="E13" i="59" s="1"/>
  <c r="U1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P37" i="46" l="1"/>
  <c r="N37" i="46"/>
  <c r="M37" i="46"/>
  <c r="O37" i="46"/>
  <c r="C16" i="59"/>
  <c r="T17" i="59"/>
  <c r="D17" i="59"/>
  <c r="E12" i="59"/>
  <c r="E11" i="59" s="1"/>
  <c r="E10" i="59" s="1"/>
  <c r="U13" i="59"/>
  <c r="F12" i="59"/>
  <c r="F11" i="59" s="1"/>
  <c r="F10" i="59" s="1"/>
  <c r="F9" i="59" s="1"/>
  <c r="V9" i="59" s="1"/>
  <c r="V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C15" i="59" l="1"/>
  <c r="D16" i="59"/>
  <c r="C31" i="46"/>
  <c r="C30" i="46"/>
  <c r="B2"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C14" i="74"/>
  <c r="F35" i="15"/>
  <c r="F37" i="44"/>
  <c r="M21" i="15"/>
  <c r="M23" i="44"/>
  <c r="C16" i="44"/>
  <c r="C14" i="15"/>
  <c r="D4" i="46" l="1"/>
  <c r="C18" i="74"/>
  <c r="C15" i="74"/>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19" i="74" l="1"/>
  <c r="C20" i="74" s="1"/>
  <c r="C26" i="74" s="1"/>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4" l="1"/>
  <c r="C29" i="74" s="1"/>
  <c r="L57" i="74"/>
  <c r="L60" i="74" s="1"/>
  <c r="C12" i="59"/>
  <c r="D13" i="59"/>
  <c r="T13" i="59"/>
  <c r="E5" i="59"/>
  <c r="U5" i="59" s="1"/>
  <c r="B5" i="59"/>
  <c r="C21" i="43"/>
  <c r="R37" i="36"/>
  <c r="E36" i="36"/>
  <c r="I41" i="36" s="1"/>
  <c r="J41" i="36" s="1"/>
  <c r="K66" i="40"/>
  <c r="L64" i="40"/>
  <c r="G41" i="36"/>
  <c r="H41" i="36" s="1"/>
  <c r="G40" i="36"/>
  <c r="H40" i="36" s="1"/>
  <c r="I40" i="36"/>
  <c r="J40" i="36" s="1"/>
  <c r="L69" i="39"/>
  <c r="K71" i="39"/>
  <c r="J59" i="74" l="1"/>
  <c r="J60" i="74" s="1"/>
  <c r="Q49" i="74" s="1"/>
  <c r="C36" i="74"/>
  <c r="C56" i="74"/>
  <c r="C63" i="74" s="1"/>
  <c r="C13" i="74"/>
  <c r="Q50" i="74"/>
  <c r="J14" i="74"/>
  <c r="L46" i="74"/>
  <c r="Q67" i="74"/>
  <c r="Q58" i="74"/>
  <c r="C11" i="59"/>
  <c r="D12" i="59"/>
  <c r="S5" i="59"/>
  <c r="L71" i="39"/>
  <c r="M69" i="39"/>
  <c r="M64" i="40"/>
  <c r="L66" i="40"/>
  <c r="E40" i="36"/>
  <c r="F40" i="36" s="1"/>
  <c r="E41" i="36"/>
  <c r="F41" i="36" s="1"/>
  <c r="C37" i="36"/>
  <c r="B3" i="36" s="1"/>
  <c r="B2" i="36" s="1"/>
  <c r="C36" i="36"/>
  <c r="J22" i="74" l="1"/>
  <c r="J13" i="74"/>
  <c r="J23" i="74" s="1"/>
  <c r="C55" i="74"/>
  <c r="C64" i="74" s="1"/>
  <c r="C57" i="74" s="1"/>
  <c r="C66" i="74" s="1"/>
  <c r="C67" i="74" s="1"/>
  <c r="J35" i="74"/>
  <c r="Q71" i="74"/>
  <c r="C37" i="74"/>
  <c r="C30" i="74" s="1"/>
  <c r="C39" i="74" s="1"/>
  <c r="C10" i="59"/>
  <c r="D11" i="59"/>
  <c r="N64" i="40"/>
  <c r="N66" i="40" s="1"/>
  <c r="M66" i="40"/>
  <c r="N69" i="39"/>
  <c r="N71" i="39" s="1"/>
  <c r="M71" i="39"/>
  <c r="L51" i="74"/>
  <c r="Q68" i="74" l="1"/>
  <c r="Q70" i="74"/>
  <c r="Q69" i="74" s="1"/>
  <c r="C40" i="74"/>
  <c r="J39" i="74"/>
  <c r="J40" i="74" s="1"/>
  <c r="C70" i="74"/>
  <c r="J16" i="74"/>
  <c r="J25" i="74" s="1"/>
  <c r="C9" i="59"/>
  <c r="D10" i="59"/>
  <c r="J9" i="40"/>
  <c r="H9" i="40"/>
  <c r="F9" i="40"/>
  <c r="J9" i="39"/>
  <c r="H9" i="39"/>
  <c r="F9" i="39"/>
  <c r="Q66" i="74" l="1"/>
  <c r="Q76" i="74" s="1"/>
  <c r="Q48" i="74"/>
  <c r="Q54" i="74" s="1"/>
  <c r="Q57" i="74"/>
  <c r="Q63" i="74" s="1"/>
  <c r="C43" i="74"/>
  <c r="B2" i="74"/>
  <c r="J42" i="74"/>
  <c r="J43" i="74" s="1"/>
  <c r="C46" i="74"/>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4" l="1"/>
  <c r="D8" i="12" s="1"/>
  <c r="D10" i="12"/>
  <c r="D8" i="59"/>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D5" i="59"/>
  <c r="T5" i="59"/>
  <c r="M24" i="46"/>
  <c r="B5" i="39"/>
  <c r="B4" i="39"/>
  <c r="B3" i="39"/>
  <c r="C19" i="9"/>
  <c r="L43" i="9" l="1"/>
  <c r="B5" i="40"/>
  <c r="B4" i="40"/>
  <c r="B3" i="40"/>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D22" i="9"/>
  <c r="B3" i="12"/>
  <c r="B4" i="12"/>
  <c r="B5" i="12"/>
  <c r="D21" i="9"/>
  <c r="D20" i="9"/>
  <c r="G20" i="9" l="1"/>
  <c r="G21" i="9"/>
  <c r="N43" i="9"/>
  <c r="C32" i="9"/>
  <c r="G22" i="9"/>
  <c r="C42" i="9" l="1"/>
  <c r="C33" i="9"/>
  <c r="O43" i="9"/>
  <c r="O38" i="9"/>
  <c r="C35" i="9"/>
  <c r="F42" i="9" s="1"/>
  <c r="C34" i="9"/>
  <c r="M38" i="9" l="1"/>
  <c r="K27" i="9" s="1"/>
  <c r="E42" i="9"/>
  <c r="P5" i="54" s="1"/>
  <c r="B46" i="63" s="1"/>
  <c r="K26" i="9"/>
  <c r="K25" i="9"/>
  <c r="N38" i="9"/>
  <c r="K28" i="9" s="1"/>
  <c r="D42" i="9"/>
  <c r="Q5" i="54" s="1"/>
  <c r="B47" i="63" s="1"/>
  <c r="C44" i="9"/>
  <c r="R5" i="54"/>
  <c r="B48" i="63" s="1"/>
  <c r="D63" i="9"/>
  <c r="N68" i="9"/>
  <c r="C82" i="9" l="1"/>
  <c r="C81" i="9" s="1"/>
  <c r="C85" i="9" s="1"/>
  <c r="C86" i="9" s="1"/>
  <c r="D72" i="9" s="1"/>
  <c r="D73" i="9"/>
  <c r="N73" i="9" s="1"/>
  <c r="C96" i="9"/>
  <c r="C91" i="9" s="1"/>
  <c r="C103" i="9"/>
  <c r="C90" i="9"/>
  <c r="C111" i="9"/>
  <c r="C104" i="9" s="1"/>
  <c r="D70" i="9"/>
  <c r="D71" i="9"/>
  <c r="D66" i="9" s="1"/>
  <c r="N72" i="9" s="1"/>
  <c r="N69" i="9"/>
  <c r="D44" i="9"/>
  <c r="O39" i="9"/>
  <c r="E44" i="9"/>
  <c r="F44" i="9"/>
  <c r="C97" i="9" l="1"/>
  <c r="C113" i="9"/>
  <c r="R6" i="54"/>
  <c r="B50" i="63" s="1"/>
  <c r="K29" i="9"/>
  <c r="K30" i="9" s="1"/>
  <c r="M87" i="9"/>
  <c r="N87" i="9" s="1"/>
  <c r="M88" i="9"/>
  <c r="N88" i="9" s="1"/>
  <c r="M84" i="9"/>
  <c r="N84" i="9" s="1"/>
  <c r="M86" i="9"/>
  <c r="N86" i="9" s="1"/>
  <c r="M85" i="9"/>
  <c r="N85" i="9" s="1"/>
  <c r="M83" i="9"/>
  <c r="N83" i="9" s="1"/>
  <c r="C98" i="9"/>
  <c r="E98" i="9" s="1"/>
  <c r="E99" i="9" s="1"/>
  <c r="C99" i="9" l="1"/>
  <c r="N89" i="9"/>
  <c r="O89" i="9" s="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<sst xmlns="http://schemas.openxmlformats.org/spreadsheetml/2006/main" count="7983" uniqueCount="3425">
  <si>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</si>
  <si>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</si>
  <si>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</si>
  <si>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</si>
  <si>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</si>
  <si>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</si>
  <si>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</si>
  <si>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</si>
  <si>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</si>
  <si>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</si>
  <si>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</si>
  <si>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</si>
  <si>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</si>
  <si>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</si>
  <si>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</si>
  <si>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</si>
  <si>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</si>
  <si>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</si>
  <si>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</si>
  <si>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</si>
  <si>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</si>
  <si>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</si>
  <si>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</si>
  <si>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</si>
  <si>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</si>
  <si>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</si>
  <si>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</si>
  <si>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</si>
  <si>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</si>
  <si>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</si>
  <si>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</si>
  <si>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</si>
  <si>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</si>
  <si>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</si>
  <si>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</si>
  <si>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</si>
  <si>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</si>
  <si>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</si>
  <si>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</si>
  <si>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</si>
  <si>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</si>
  <si>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</si>
  <si>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</si>
  <si>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</si>
  <si>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</si>
  <si>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</si>
  <si>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</si>
  <si>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</si>
  <si>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</si>
  <si>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</si>
  <si>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</si>
  <si>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</si>
  <si>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</si>
  <si>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</si>
  <si>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</si>
  <si>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</si>
  <si>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</si>
  <si>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</si>
  <si>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</si>
  <si>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</si>
  <si>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</si>
  <si>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</si>
  <si>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</si>
  <si>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</si>
  <si>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</si>
  <si>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</si>
  <si>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</si>
  <si>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</si>
  <si>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</si>
  <si>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</si>
  <si>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</si>
  <si>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</si>
  <si>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</si>
  <si>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</si>
  <si>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</si>
  <si>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</si>
  <si>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</si>
  <si>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</si>
  <si>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</si>
  <si>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</si>
  <si>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</si>
  <si>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</si>
  <si>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</si>
  <si>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</si>
  <si>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</si>
  <si>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</si>
  <si>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</si>
  <si>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</si>
  <si>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</si>
  <si>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</si>
  <si>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</si>
  <si>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</si>
  <si>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</si>
  <si>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</si>
  <si>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</si>
  <si>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</si>
  <si>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</si>
  <si>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</si>
  <si>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</si>
  <si>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</si>
  <si>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</si>
  <si>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</si>
  <si>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</si>
  <si>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</si>
  <si>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</si>
  <si>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</si>
  <si>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</si>
  <si>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</si>
  <si>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</si>
  <si>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</si>
  <si>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</si>
  <si>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</si>
  <si>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</si>
  <si>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</si>
  <si>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</si>
  <si>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</si>
  <si>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</si>
  <si>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</si>
  <si>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</si>
  <si>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</si>
  <si>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</si>
  <si>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</si>
  <si>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</si>
  <si>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</si>
  <si>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</si>
  <si>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</si>
  <si>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</si>
  <si>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</si>
  <si>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</si>
  <si>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</si>
  <si>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</si>
  <si>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</si>
  <si>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</si>
  <si>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</si>
  <si>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</si>
  <si>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</si>
  <si>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</si>
  <si>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</si>
  <si>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</si>
  <si>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</si>
  <si>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</si>
  <si>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</si>
  <si>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</si>
  <si>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</si>
  <si>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</si>
  <si>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</si>
  <si>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</si>
  <si>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</si>
  <si>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</si>
  <si>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</si>
  <si>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</si>
  <si>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</si>
  <si>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</si>
  <si>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</si>
  <si>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</si>
  <si>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</si>
  <si>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</si>
  <si>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</si>
  <si>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</si>
  <si>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</si>
  <si>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</si>
  <si>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</si>
  <si>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</si>
  <si>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</si>
  <si>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</si>
  <si>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</si>
  <si>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</si>
  <si>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</si>
  <si>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</si>
  <si>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</si>
  <si>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</si>
  <si>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</si>
  <si>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</si>
  <si>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</si>
  <si>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</si>
  <si>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</si>
  <si>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</si>
  <si>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</si>
  <si>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</si>
  <si>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</si>
  <si>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</si>
  <si>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</si>
  <si>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</si>
  <si>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</si>
  <si>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</si>
  <si>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</si>
  <si>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</si>
  <si>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</si>
  <si>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</si>
  <si>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</si>
  <si>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</si>
  <si>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</si>
  <si>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</si>
  <si>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</si>
  <si>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</si>
  <si>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</si>
  <si>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</si>
  <si>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</si>
  <si>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</si>
  <si>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</si>
  <si>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</si>
  <si>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</si>
  <si>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</si>
  <si>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</si>
  <si>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</si>
  <si>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</si>
  <si>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</si>
  <si>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</si>
  <si>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</si>
  <si>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</si>
  <si>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</si>
  <si>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</si>
  <si>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</si>
  <si>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</si>
  <si>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</si>
  <si>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</si>
  <si>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</si>
  <si>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</si>
  <si>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</si>
  <si>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</si>
  <si>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</si>
  <si>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</si>
  <si>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</si>
  <si>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</si>
  <si>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</si>
  <si>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</si>
  <si>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</si>
  <si>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</si>
  <si>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</si>
  <si>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</si>
  <si>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</si>
  <si>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</si>
  <si>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</si>
  <si>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</si>
  <si>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</si>
  <si>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</si>
  <si>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</si>
  <si>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</si>
  <si>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</si>
  <si>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</si>
  <si>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</si>
  <si>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</si>
  <si>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</si>
  <si>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</si>
  <si>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</si>
  <si>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</si>
  <si>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</si>
  <si>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</si>
  <si>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</si>
  <si>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</si>
  <si>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</si>
  <si>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</si>
  <si>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</si>
  <si>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</si>
  <si>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</si>
  <si>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</si>
  <si>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</si>
  <si>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</si>
  <si>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</si>
  <si>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</si>
  <si>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</si>
  <si>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</si>
  <si>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</si>
  <si>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</si>
  <si>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</si>
  <si>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</si>
  <si>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</si>
  <si>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</si>
  <si>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</si>
  <si>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</si>
  <si>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</si>
  <si>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</si>
  <si>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</si>
  <si>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</si>
  <si>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</si>
  <si>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</si>
  <si>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</si>
  <si>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</si>
  <si>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</si>
  <si>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</si>
  <si>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</si>
  <si>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</si>
  <si>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</si>
  <si>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</si>
  <si>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</si>
  <si>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</si>
  <si>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</si>
  <si>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</si>
  <si>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</si>
  <si>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</si>
  <si>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</si>
  <si>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</si>
  <si>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</si>
  <si>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</si>
  <si>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</si>
  <si>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</si>
  <si>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</si>
  <si>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</si>
  <si>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</si>
  <si>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</si>
  <si>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</si>
  <si>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</si>
  <si>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</si>
  <si>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</si>
  <si>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</si>
  <si>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</si>
  <si>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</si>
  <si>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</si>
  <si>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</si>
  <si>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</si>
  <si>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</si>
  <si>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</si>
  <si>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</si>
  <si>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</si>
  <si>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</si>
  <si>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</si>
  <si>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</si>
  <si>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</si>
  <si>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</si>
  <si>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</si>
  <si>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</si>
  <si>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</si>
  <si>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</si>
  <si>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</si>
  <si>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</si>
  <si>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</si>
  <si>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</si>
  <si>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</si>
  <si>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</si>
  <si>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</si>
  <si>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</si>
  <si>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</si>
  <si>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</si>
  <si>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</si>
  <si>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</si>
  <si>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</si>
  <si>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</si>
  <si>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</si>
  <si>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</si>
  <si>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</si>
  <si>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</si>
  <si>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</si>
  <si>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</si>
  <si>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</si>
  <si>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</si>
  <si>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</si>
  <si>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</si>
  <si>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</si>
  <si>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</si>
  <si>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</si>
  <si>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</si>
  <si>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</si>
  <si>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</si>
  <si>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</si>
  <si>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</si>
  <si>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</si>
  <si>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</si>
  <si>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</si>
  <si>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</si>
  <si>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</si>
  <si>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</si>
  <si>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</si>
  <si>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</si>
  <si>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</si>
  <si>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</si>
  <si>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</si>
  <si>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</si>
  <si>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</si>
  <si>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</si>
  <si>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</si>
  <si>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</si>
  <si>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</si>
  <si>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</si>
  <si>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</si>
  <si>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</si>
  <si>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</si>
  <si>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</si>
  <si>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</si>
  <si>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</si>
  <si>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</si>
  <si>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</si>
  <si>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</si>
  <si>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</si>
  <si>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</si>
  <si>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</si>
  <si>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</si>
  <si>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</si>
  <si>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</si>
  <si>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</si>
  <si>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</si>
  <si>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</si>
  <si>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</si>
  <si>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</si>
  <si>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</si>
  <si>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</si>
  <si>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</si>
  <si>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</si>
  <si>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</si>
  <si>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</si>
  <si>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</si>
  <si>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</si>
  <si>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</si>
  <si>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</si>
  <si>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</si>
  <si>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</si>
  <si>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</si>
  <si>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</si>
  <si>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</si>
  <si>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</si>
  <si>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</si>
  <si>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</si>
  <si>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</si>
  <si>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</si>
  <si>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</si>
  <si>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</si>
  <si>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</si>
  <si>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</si>
  <si>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</si>
  <si>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</si>
  <si>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</si>
  <si>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</si>
  <si>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</si>
  <si>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</si>
  <si>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</si>
  <si>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</si>
  <si>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</si>
  <si>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</si>
  <si>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</si>
  <si>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</si>
  <si>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</si>
  <si>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</si>
  <si>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</si>
  <si>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</si>
  <si>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</si>
  <si>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</si>
  <si>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</si>
  <si>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</si>
  <si>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</si>
  <si>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</si>
  <si>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</si>
  <si>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</si>
  <si>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</si>
  <si>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</si>
  <si>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</si>
  <si>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</si>
  <si>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</si>
  <si>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</si>
  <si>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</si>
  <si>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</si>
  <si>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</si>
  <si>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</si>
  <si>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</si>
  <si>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</si>
  <si>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</si>
  <si>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</si>
  <si>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</si>
  <si>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</si>
  <si>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</si>
  <si>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</si>
  <si>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</si>
  <si>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</si>
  <si>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</si>
  <si>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</si>
  <si>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</si>
  <si>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</si>
  <si>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</si>
  <si>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</si>
  <si>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</si>
  <si>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</si>
  <si>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</si>
  <si>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</si>
  <si>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</si>
  <si>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</si>
  <si>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</si>
  <si>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</si>
  <si>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</si>
  <si>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</si>
  <si>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</si>
  <si>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</si>
  <si>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</si>
  <si>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</si>
  <si>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</si>
  <si>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</si>
  <si>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</si>
  <si>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</si>
  <si>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</si>
  <si>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</si>
  <si>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</si>
  <si>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</si>
  <si>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</si>
  <si>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</si>
  <si>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</si>
  <si>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</si>
  <si>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</si>
  <si>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</si>
  <si>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</si>
  <si>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</si>
  <si>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</si>
  <si>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</si>
  <si>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</si>
  <si>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</si>
  <si>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</si>
  <si>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</si>
  <si>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</si>
  <si>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</si>
  <si>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</si>
  <si>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</si>
  <si>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</si>
  <si>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</si>
  <si>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</si>
  <si>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</si>
  <si>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</si>
  <si>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</si>
  <si>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</si>
  <si>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</si>
  <si>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</si>
  <si>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</si>
  <si>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</si>
  <si>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</si>
  <si>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</si>
  <si>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</si>
  <si>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</si>
  <si>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</si>
  <si>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</si>
  <si>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</si>
  <si>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</si>
  <si>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</si>
  <si>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</si>
  <si>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</si>
  <si>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</si>
  <si>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</si>
  <si>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</si>
  <si>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</si>
  <si>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</si>
  <si>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</si>
  <si>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</si>
  <si>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</si>
  <si>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</si>
  <si>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</si>
  <si>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</si>
  <si>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</si>
  <si>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</si>
  <si>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</si>
  <si>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</si>
  <si>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</si>
  <si>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</si>
  <si>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</si>
  <si>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</si>
  <si>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</si>
  <si>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</si>
  <si>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</si>
  <si>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</si>
  <si>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</si>
  <si>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</si>
  <si>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</si>
  <si>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</si>
  <si>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</si>
  <si>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</si>
  <si>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</si>
  <si>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</si>
  <si>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</si>
  <si>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</si>
  <si>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</si>
  <si>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</si>
  <si>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</si>
  <si>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</si>
  <si>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</si>
  <si>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</si>
  <si>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</si>
  <si>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</si>
  <si>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</si>
  <si>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</si>
  <si>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</si>
  <si>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</si>
  <si>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</si>
  <si>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</si>
  <si>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</si>
  <si>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</si>
  <si>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</si>
  <si>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</si>
  <si>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</si>
  <si>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</si>
  <si>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</si>
  <si>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</si>
  <si>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</si>
  <si>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</si>
  <si>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</si>
  <si>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</si>
  <si>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</si>
  <si>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</si>
  <si>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</si>
  <si>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</si>
  <si>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</si>
  <si>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</si>
  <si>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</si>
  <si>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</si>
  <si>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</si>
  <si>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</si>
  <si>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</si>
  <si>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</si>
  <si>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</si>
  <si>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</si>
  <si>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</si>
  <si>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</si>
  <si>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</si>
  <si>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</si>
  <si>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</si>
  <si>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</si>
  <si>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</si>
  <si>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</si>
  <si>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</si>
  <si>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</si>
  <si>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</si>
  <si>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</si>
  <si>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</si>
  <si>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</si>
  <si>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</si>
  <si>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</si>
  <si>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</si>
  <si>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</si>
  <si>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</si>
  <si>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</si>
  <si>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</si>
  <si>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</si>
  <si>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</si>
  <si>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</si>
  <si>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</si>
  <si>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</si>
  <si>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</si>
  <si>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</si>
  <si>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</si>
  <si>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</si>
  <si>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</si>
  <si>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</si>
  <si>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</si>
  <si>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</si>
  <si>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</si>
  <si>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</si>
  <si>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</si>
  <si>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</si>
  <si>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</si>
  <si>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</si>
  <si>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</si>
  <si>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</si>
  <si>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</si>
  <si>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</si>
  <si>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</si>
  <si>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</si>
  <si>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</si>
  <si>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</si>
  <si>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</si>
  <si>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</si>
  <si>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</si>
  <si>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</si>
  <si>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</si>
  <si>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</si>
  <si>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</si>
  <si>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</si>
  <si>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</si>
  <si>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</si>
  <si>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</si>
  <si>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</si>
  <si>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</si>
  <si>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</si>
  <si>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</si>
  <si>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</si>
  <si>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</si>
  <si>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</si>
  <si>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</si>
  <si>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</si>
  <si>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</si>
  <si>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</si>
  <si>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</si>
  <si>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</si>
  <si>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</si>
  <si>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</si>
  <si>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</si>
  <si>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</si>
  <si>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</si>
  <si>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</si>
  <si>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</si>
  <si>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</si>
  <si>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</si>
  <si>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</si>
  <si>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</si>
  <si>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</si>
  <si>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</si>
  <si>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</si>
  <si>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</si>
  <si>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</si>
  <si>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</si>
  <si>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</si>
  <si>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</si>
  <si>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</si>
  <si>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</si>
  <si>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</si>
  <si>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</si>
  <si>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</si>
  <si>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</si>
  <si>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</si>
  <si>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</si>
  <si>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</si>
  <si>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</si>
  <si>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</si>
  <si>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</si>
  <si>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</si>
  <si>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</si>
  <si>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</si>
  <si>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</si>
  <si>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</si>
  <si>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</si>
  <si>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</si>
  <si>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</si>
  <si>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</si>
  <si>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</si>
  <si>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</si>
  <si>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</si>
  <si>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</si>
  <si>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</si>
  <si>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</si>
  <si>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</si>
  <si>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</si>
  <si>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</si>
  <si>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</si>
  <si>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</si>
  <si>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</si>
  <si>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</si>
  <si>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</si>
  <si>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</si>
  <si>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</si>
  <si>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</si>
  <si>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</si>
  <si>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</si>
  <si>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</si>
  <si>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</si>
  <si>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</si>
  <si>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</si>
  <si>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</si>
  <si>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</si>
  <si>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</si>
  <si>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</si>
  <si>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</si>
  <si>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</si>
  <si>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</si>
  <si>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</si>
  <si>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</si>
  <si>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</si>
  <si>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</si>
  <si>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</si>
  <si>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</si>
  <si>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</si>
  <si>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</si>
  <si>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</si>
  <si>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</si>
  <si>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</si>
  <si>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</si>
  <si>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</si>
  <si>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</si>
  <si>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</si>
  <si>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</si>
  <si>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</si>
  <si>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</si>
  <si>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</si>
  <si>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</si>
  <si>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</si>
  <si>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</si>
  <si>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</si>
  <si>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</si>
  <si>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</si>
  <si>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</si>
  <si>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</si>
  <si>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</si>
  <si>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</si>
  <si>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</si>
  <si>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</si>
  <si>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</si>
  <si>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</si>
  <si>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</si>
  <si>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</si>
  <si>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</si>
  <si>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</si>
  <si>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</si>
  <si>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</si>
  <si>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</si>
  <si>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</si>
  <si>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</si>
  <si>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</si>
  <si>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</si>
  <si>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</si>
  <si>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</si>
  <si>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</si>
  <si>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</si>
  <si>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</si>
  <si>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</si>
  <si>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</si>
  <si>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</si>
  <si>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</si>
  <si>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</si>
  <si>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</si>
  <si>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</si>
  <si>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</si>
  <si>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</si>
  <si>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</si>
  <si>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</si>
  <si>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</si>
  <si>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</si>
  <si>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</si>
  <si>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</si>
  <si>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</si>
  <si>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</si>
  <si>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</si>
  <si>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</si>
  <si>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</si>
  <si>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</si>
  <si>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</si>
  <si>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</si>
  <si>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</si>
  <si>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</si>
  <si>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</si>
  <si>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</si>
  <si>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</si>
  <si>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</si>
  <si>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</si>
  <si>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</si>
  <si>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</si>
  <si>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</si>
  <si>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</si>
  <si>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</si>
  <si>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</si>
  <si>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</si>
  <si>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</si>
  <si>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</si>
  <si>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</si>
  <si>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</si>
  <si>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</si>
  <si>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</si>
  <si>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</si>
  <si>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</si>
  <si>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</si>
  <si>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</si>
  <si>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</si>
  <si>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</si>
  <si>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</si>
  <si>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</si>
  <si>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</si>
  <si>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</si>
  <si>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</si>
  <si>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</si>
  <si>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</si>
  <si>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</si>
  <si>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</si>
  <si>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</si>
  <si>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</si>
  <si>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</si>
  <si>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</si>
  <si>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</si>
  <si>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</si>
  <si>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</si>
  <si>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</si>
  <si>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</si>
  <si>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</si>
  <si>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</si>
  <si>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</si>
  <si>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</si>
  <si>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</si>
  <si>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</si>
  <si>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</si>
  <si>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</si>
  <si>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</si>
  <si>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</si>
  <si>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</si>
  <si>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</si>
  <si>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</si>
  <si>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</si>
  <si>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</si>
  <si>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</si>
  <si>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</si>
  <si>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</si>
  <si>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</si>
  <si>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</si>
  <si>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</si>
  <si>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</si>
  <si>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</si>
  <si>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</si>
  <si>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</si>
  <si>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</si>
  <si>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</si>
  <si>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</si>
  <si>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</si>
  <si>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</si>
  <si>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</si>
  <si>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</si>
  <si>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</si>
  <si>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</si>
  <si>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</si>
  <si>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</si>
  <si>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</si>
  <si>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</si>
  <si>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</si>
  <si>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</si>
  <si>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</si>
  <si>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</si>
  <si>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</si>
  <si>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</si>
  <si>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</si>
  <si>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</si>
  <si>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</si>
  <si>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</si>
  <si>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</si>
  <si>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</si>
  <si>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</si>
  <si>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</si>
  <si>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</si>
  <si>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</si>
  <si>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</si>
  <si>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</si>
  <si>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</si>
  <si>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</si>
  <si>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</si>
  <si>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</si>
  <si>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</si>
  <si>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</si>
  <si>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</si>
  <si>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</si>
  <si>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</si>
  <si>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</si>
  <si>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</si>
  <si>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</si>
  <si>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</si>
  <si>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</si>
  <si>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</si>
  <si>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</si>
  <si>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</si>
  <si>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</si>
  <si>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</si>
  <si>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</si>
  <si>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</si>
  <si>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</si>
  <si>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</si>
  <si>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</si>
  <si>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</si>
  <si>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</si>
  <si>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</si>
  <si>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</si>
  <si>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</si>
  <si>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</si>
  <si>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</si>
  <si>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</si>
  <si>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</si>
  <si>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</si>
  <si>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</si>
  <si>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</si>
  <si>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</si>
  <si>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</si>
  <si>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</si>
  <si>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</si>
  <si>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</si>
  <si>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</si>
  <si>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</si>
  <si>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</si>
  <si>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</si>
  <si>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</si>
  <si>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</si>
  <si>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</si>
  <si>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</si>
  <si>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</si>
  <si>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</si>
  <si>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</si>
  <si>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</si>
  <si>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</si>
  <si>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</si>
  <si>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</si>
  <si>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</si>
  <si>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</si>
  <si>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</si>
  <si>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</si>
  <si>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</si>
  <si>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</si>
  <si>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</si>
  <si>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</si>
  <si>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</si>
  <si>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</si>
  <si>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</si>
  <si>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</si>
  <si>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</si>
  <si>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</si>
  <si>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</si>
  <si>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</si>
  <si>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</si>
  <si>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</si>
  <si>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</si>
  <si>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</si>
  <si>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</si>
  <si>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</si>
  <si>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</si>
  <si>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</si>
  <si>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</si>
  <si>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</si>
  <si>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</si>
  <si>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</si>
  <si>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</si>
  <si>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</si>
  <si>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</si>
  <si>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</si>
  <si>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</si>
  <si>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</si>
  <si>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</si>
  <si>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</si>
  <si>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</si>
  <si>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</si>
  <si>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</si>
  <si>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</si>
  <si>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</si>
  <si>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</si>
  <si>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</si>
  <si>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</si>
  <si>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</si>
  <si>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</si>
  <si>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</si>
  <si>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</si>
  <si>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</si>
  <si>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</si>
  <si>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</si>
  <si>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</si>
  <si>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</si>
  <si>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</si>
  <si>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</si>
  <si>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</si>
  <si>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</si>
  <si>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</si>
  <si>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</si>
  <si>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</si>
  <si>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</si>
  <si>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</si>
  <si>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</si>
  <si>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</si>
  <si>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</si>
  <si>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</si>
  <si>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</si>
  <si>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</si>
  <si>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</si>
  <si>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</si>
  <si>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</si>
  <si>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</si>
  <si>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</si>
  <si>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</si>
  <si>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</si>
  <si>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</si>
  <si>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</si>
  <si>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</si>
  <si>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</si>
  <si>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</si>
  <si>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</si>
  <si>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</si>
  <si>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</si>
  <si>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</si>
  <si>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</si>
  <si>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</si>
  <si>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</si>
  <si>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</si>
  <si>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</si>
  <si>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</si>
  <si>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</si>
  <si>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</si>
  <si>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</si>
  <si>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</si>
  <si>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</si>
  <si>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</si>
  <si>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</si>
  <si>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</si>
  <si>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</si>
  <si>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</si>
  <si>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</si>
  <si>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</si>
  <si>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</si>
  <si>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</si>
  <si>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</si>
  <si>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</si>
  <si>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</si>
  <si>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</si>
  <si>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</si>
  <si>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</si>
  <si>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</si>
  <si>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</si>
  <si>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</si>
  <si>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</si>
  <si>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</si>
  <si>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</si>
  <si>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</si>
  <si>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</si>
  <si>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</si>
  <si>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</si>
  <si>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</si>
  <si>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</si>
  <si>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</si>
  <si>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</si>
  <si>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</si>
  <si>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</si>
  <si>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</si>
  <si>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</si>
  <si>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</si>
  <si>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</si>
  <si>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</si>
  <si>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</si>
  <si>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</si>
  <si>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</si>
  <si>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</si>
  <si>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</si>
  <si>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</si>
  <si>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</si>
  <si>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</si>
  <si>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</si>
  <si>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</si>
  <si>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</si>
  <si>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</si>
  <si>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</si>
  <si>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</si>
  <si>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</si>
  <si>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</si>
  <si>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</si>
  <si>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</si>
  <si>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</si>
  <si>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</si>
  <si>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</si>
  <si>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</si>
  <si>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</si>
  <si>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</si>
  <si>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</si>
  <si>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</si>
  <si>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</si>
  <si>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</si>
  <si>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</si>
  <si>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</si>
  <si>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</si>
  <si>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</si>
  <si>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</si>
  <si>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</si>
  <si>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</si>
  <si>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</si>
  <si>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</si>
  <si>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</si>
  <si>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</si>
  <si>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</si>
  <si>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</si>
  <si>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</si>
  <si>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</si>
  <si>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</si>
  <si>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</si>
  <si>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</si>
  <si>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</si>
  <si>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</si>
  <si>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</si>
  <si>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</si>
  <si>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</si>
  <si>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</si>
  <si>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</si>
  <si>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</si>
  <si>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</si>
  <si>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</si>
  <si>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</si>
  <si>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</si>
  <si>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</si>
  <si>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</si>
  <si>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</si>
  <si>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</si>
  <si>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</si>
  <si>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</si>
  <si>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</si>
  <si>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</si>
  <si>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</si>
  <si>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</si>
  <si>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</si>
  <si>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</si>
  <si>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</si>
  <si>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</si>
  <si>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</si>
  <si>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</si>
  <si>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</si>
  <si>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</si>
  <si>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</si>
  <si>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</si>
  <si>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</si>
  <si>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</si>
  <si>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</si>
  <si>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</si>
  <si>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</si>
  <si>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</si>
  <si>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</si>
  <si>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</si>
  <si>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</si>
  <si>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</si>
  <si>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</si>
  <si>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</si>
  <si>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</si>
  <si>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</si>
  <si>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</si>
  <si>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</si>
  <si>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</si>
  <si>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</si>
  <si>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</si>
  <si>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</si>
  <si>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</si>
  <si>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</si>
  <si>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</si>
  <si>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</si>
  <si>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</si>
  <si>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</si>
  <si>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</si>
  <si>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</si>
  <si>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</si>
  <si>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</si>
  <si>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</si>
  <si>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</si>
  <si>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</si>
  <si>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</si>
  <si>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</si>
  <si>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</si>
  <si>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</si>
  <si>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</si>
  <si>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</si>
  <si>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</si>
  <si>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</si>
  <si>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</si>
  <si>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</si>
  <si>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</si>
  <si>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</si>
  <si>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</si>
  <si>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</si>
  <si>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</si>
  <si>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</si>
  <si>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</si>
  <si>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</si>
  <si>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</si>
  <si>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</si>
  <si>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</si>
  <si>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</si>
  <si>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</si>
  <si>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</si>
  <si>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</si>
  <si>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</si>
  <si>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</si>
  <si>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</si>
  <si>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</si>
  <si>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</si>
  <si>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</si>
  <si>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</si>
  <si>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</si>
  <si>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</si>
  <si>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</si>
  <si>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</si>
  <si>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</si>
  <si>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</si>
  <si>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</si>
  <si>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</si>
  <si>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</si>
  <si>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</si>
  <si>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</si>
  <si>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</si>
  <si>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</si>
  <si>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</si>
  <si>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</si>
  <si>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</si>
  <si>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</si>
  <si>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</si>
  <si>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</si>
  <si>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</si>
  <si>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</si>
  <si>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</si>
  <si>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</si>
  <si>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</si>
  <si>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</si>
  <si>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</si>
  <si>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</si>
  <si>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</si>
  <si>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</si>
  <si>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</si>
  <si>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</si>
  <si>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</si>
  <si>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</si>
  <si>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</si>
  <si>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</si>
  <si>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</si>
  <si>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</si>
  <si>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</si>
  <si>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</si>
  <si>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</si>
  <si>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</si>
  <si>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</si>
  <si>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</si>
  <si>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</si>
  <si>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</si>
  <si>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</si>
  <si>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</si>
  <si>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</si>
  <si>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</si>
  <si>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</si>
  <si>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</si>
  <si>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</si>
  <si>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</si>
  <si>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</si>
  <si>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</si>
  <si>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</si>
  <si>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</si>
  <si>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</si>
  <si>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</si>
  <si>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</si>
  <si>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</si>
  <si>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</si>
  <si>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</si>
  <si>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</si>
  <si>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</si>
  <si>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</si>
  <si>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</si>
  <si>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</si>
  <si>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</si>
  <si>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</si>
  <si>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</si>
  <si>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</si>
  <si>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</si>
  <si>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</si>
  <si>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</si>
  <si>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</si>
  <si>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</si>
  <si>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</si>
  <si>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</si>
  <si>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</si>
  <si>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</si>
  <si>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</si>
  <si>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</si>
  <si>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</si>
  <si>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</si>
  <si>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</si>
  <si>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</si>
  <si>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</si>
  <si>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</si>
  <si>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</si>
  <si>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</si>
  <si>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</si>
  <si>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</si>
  <si>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</si>
  <si>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</si>
  <si>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</si>
  <si>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</si>
  <si>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</si>
  <si>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</si>
  <si>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</si>
  <si>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</si>
  <si>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</si>
  <si>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</si>
  <si>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</si>
  <si>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</si>
  <si>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</si>
  <si>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</si>
  <si>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</si>
  <si>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</si>
  <si>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</si>
  <si>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</si>
  <si>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</si>
  <si>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</si>
  <si>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</si>
  <si>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</si>
  <si>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</si>
  <si>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</si>
  <si>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</si>
  <si>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</si>
  <si>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</si>
  <si>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</si>
  <si>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</si>
  <si>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</si>
  <si>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</si>
  <si>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</si>
  <si>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</si>
  <si>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</si>
  <si>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</si>
  <si>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</si>
  <si>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</si>
  <si>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</si>
  <si>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</si>
  <si>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</si>
  <si>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</si>
  <si>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</si>
  <si>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</si>
  <si>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</si>
  <si>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</si>
  <si>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</si>
  <si>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</si>
  <si>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</si>
  <si>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</si>
  <si>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</si>
  <si>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</si>
  <si>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</si>
  <si>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</si>
  <si>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</si>
  <si>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</si>
  <si>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</si>
  <si>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</si>
  <si>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</si>
  <si>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</si>
  <si>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</si>
  <si>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</si>
  <si>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</si>
  <si>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</si>
  <si>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</si>
  <si>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</si>
  <si>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</si>
  <si>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</si>
  <si>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</si>
  <si>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</si>
  <si>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</si>
  <si>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</si>
  <si>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</si>
  <si>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</si>
  <si>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</si>
  <si>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</si>
  <si>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</si>
  <si>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</si>
  <si>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</si>
  <si>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</si>
  <si>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</si>
  <si>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</si>
  <si>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</si>
  <si>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</si>
  <si>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</si>
  <si>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</si>
  <si>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</si>
  <si>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</si>
  <si>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</si>
  <si>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</si>
  <si>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</si>
  <si>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</si>
  <si>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</si>
  <si>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</si>
  <si>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</si>
  <si>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</si>
  <si>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</si>
  <si>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</si>
  <si>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</si>
  <si>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</si>
  <si>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</si>
  <si>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</si>
  <si>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</si>
  <si>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</si>
  <si>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</si>
  <si>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</si>
  <si>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</si>
  <si>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</si>
  <si>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</si>
  <si>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</si>
  <si>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</si>
  <si>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</si>
  <si>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</si>
  <si>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</si>
  <si>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</si>
  <si>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</si>
  <si>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</si>
  <si>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</si>
  <si>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</si>
  <si>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</si>
  <si>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</si>
  <si>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</si>
  <si>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</si>
  <si>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</si>
  <si>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</si>
  <si>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</si>
  <si>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</si>
  <si>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</si>
  <si>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</si>
  <si>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</si>
  <si>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</si>
  <si>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</si>
  <si>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</si>
  <si>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</si>
  <si>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</si>
  <si>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</si>
  <si>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</si>
  <si>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</si>
  <si>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</si>
  <si>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</si>
  <si>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</si>
  <si>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</si>
  <si>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</si>
  <si>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</si>
  <si>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</si>
  <si>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</si>
  <si>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</si>
  <si>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</si>
  <si>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</si>
  <si>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</si>
  <si>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</si>
  <si>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</si>
  <si>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</si>
  <si>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</si>
  <si>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</si>
  <si>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</si>
  <si>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</si>
  <si>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</si>
  <si>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</si>
  <si>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</si>
  <si>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</si>
  <si>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</si>
  <si>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</si>
  <si>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</si>
  <si>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</si>
  <si>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</si>
  <si>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</si>
  <si>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</si>
  <si>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</si>
  <si>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</si>
  <si>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</si>
  <si>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</si>
  <si>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</si>
  <si>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</si>
  <si>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</si>
  <si>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</si>
  <si>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</si>
  <si>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</si>
  <si>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</si>
  <si>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</si>
  <si>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</si>
  <si>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</si>
  <si>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</si>
  <si>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</si>
  <si>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</si>
  <si>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</si>
  <si>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</si>
  <si>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</si>
  <si>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</si>
  <si>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</si>
  <si>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</si>
  <si>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</si>
  <si>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</si>
  <si>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</si>
  <si>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</si>
  <si>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</si>
  <si>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</si>
  <si>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</si>
  <si>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</si>
  <si>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</si>
  <si>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</si>
  <si>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</si>
  <si>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</si>
  <si>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</si>
  <si>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</si>
  <si>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</si>
  <si>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</si>
  <si>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</si>
  <si>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</si>
  <si>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</si>
  <si>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</si>
  <si>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</si>
  <si>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</si>
  <si>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</si>
  <si>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</si>
  <si>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</si>
  <si>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</si>
  <si>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</si>
  <si>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</si>
  <si>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</si>
  <si>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</si>
  <si>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</si>
  <si>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</si>
  <si>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</si>
  <si>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</si>
  <si>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</si>
  <si>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</si>
  <si>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</si>
  <si>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</si>
  <si>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</si>
  <si>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</si>
  <si>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</si>
  <si>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</si>
  <si>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</si>
  <si>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</si>
  <si>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</si>
  <si>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</si>
  <si>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</si>
  <si>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</si>
  <si>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</si>
  <si>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</si>
  <si>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</si>
  <si>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</si>
  <si>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</si>
  <si>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</si>
  <si>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</si>
  <si>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</si>
  <si>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</si>
  <si>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</si>
  <si>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</si>
  <si>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</si>
  <si>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</si>
  <si>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</si>
  <si>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</si>
  <si>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</si>
  <si>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</si>
  <si>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</si>
  <si>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</si>
  <si>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</si>
  <si>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</si>
  <si>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</si>
  <si>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</si>
  <si>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</si>
  <si>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</si>
  <si>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</si>
  <si>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</si>
  <si>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</si>
  <si>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</si>
  <si>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</si>
  <si>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</si>
  <si>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</si>
  <si>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</si>
  <si>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</si>
  <si>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</si>
  <si>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</si>
  <si>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</si>
  <si>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</si>
  <si>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</si>
  <si>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</si>
  <si>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</si>
  <si>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</si>
  <si>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</si>
  <si>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</si>
  <si>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</si>
  <si>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</si>
  <si>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</si>
  <si>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</si>
  <si>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</si>
  <si>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</si>
  <si>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</si>
  <si>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</si>
  <si>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</si>
  <si>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</si>
  <si>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</si>
  <si>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</si>
  <si>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</si>
  <si>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</si>
  <si>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</si>
  <si>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</si>
  <si>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</si>
  <si>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</si>
  <si>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</si>
  <si>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</si>
  <si>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</si>
  <si>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</si>
  <si>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</si>
  <si>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</si>
  <si>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</si>
  <si>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</si>
  <si>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</si>
  <si>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</si>
  <si>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</si>
  <si>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</si>
  <si>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</si>
  <si>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</si>
  <si>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</si>
  <si>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</si>
  <si>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</si>
  <si>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</si>
  <si>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</si>
  <si>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</si>
  <si>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</si>
  <si>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</si>
  <si>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</si>
  <si>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</si>
  <si>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</si>
  <si>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</si>
  <si>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</si>
  <si>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</si>
  <si>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</si>
  <si>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</si>
  <si>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</si>
  <si>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</si>
  <si>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</si>
  <si>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</si>
  <si>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</si>
  <si>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</si>
  <si>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</si>
  <si>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</si>
  <si>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</si>
  <si>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</si>
  <si>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</si>
  <si>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</si>
  <si>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</si>
  <si>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</si>
  <si>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</si>
  <si>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</si>
  <si>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</si>
  <si>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</si>
  <si>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</si>
  <si>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</si>
  <si>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</si>
  <si>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</si>
  <si>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</si>
  <si>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</si>
  <si>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</si>
  <si>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</si>
  <si>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</si>
  <si>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</si>
  <si>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</si>
  <si>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</si>
  <si>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</si>
  <si>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</si>
  <si>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</si>
  <si>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</si>
  <si>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</si>
  <si>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</si>
  <si>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</si>
  <si>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</si>
  <si>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</si>
  <si>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</si>
  <si>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</si>
  <si>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</si>
  <si>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</si>
  <si>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</si>
  <si>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</si>
  <si>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</si>
  <si>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</si>
  <si>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</si>
  <si>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</si>
  <si>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</si>
  <si>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</si>
  <si>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</si>
  <si>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</si>
  <si>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</si>
  <si>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</si>
  <si>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</si>
  <si>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</si>
  <si>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</si>
  <si>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</si>
  <si>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</si>
  <si>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</si>
  <si>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</si>
  <si>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</si>
  <si>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</si>
  <si>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</si>
  <si>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</si>
  <si>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</si>
  <si>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</si>
  <si>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</si>
  <si>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</si>
  <si>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</si>
  <si>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</si>
  <si>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</si>
  <si>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</si>
  <si>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</si>
  <si>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</si>
  <si>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</si>
  <si>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</si>
  <si>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</si>
  <si>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</si>
  <si>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</si>
  <si>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</si>
  <si>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</si>
  <si>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</si>
  <si>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</si>
  <si>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</si>
  <si>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</si>
  <si>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</si>
  <si>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</si>
  <si>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</si>
  <si>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</si>
  <si>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</si>
  <si>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</si>
  <si>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</si>
  <si>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</si>
  <si>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</si>
  <si>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</si>
  <si>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</si>
  <si>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</si>
  <si>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</si>
  <si>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</si>
  <si>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</si>
  <si>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</si>
  <si>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</si>
  <si>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</si>
  <si>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</si>
  <si>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</si>
  <si>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</si>
  <si>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</si>
  <si>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</si>
  <si>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</si>
  <si>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</si>
  <si>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</si>
  <si>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</si>
  <si>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</si>
  <si>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</si>
  <si>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</si>
  <si>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</si>
  <si>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</si>
  <si>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</si>
  <si>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</si>
  <si>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</si>
  <si>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</si>
  <si>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</si>
  <si>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</si>
  <si>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</si>
  <si>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</si>
  <si>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</si>
  <si>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</si>
  <si>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</si>
  <si>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</si>
  <si>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</si>
  <si>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</si>
  <si>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</si>
  <si>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</si>
  <si>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</si>
  <si>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</si>
  <si>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</si>
  <si>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</si>
  <si>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</si>
  <si>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</si>
  <si>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</si>
  <si>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</si>
  <si>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</si>
  <si>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</si>
  <si>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</si>
  <si>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</si>
  <si>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</si>
  <si>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</si>
  <si>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</si>
  <si>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</si>
  <si>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</si>
  <si>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</si>
  <si>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</si>
  <si>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</si>
  <si>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</si>
  <si>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</si>
  <si>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</si>
  <si>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</si>
  <si>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</si>
  <si>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</si>
  <si>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</si>
  <si>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</si>
  <si>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</si>
  <si>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</si>
  <si>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</si>
  <si>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</si>
  <si>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</si>
  <si>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</si>
  <si>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</si>
  <si>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</si>
  <si>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</si>
  <si>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</si>
  <si>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</si>
  <si>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</si>
  <si>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</si>
  <si>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</si>
  <si>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</si>
  <si>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</si>
  <si>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</si>
  <si>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</si>
  <si>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</si>
  <si>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</si>
  <si>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</si>
  <si>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</si>
  <si>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</si>
  <si>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</si>
  <si>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</si>
  <si>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</si>
  <si>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</si>
  <si>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</si>
  <si>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</si>
  <si>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</si>
  <si>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</si>
  <si>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</si>
  <si>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</si>
  <si>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</si>
  <si>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</si>
  <si>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</si>
  <si>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</si>
  <si>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</si>
  <si>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</si>
  <si>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</si>
  <si>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</si>
  <si>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</si>
  <si>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</si>
  <si>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</si>
  <si>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</si>
  <si>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</si>
  <si>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</si>
  <si>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</si>
  <si>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</si>
  <si>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</si>
  <si>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</si>
  <si>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</si>
  <si>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</si>
  <si>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</si>
  <si>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</si>
  <si>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</si>
  <si>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</si>
  <si>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</si>
  <si>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</si>
  <si>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</si>
  <si>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</si>
  <si>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</si>
  <si>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</si>
  <si>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</si>
  <si>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</si>
  <si>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</si>
  <si>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</si>
  <si>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</si>
  <si>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</si>
  <si>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</si>
  <si>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</si>
  <si>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</si>
  <si>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</si>
  <si>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</si>
  <si>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</si>
  <si>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</si>
  <si>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</si>
  <si>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</si>
  <si>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</si>
  <si>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</si>
  <si>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</si>
  <si>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</si>
  <si>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</si>
  <si>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</si>
  <si>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</si>
  <si>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</si>
  <si>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</si>
  <si>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</si>
  <si>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</si>
  <si>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</si>
  <si>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</si>
  <si>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</si>
  <si>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</si>
  <si>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</si>
  <si>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</si>
  <si>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</si>
  <si>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</si>
  <si>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</si>
  <si>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</si>
  <si>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</si>
  <si>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</si>
  <si>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</si>
  <si>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</si>
  <si>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</si>
  <si>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</si>
  <si>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</si>
  <si>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</si>
  <si>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</si>
  <si>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</si>
  <si>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</si>
  <si>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</si>
  <si>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</si>
  <si>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</si>
  <si>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</si>
  <si>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</si>
  <si>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</si>
  <si>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</si>
  <si>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</si>
  <si>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</si>
  <si>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</si>
  <si>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</si>
  <si>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</si>
  <si>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</si>
  <si>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</si>
  <si>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</si>
  <si>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</si>
  <si>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</si>
  <si>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</si>
  <si>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</si>
  <si>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</si>
  <si>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</si>
  <si>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</si>
  <si>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</si>
  <si>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</si>
  <si>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</si>
  <si>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</si>
  <si>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</si>
  <si>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</si>
  <si>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</si>
  <si>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</si>
  <si>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</si>
  <si>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</si>
  <si>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</si>
  <si>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</si>
  <si>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</si>
  <si>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</si>
  <si>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</si>
  <si>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</si>
  <si>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</si>
  <si>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</si>
  <si>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</si>
  <si>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</si>
  <si>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</si>
  <si>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</si>
  <si>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</si>
  <si>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</si>
  <si>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</si>
  <si>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</si>
  <si>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</si>
  <si>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</si>
  <si>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</si>
  <si>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</si>
  <si>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</si>
  <si>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</si>
  <si>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</si>
  <si>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</si>
  <si>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</si>
  <si>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</si>
  <si>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</si>
  <si>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</si>
  <si>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</si>
  <si>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</si>
  <si>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</si>
  <si>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</si>
  <si>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</si>
  <si>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</si>
  <si>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</si>
  <si>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</si>
  <si>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</si>
  <si>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</si>
  <si>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</si>
  <si>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</si>
  <si>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</si>
  <si>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</si>
  <si>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</si>
  <si>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</si>
  <si>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</si>
  <si>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</si>
  <si>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</si>
  <si>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</si>
  <si>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</si>
  <si>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</si>
  <si>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</si>
  <si>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</si>
  <si>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</si>
  <si>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</si>
  <si>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</si>
  <si>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</si>
  <si>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</si>
  <si>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</si>
  <si>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</si>
  <si>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</si>
  <si>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</si>
  <si>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</si>
  <si>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</si>
  <si>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</si>
  <si>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</si>
  <si>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</si>
  <si>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</si>
  <si>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</si>
  <si>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</si>
  <si>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</si>
  <si>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</si>
  <si>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</si>
  <si>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</si>
  <si>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</si>
  <si>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</si>
  <si>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</si>
  <si>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</si>
  <si>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</si>
  <si>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</si>
  <si>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</si>
  <si>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</si>
  <si>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</si>
  <si>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</si>
  <si>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</si>
  <si>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</si>
  <si>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</si>
  <si>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</si>
  <si>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</si>
  <si>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</si>
  <si>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</si>
  <si>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</si>
  <si>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</si>
  <si>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</si>
  <si>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</si>
  <si>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</si>
  <si>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</si>
  <si>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</si>
  <si>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</si>
  <si>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</si>
  <si>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</si>
  <si>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</si>
  <si>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</si>
  <si>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</si>
  <si>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</si>
  <si>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</si>
  <si>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</si>
  <si>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</si>
  <si>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</si>
  <si>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</si>
  <si>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</si>
  <si>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</si>
  <si>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</si>
  <si>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</si>
  <si>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</si>
  <si>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</si>
  <si>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</si>
  <si>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</si>
  <si>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</si>
  <si>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</si>
  <si>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</si>
  <si>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</si>
  <si>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</si>
  <si>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</si>
  <si>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</si>
  <si>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</si>
  <si>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</si>
  <si>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</si>
  <si>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</si>
  <si>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</si>
  <si>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</si>
  <si>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</si>
  <si>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</si>
  <si>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</si>
  <si>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</si>
  <si>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</si>
  <si>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</si>
  <si>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</si>
  <si>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</si>
  <si>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</si>
  <si>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</si>
  <si>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</si>
  <si>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</si>
  <si>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</si>
  <si>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</si>
  <si>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</si>
  <si>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</si>
  <si>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</si>
  <si>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</si>
  <si>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</si>
  <si>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</si>
  <si>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</si>
  <si>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</si>
  <si>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</si>
  <si>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</si>
  <si>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</si>
  <si>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</si>
  <si>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</si>
  <si>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</si>
  <si>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</si>
  <si>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</si>
  <si>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</si>
  <si>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</si>
  <si>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</si>
  <si>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</si>
  <si>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</si>
  <si>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</si>
  <si>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</si>
  <si>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</si>
  <si>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</si>
  <si>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</si>
  <si>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</si>
  <si>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</si>
  <si>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</si>
  <si>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</si>
  <si>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</si>
  <si>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</si>
  <si>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</si>
  <si>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</si>
  <si>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</si>
  <si>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</si>
  <si>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</si>
  <si>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</si>
  <si>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</si>
  <si>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</si>
  <si>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</si>
  <si>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</si>
  <si>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</si>
  <si>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</si>
  <si>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</si>
  <si>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</si>
  <si>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</si>
  <si>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</si>
  <si>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</si>
  <si>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</si>
  <si>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</si>
  <si>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</si>
  <si>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</si>
  <si>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</si>
  <si>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</si>
  <si>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</si>
  <si>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</si>
  <si>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</si>
  <si>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</si>
  <si>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</si>
  <si>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</si>
  <si>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</si>
  <si>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</si>
  <si>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</si>
  <si>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</si>
  <si>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</si>
  <si>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</si>
  <si>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</si>
  <si>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</si>
  <si>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</si>
  <si>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</si>
  <si>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</si>
  <si>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</si>
  <si>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</si>
  <si>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</si>
  <si>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</si>
  <si>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</si>
  <si>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</si>
  <si>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</si>
  <si>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</si>
  <si>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</si>
  <si>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</si>
  <si>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</si>
  <si>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</si>
  <si>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</si>
  <si>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</si>
  <si>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</si>
  <si>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</si>
  <si>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</si>
  <si>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</si>
  <si>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</si>
  <si>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</si>
  <si>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</si>
  <si>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</si>
  <si>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</si>
  <si>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</si>
  <si>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</si>
  <si>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</si>
  <si>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</si>
  <si>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</si>
  <si>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</si>
  <si>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</si>
  <si>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</si>
  <si>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</si>
  <si>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</si>
  <si>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</si>
  <si>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</si>
  <si>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</si>
  <si>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</si>
  <si>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</si>
  <si>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</si>
  <si>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</si>
  <si>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</si>
  <si>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</si>
  <si>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</si>
  <si>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</si>
  <si>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</si>
  <si>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</si>
  <si>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</si>
  <si>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</si>
  <si>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</si>
  <si>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</si>
  <si>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</si>
  <si>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</si>
  <si>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</si>
  <si>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</si>
  <si>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</si>
  <si>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</si>
  <si>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</si>
  <si>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</si>
  <si>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</si>
  <si>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</si>
  <si>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</si>
  <si>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</si>
  <si>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</si>
  <si>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</si>
  <si>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</si>
  <si>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</si>
  <si>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</si>
  <si>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</si>
  <si>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</si>
  <si>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</si>
  <si>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</si>
  <si>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</si>
  <si>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</si>
  <si>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</si>
  <si>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</si>
  <si>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</si>
  <si>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</si>
  <si>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</si>
  <si>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</si>
  <si>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</si>
  <si>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</si>
  <si>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</si>
  <si>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</si>
  <si>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</si>
  <si>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</si>
  <si>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</si>
  <si>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</si>
  <si>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</si>
  <si>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</si>
  <si>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</si>
  <si>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</si>
  <si>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</si>
  <si>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</si>
  <si>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</si>
  <si>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</si>
  <si>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</si>
  <si>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</si>
  <si>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</si>
  <si>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</si>
  <si>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</si>
  <si>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</si>
  <si>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</si>
  <si>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</si>
  <si>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</si>
  <si>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</si>
  <si>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</si>
  <si>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</si>
  <si>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</si>
  <si>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</si>
  <si>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</si>
  <si>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</si>
  <si>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</si>
  <si>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</si>
  <si>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</si>
  <si>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</si>
  <si>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</si>
  <si>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</si>
  <si>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</si>
  <si>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</si>
  <si>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</si>
  <si>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</si>
  <si>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</si>
  <si>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</si>
  <si>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</si>
  <si>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</si>
  <si>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</si>
  <si>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</si>
  <si>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</si>
  <si>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</si>
  <si>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</si>
  <si>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</si>
  <si>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</si>
  <si>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</si>
  <si>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</si>
  <si>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</si>
  <si>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</si>
  <si>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</si>
  <si>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</si>
  <si>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</si>
  <si>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</si>
  <si>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</si>
  <si>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</si>
  <si>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</si>
  <si>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</si>
  <si>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</si>
  <si>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</si>
  <si>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</si>
  <si>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</si>
  <si>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</si>
  <si>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</si>
  <si>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</si>
  <si>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</si>
  <si>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</si>
  <si>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</si>
  <si>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</si>
  <si>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</si>
  <si>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</si>
  <si>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</si>
  <si>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</si>
  <si>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</si>
  <si>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</si>
  <si>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</si>
  <si>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</si>
  <si>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</si>
  <si>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</si>
  <si>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</si>
  <si>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</si>
  <si>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</si>
  <si>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</si>
  <si>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</si>
  <si>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</si>
  <si>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</si>
  <si>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</si>
  <si>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</si>
  <si>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</si>
  <si>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</si>
  <si>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</si>
  <si>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</si>
  <si>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</si>
  <si>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</si>
  <si>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</si>
  <si>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</si>
  <si>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</si>
  <si>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</si>
  <si>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</si>
  <si>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</si>
  <si>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</si>
  <si>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</si>
  <si>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</si>
  <si>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</si>
  <si>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</si>
  <si>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</si>
  <si>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</si>
  <si>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</si>
  <si>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</si>
  <si>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</si>
  <si>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</si>
  <si>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</si>
  <si>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</si>
  <si>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</si>
  <si>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</si>
  <si>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</si>
  <si>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</si>
  <si>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</si>
  <si>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</si>
  <si>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</si>
  <si>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</si>
  <si>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</si>
  <si>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</si>
  <si>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</si>
  <si>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</si>
  <si>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</si>
  <si>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</si>
  <si>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</si>
  <si>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</si>
  <si>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</si>
  <si>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</si>
  <si>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</si>
  <si>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</si>
  <si>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</si>
  <si>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</si>
  <si>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</si>
  <si>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</si>
  <si>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</si>
  <si>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</si>
  <si>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</si>
  <si>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</si>
  <si>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</si>
  <si>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</si>
  <si>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</si>
  <si>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</si>
  <si>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</si>
  <si>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</si>
  <si>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</si>
  <si>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</si>
  <si>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</si>
  <si>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</si>
  <si>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</si>
  <si>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</si>
  <si>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</si>
  <si>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</si>
  <si>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</si>
  <si>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</si>
  <si>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</si>
  <si>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</si>
  <si>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</si>
  <si>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</si>
  <si>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</si>
  <si>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</si>
  <si>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</si>
  <si>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</si>
  <si>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</si>
  <si>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</si>
  <si>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</si>
  <si>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</si>
  <si>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</si>
  <si>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</si>
  <si>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</si>
  <si>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</si>
  <si>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</si>
  <si>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</si>
  <si>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</si>
  <si>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</si>
  <si>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</si>
  <si>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</si>
  <si>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</si>
  <si>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</si>
  <si>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</si>
  <si>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</si>
  <si>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</si>
  <si>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</si>
  <si>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</si>
  <si>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</si>
  <si>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</si>
  <si>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</si>
  <si>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</si>
  <si>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</si>
  <si>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</si>
  <si>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</si>
  <si>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</si>
  <si>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</si>
  <si>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</si>
  <si>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</si>
  <si>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</si>
  <si>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</si>
  <si>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</si>
  <si>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</si>
  <si>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</si>
  <si>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</si>
  <si>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</si>
  <si>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</si>
  <si>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</si>
  <si>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</si>
  <si>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</si>
  <si>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</si>
  <si>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</si>
  <si>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</si>
  <si>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</si>
  <si>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</si>
  <si>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</si>
  <si>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</si>
  <si>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</si>
  <si>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</si>
  <si>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</si>
  <si>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</si>
  <si>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</si>
  <si>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</si>
  <si>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</si>
  <si>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</si>
  <si>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</si>
  <si>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</si>
  <si>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</si>
  <si>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</si>
  <si>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</si>
  <si>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</si>
  <si>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</si>
  <si>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</si>
  <si>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</si>
  <si>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</si>
  <si>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</si>
  <si>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</si>
  <si>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</si>
  <si>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</si>
  <si>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</si>
  <si>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</si>
  <si>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</si>
  <si>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</si>
  <si>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</si>
  <si>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</si>
  <si>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</si>
  <si>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</si>
  <si>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</si>
  <si>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</si>
  <si>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</si>
  <si>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</si>
  <si>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</si>
  <si>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</si>
  <si>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</si>
  <si>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</si>
  <si>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</si>
  <si>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</si>
  <si>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</si>
  <si>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</si>
  <si>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</si>
  <si>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</si>
  <si>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</si>
  <si>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</si>
  <si>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</si>
  <si>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</si>
  <si>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</si>
  <si>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</si>
  <si>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</si>
  <si>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</si>
  <si>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</si>
  <si>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</si>
  <si>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</si>
  <si>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</si>
  <si>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</si>
  <si>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</si>
  <si>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</si>
  <si>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</si>
  <si>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</si>
  <si>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</si>
  <si>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</si>
  <si>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</si>
  <si>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</si>
  <si>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</si>
  <si>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</si>
  <si>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</si>
  <si>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</si>
  <si>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</si>
  <si>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</si>
  <si>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</si>
  <si>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</si>
  <si>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</si>
  <si>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</si>
  <si>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</si>
  <si>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</si>
  <si>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</si>
  <si>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</si>
  <si>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</si>
  <si>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</si>
  <si>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</si>
  <si>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</si>
  <si>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</si>
  <si>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</si>
  <si>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</si>
  <si>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</si>
  <si>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</si>
  <si>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</si>
  <si>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</si>
  <si>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</si>
  <si>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</si>
  <si>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</si>
  <si>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</si>
  <si>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</si>
  <si>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</si>
  <si>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</si>
  <si>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</si>
  <si>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</si>
  <si>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</si>
  <si>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</si>
  <si>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</si>
  <si>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</si>
  <si>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</si>
  <si>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</si>
  <si>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</si>
  <si>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</si>
  <si>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</si>
  <si>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</si>
  <si>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</si>
  <si>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</si>
  <si>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</si>
  <si>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</si>
  <si>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</si>
  <si>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</si>
  <si>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</si>
  <si>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</si>
  <si>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</si>
  <si>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</si>
  <si>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</si>
  <si>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</si>
  <si>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</si>
  <si>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</si>
  <si>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</si>
  <si>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</si>
  <si>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</si>
  <si>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</si>
  <si>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</si>
  <si>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</si>
  <si>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</si>
  <si>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</si>
  <si>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</si>
  <si>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</si>
  <si>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</si>
  <si>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</si>
  <si>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</si>
  <si>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</si>
  <si>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</si>
  <si>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</si>
  <si>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</si>
  <si>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</si>
  <si>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</si>
  <si>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</si>
  <si>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</si>
  <si>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</si>
  <si>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</si>
  <si>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</si>
  <si>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</si>
  <si>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</si>
  <si>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</si>
  <si>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</si>
  <si>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</si>
  <si>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</si>
  <si>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</si>
  <si>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</si>
  <si>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</si>
  <si>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</si>
  <si>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</si>
  <si>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</si>
  <si>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</si>
  <si>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</si>
  <si>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</si>
  <si>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</si>
  <si>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</si>
  <si>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</si>
  <si>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</si>
  <si>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</si>
  <si>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</si>
  <si>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</si>
  <si>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</si>
  <si>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</si>
  <si>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</si>
  <si>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</si>
  <si>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</si>
  <si>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</si>
  <si>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</si>
  <si>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</si>
  <si>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</si>
  <si>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</si>
  <si>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</si>
  <si>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</si>
  <si>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</si>
  <si>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</si>
  <si>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</si>
  <si>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</si>
  <si>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</si>
  <si>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</si>
  <si>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</si>
  <si>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</si>
  <si>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</si>
  <si>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</si>
  <si>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</si>
  <si>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</si>
  <si>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</si>
  <si>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</si>
  <si>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</si>
  <si>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</si>
  <si>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</si>
  <si>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</si>
  <si>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</si>
  <si>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</si>
  <si>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</si>
  <si>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</si>
  <si>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</si>
  <si>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</si>
  <si>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</si>
  <si>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</si>
  <si>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</si>
  <si>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</si>
  <si>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</si>
  <si>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</si>
  <si>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</si>
  <si>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</si>
  <si>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</si>
  <si>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</si>
  <si>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</si>
  <si>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</si>
  <si>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</si>
  <si>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</si>
  <si>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</si>
  <si>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</si>
  <si>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</si>
  <si>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</si>
  <si>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</si>
  <si>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</si>
  <si>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</si>
  <si>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</si>
  <si>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</si>
  <si>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</si>
  <si>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</si>
  <si>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</si>
  <si>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</si>
  <si>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</si>
  <si>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</si>
  <si>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</si>
  <si>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</si>
  <si>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</si>
  <si>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</si>
  <si>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</si>
  <si>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</si>
  <si>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</si>
  <si>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</si>
  <si>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</si>
  <si>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</si>
  <si>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</si>
  <si>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</si>
  <si>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</si>
  <si>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</si>
  <si>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</si>
  <si>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</si>
  <si>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</si>
  <si>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</si>
  <si>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</si>
  <si>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</si>
  <si>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</si>
  <si>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</si>
  <si>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</si>
  <si>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</si>
  <si>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</si>
  <si>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</si>
  <si>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</si>
  <si>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</si>
  <si>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</si>
  <si>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</si>
  <si>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</si>
  <si>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</si>
  <si>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</si>
  <si>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</si>
  <si>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</si>
  <si>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</si>
  <si>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</si>
  <si>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</si>
  <si>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</si>
  <si>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</si>
  <si>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</si>
  <si>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</si>
  <si>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</si>
  <si>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</si>
  <si>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</si>
  <si>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</si>
  <si>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</si>
  <si>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</si>
  <si>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</si>
  <si>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</si>
  <si>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</si>
  <si>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</si>
  <si>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</si>
  <si>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</si>
  <si>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</si>
  <si>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</si>
  <si>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</si>
  <si>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</si>
  <si>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</si>
  <si>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</si>
  <si>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</si>
  <si>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</si>
  <si>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</si>
  <si>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</si>
  <si>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</si>
  <si>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</si>
  <si>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</si>
  <si>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</si>
  <si>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</si>
  <si>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</si>
  <si>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</si>
  <si>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</si>
  <si>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</si>
  <si>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</si>
  <si>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</si>
  <si>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</si>
  <si>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</si>
  <si>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</si>
  <si>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</si>
  <si>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</si>
  <si>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</si>
  <si>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</si>
  <si>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</si>
  <si>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</si>
  <si>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</si>
  <si>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</si>
  <si>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</si>
  <si>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</si>
  <si>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</si>
  <si>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</si>
  <si>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</si>
  <si>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</si>
  <si>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</si>
  <si>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</si>
  <si>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</si>
  <si>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</si>
  <si>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</si>
  <si>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</si>
  <si>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</si>
  <si>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</si>
  <si>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</si>
  <si>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</si>
  <si>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</si>
  <si>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</si>
  <si>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</si>
  <si>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</si>
  <si>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</si>
  <si>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</si>
  <si>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</si>
  <si>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</si>
  <si>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</si>
  <si>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</si>
  <si>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</si>
  <si>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</si>
  <si>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</si>
  <si>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</si>
  <si>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</si>
  <si>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</si>
  <si>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</si>
  <si>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</si>
  <si>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</si>
  <si>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</si>
  <si>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</si>
  <si>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</si>
  <si>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</si>
  <si>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</si>
  <si>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</si>
  <si>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</si>
  <si>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</si>
  <si>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</si>
  <si>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</si>
  <si>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</si>
  <si>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</si>
  <si>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</si>
  <si>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</si>
  <si>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</si>
  <si>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</si>
  <si>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</si>
  <si>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</si>
  <si>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</si>
  <si>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</si>
  <si>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</si>
  <si>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</si>
  <si>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</si>
  <si>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</si>
  <si>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</si>
  <si>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</si>
  <si>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</si>
  <si>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</si>
  <si>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</si>
  <si>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</si>
  <si>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</si>
  <si>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</si>
  <si>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</si>
  <si>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</si>
  <si>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</si>
  <si>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</si>
  <si>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</si>
  <si>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</si>
  <si>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</si>
  <si>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</si>
  <si>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</si>
  <si>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</si>
  <si>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</si>
  <si>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</si>
  <si>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</si>
  <si>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</si>
  <si>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</si>
  <si>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</si>
  <si>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</si>
  <si>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</si>
  <si>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</si>
  <si>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</si>
  <si>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</si>
  <si>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</si>
  <si>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</si>
  <si>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</si>
  <si>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</si>
  <si>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</si>
  <si>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</si>
  <si>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</si>
  <si>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</si>
  <si>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</si>
  <si>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</si>
  <si>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</si>
  <si>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</si>
  <si>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</si>
  <si>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</si>
  <si>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</si>
  <si>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</si>
  <si>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</si>
  <si>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</si>
  <si>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</si>
  <si>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</si>
  <si>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</si>
  <si>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</si>
  <si>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</si>
  <si>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</si>
  <si>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</si>
  <si>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</si>
  <si>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</si>
  <si>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</si>
  <si>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</si>
  <si>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</si>
  <si>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</si>
  <si>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</si>
  <si>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</si>
  <si>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</si>
  <si>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</si>
  <si>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</si>
  <si>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</si>
  <si>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</si>
  <si>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</si>
  <si>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</si>
  <si>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</si>
  <si>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</si>
  <si>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</si>
  <si>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</si>
  <si>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</si>
  <si>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</si>
  <si>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</si>
  <si>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</si>
  <si>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</si>
  <si>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</si>
  <si>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</si>
  <si>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</si>
  <si>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</si>
  <si>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</si>
  <si>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</si>
  <si>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</si>
  <si>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</si>
  <si>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</si>
  <si>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</si>
  <si>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</si>
  <si>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</si>
  <si>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</si>
  <si>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</si>
  <si>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</si>
  <si>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</si>
  <si>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</si>
  <si>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</si>
  <si>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</si>
  <si>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</si>
  <si>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</si>
  <si>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</si>
  <si>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</si>
  <si>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</si>
  <si>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</si>
  <si>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</si>
  <si>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</si>
  <si>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</si>
  <si>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</si>
  <si>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</si>
  <si>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</si>
  <si>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</si>
  <si>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</si>
  <si>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</si>
  <si>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</si>
  <si>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</si>
  <si>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</si>
  <si>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</si>
  <si>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</si>
  <si>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</si>
  <si>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</si>
  <si>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</si>
  <si>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</si>
  <si>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</si>
  <si>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</si>
  <si>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</si>
  <si>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</si>
  <si>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</si>
  <si>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</si>
  <si>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</si>
  <si>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</si>
  <si>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</si>
  <si>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</si>
  <si>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</si>
  <si>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</si>
  <si>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</si>
  <si>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</si>
  <si>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</si>
  <si>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</si>
  <si>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</si>
  <si>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</si>
  <si>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</si>
  <si>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</si>
  <si>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</si>
  <si>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</si>
  <si>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</si>
  <si>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</si>
  <si>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</si>
  <si>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</si>
  <si>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</si>
  <si>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</si>
  <si>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</si>
  <si>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</si>
  <si>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</si>
  <si>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</si>
  <si>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</si>
  <si>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</si>
  <si>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</si>
  <si>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</si>
  <si>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</si>
  <si>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</si>
  <si>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</si>
  <si>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</si>
  <si>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</si>
  <si>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</si>
  <si>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</si>
  <si>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</si>
  <si>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</si>
  <si>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</si>
  <si>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</si>
  <si>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</si>
  <si>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</si>
  <si>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</si>
  <si>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</si>
  <si>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</si>
  <si>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</si>
  <si>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</si>
  <si>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</si>
  <si>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</si>
  <si>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</si>
  <si>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</si>
  <si>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</si>
  <si>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</si>
  <si>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</si>
  <si>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</si>
  <si>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</si>
  <si>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</si>
  <si>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</si>
  <si>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</si>
  <si>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</si>
  <si>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</si>
  <si>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</si>
  <si>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</si>
  <si>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</si>
  <si>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</si>
  <si>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</si>
  <si>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</si>
  <si>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</si>
  <si>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</si>
  <si>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</si>
  <si>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</si>
  <si>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</si>
  <si>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</si>
  <si>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</si>
  <si>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</si>
  <si>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</si>
  <si>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</si>
  <si>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</si>
  <si>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</si>
  <si>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</si>
  <si>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</si>
  <si>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</si>
  <si>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</si>
  <si>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</si>
  <si>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</si>
  <si>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</si>
  <si>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</si>
  <si>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</si>
  <si>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</si>
  <si>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</si>
  <si>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</si>
  <si>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</si>
  <si>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</si>
  <si>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</si>
  <si>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</si>
  <si>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</si>
  <si>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</si>
  <si>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</si>
  <si>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</si>
  <si>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</si>
  <si>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</si>
  <si>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</si>
  <si>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</si>
  <si>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</si>
  <si>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</si>
  <si>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</si>
  <si>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</si>
  <si>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</si>
  <si>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</si>
  <si>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</si>
  <si>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</si>
  <si>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</si>
  <si>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</si>
  <si>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</si>
  <si>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</si>
  <si>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</si>
  <si>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</si>
  <si>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</si>
  <si>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</si>
  <si>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</si>
  <si>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</si>
  <si>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</si>
  <si>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</si>
  <si>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</si>
  <si>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</si>
  <si>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</si>
  <si>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</si>
  <si>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</si>
  <si>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</si>
  <si>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</si>
  <si>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</si>
  <si>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</si>
  <si>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</si>
  <si>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</si>
  <si>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</si>
  <si>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</si>
  <si>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</si>
  <si>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</si>
  <si>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</si>
  <si>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</si>
  <si>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</si>
  <si>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</si>
  <si>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</si>
  <si>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</si>
  <si>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</si>
  <si>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</si>
  <si>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</si>
  <si>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</si>
  <si>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</si>
  <si>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</si>
  <si>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</si>
  <si>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</si>
  <si>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</si>
  <si>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</si>
  <si>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</si>
  <si>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</si>
  <si>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</si>
  <si>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</si>
  <si>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</si>
  <si>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</si>
  <si>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</si>
  <si>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</si>
  <si>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</si>
  <si>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</si>
  <si>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</si>
  <si>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</si>
  <si>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</si>
  <si>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</si>
  <si>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</si>
  <si>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</si>
  <si>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</si>
  <si>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</si>
  <si>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</si>
  <si>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</si>
  <si>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</si>
  <si>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</si>
  <si>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</si>
  <si>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</si>
  <si>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</si>
  <si>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</si>
  <si>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</si>
  <si>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</si>
  <si>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</si>
  <si>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</si>
  <si>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</si>
  <si>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</si>
  <si>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</si>
  <si>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</si>
  <si>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</si>
  <si>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</si>
  <si>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</si>
  <si>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</si>
  <si>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</si>
  <si>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</si>
  <si>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</si>
  <si>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</si>
  <si>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</si>
  <si>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</si>
  <si>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</si>
  <si>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</si>
  <si>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</si>
  <si>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</si>
  <si>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</si>
  <si>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</si>
  <si>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</si>
  <si>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</si>
  <si>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</si>
  <si>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</si>
  <si>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</si>
  <si>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</si>
  <si>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</si>
  <si>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</si>
  <si>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</si>
  <si>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</si>
  <si>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</si>
  <si>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</si>
  <si>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</si>
  <si>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</si>
  <si>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</si>
  <si>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</si>
  <si>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</si>
  <si>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</si>
  <si>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</si>
  <si>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</si>
  <si>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</si>
  <si>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</si>
  <si>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</si>
  <si>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</si>
  <si>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</si>
  <si>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</si>
  <si>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</si>
  <si>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</si>
  <si>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</si>
  <si>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</si>
  <si>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</si>
  <si>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</si>
  <si>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</si>
  <si>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</si>
  <si>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</si>
  <si>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</si>
  <si>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</si>
  <si>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</si>
  <si>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</si>
  <si>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</si>
  <si>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</si>
  <si>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</si>
  <si>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</si>
  <si>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</si>
  <si>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</si>
  <si>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</si>
  <si>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</si>
  <si>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</si>
  <si>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</si>
  <si>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</si>
  <si>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</si>
  <si>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</si>
  <si>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</si>
  <si>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</si>
  <si>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</si>
  <si>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国有建设用地使用权出让合同</t>
    <phoneticPr fontId="224" type="noConversion"/>
  </si>
  <si>
    <t>受让人</t>
    <phoneticPr fontId="224" type="noConversion"/>
  </si>
  <si>
    <t>北京通州发展集团有限公司</t>
    <phoneticPr fontId="224" type="noConversion"/>
  </si>
  <si>
    <t>出让宗地面积</t>
    <phoneticPr fontId="224" type="noConversion"/>
  </si>
  <si>
    <t>坐落</t>
    <phoneticPr fontId="224" type="noConversion"/>
  </si>
  <si>
    <t>用途</t>
    <phoneticPr fontId="224" type="noConversion"/>
  </si>
  <si>
    <r>
      <t>M</t>
    </r>
    <r>
      <rPr>
        <sz val="11"/>
        <color theme="1"/>
        <rFont val="宋体"/>
        <family val="3"/>
        <charset val="134"/>
        <scheme val="minor"/>
      </rPr>
      <t>4工业研发用地</t>
    </r>
    <phoneticPr fontId="224" type="noConversion"/>
  </si>
  <si>
    <t>现状土地条件</t>
    <phoneticPr fontId="224" type="noConversion"/>
  </si>
  <si>
    <t>六通一平</t>
    <phoneticPr fontId="224" type="noConversion"/>
  </si>
  <si>
    <t>出让年限</t>
    <phoneticPr fontId="224" type="noConversion"/>
  </si>
  <si>
    <t>出让价款</t>
    <phoneticPr fontId="224" type="noConversion"/>
  </si>
  <si>
    <t>万</t>
    <phoneticPr fontId="224" type="noConversion"/>
  </si>
  <si>
    <t>年</t>
    <phoneticPr fontId="224" type="noConversion"/>
  </si>
  <si>
    <t>元</t>
    <phoneticPr fontId="224" type="noConversion"/>
  </si>
  <si>
    <t xml:space="preserve"> </t>
    <phoneticPr fontId="224" type="noConversion"/>
  </si>
  <si>
    <t>主体建筑物性质</t>
    <phoneticPr fontId="224" type="noConversion"/>
  </si>
  <si>
    <t>M4工业研发用地</t>
    <phoneticPr fontId="224" type="noConversion"/>
  </si>
  <si>
    <t>建筑总面积</t>
    <phoneticPr fontId="224" type="noConversion"/>
  </si>
  <si>
    <t>平方米</t>
    <phoneticPr fontId="224" type="noConversion"/>
  </si>
  <si>
    <t>楼面单价</t>
    <phoneticPr fontId="224" type="noConversion"/>
  </si>
  <si>
    <t>容积率</t>
    <phoneticPr fontId="224" type="noConversion"/>
  </si>
  <si>
    <t>限高</t>
    <phoneticPr fontId="224" type="noConversion"/>
  </si>
  <si>
    <t>开工</t>
    <phoneticPr fontId="224" type="noConversion"/>
  </si>
  <si>
    <t>竣工</t>
    <phoneticPr fontId="224" type="noConversion"/>
  </si>
  <si>
    <t>签订</t>
    <phoneticPr fontId="224" type="noConversion"/>
  </si>
  <si>
    <t>补充协议</t>
    <phoneticPr fontId="224" type="noConversion"/>
  </si>
  <si>
    <t>附件4</t>
    <phoneticPr fontId="224" type="noConversion"/>
  </si>
  <si>
    <t>监管协议</t>
    <phoneticPr fontId="224" type="noConversion"/>
  </si>
  <si>
    <t>准入产业类型</t>
    <phoneticPr fontId="224" type="noConversion"/>
  </si>
  <si>
    <t>研发、总部、办公类</t>
    <phoneticPr fontId="224" type="noConversion"/>
  </si>
  <si>
    <t>总投</t>
    <phoneticPr fontId="224" type="noConversion"/>
  </si>
  <si>
    <t>亿</t>
    <phoneticPr fontId="224" type="noConversion"/>
  </si>
  <si>
    <t>总建筑面积</t>
    <phoneticPr fontId="224" type="noConversion"/>
  </si>
  <si>
    <t>序号</t>
    <phoneticPr fontId="224" type="noConversion"/>
  </si>
  <si>
    <t>建筑栋号或建筑使用性质</t>
    <phoneticPr fontId="224" type="noConversion"/>
  </si>
  <si>
    <t>建筑面积</t>
    <phoneticPr fontId="224" type="noConversion"/>
  </si>
  <si>
    <t>合计</t>
    <phoneticPr fontId="224" type="noConversion"/>
  </si>
  <si>
    <t>地上</t>
  </si>
  <si>
    <t>地上</t>
    <phoneticPr fontId="224" type="noConversion"/>
  </si>
  <si>
    <t>地下</t>
  </si>
  <si>
    <t>地下</t>
    <phoneticPr fontId="224" type="noConversion"/>
  </si>
  <si>
    <t>层数</t>
    <phoneticPr fontId="224" type="noConversion"/>
  </si>
  <si>
    <t>地上</t>
    <phoneticPr fontId="224" type="noConversion"/>
  </si>
  <si>
    <t>地下</t>
    <phoneticPr fontId="224" type="noConversion"/>
  </si>
  <si>
    <t>建筑高度</t>
    <phoneticPr fontId="224" type="noConversion"/>
  </si>
  <si>
    <r>
      <t>1</t>
    </r>
    <r>
      <rPr>
        <sz val="11"/>
        <color theme="1"/>
        <rFont val="宋体"/>
        <family val="3"/>
        <charset val="134"/>
        <scheme val="minor"/>
      </rPr>
      <t>#研发楼</t>
    </r>
    <phoneticPr fontId="224" type="noConversion"/>
  </si>
  <si>
    <r>
      <t>2</t>
    </r>
    <r>
      <rPr>
        <sz val="11"/>
        <color theme="1"/>
        <rFont val="宋体"/>
        <family val="3"/>
        <charset val="134"/>
        <scheme val="minor"/>
      </rPr>
      <t>#研发楼</t>
    </r>
    <phoneticPr fontId="224" type="noConversion"/>
  </si>
  <si>
    <t>3#研发楼</t>
    <phoneticPr fontId="224" type="noConversion"/>
  </si>
  <si>
    <t>地下车库及设备用房</t>
    <phoneticPr fontId="224" type="noConversion"/>
  </si>
  <si>
    <t>地上车库出入口</t>
    <phoneticPr fontId="224" type="noConversion"/>
  </si>
  <si>
    <t>人防车库</t>
    <phoneticPr fontId="224" type="noConversion"/>
  </si>
  <si>
    <t>设备</t>
    <phoneticPr fontId="224" type="noConversion"/>
  </si>
  <si>
    <t>人防口部</t>
    <phoneticPr fontId="224" type="noConversion"/>
  </si>
  <si>
    <t>研发楼</t>
  </si>
  <si>
    <t>研发楼</t>
    <phoneticPr fontId="224" type="noConversion"/>
  </si>
  <si>
    <t>地下车库</t>
  </si>
  <si>
    <t>地下车库</t>
    <phoneticPr fontId="224" type="noConversion"/>
  </si>
  <si>
    <t>设备用房</t>
    <phoneticPr fontId="224" type="noConversion"/>
  </si>
  <si>
    <t>人防</t>
    <phoneticPr fontId="224" type="noConversion"/>
  </si>
  <si>
    <t>小计</t>
    <phoneticPr fontId="224" type="noConversion"/>
  </si>
  <si>
    <t>合计</t>
    <phoneticPr fontId="224" type="noConversion"/>
  </si>
  <si>
    <t>使用期限</t>
    <phoneticPr fontId="224" type="noConversion"/>
  </si>
  <si>
    <t>契税</t>
    <phoneticPr fontId="224" type="noConversion"/>
  </si>
  <si>
    <t>施工合同价款</t>
    <phoneticPr fontId="224" type="noConversion"/>
  </si>
  <si>
    <t>万元</t>
    <phoneticPr fontId="224" type="noConversion"/>
  </si>
  <si>
    <t>首层</t>
    <phoneticPr fontId="224" type="noConversion"/>
  </si>
  <si>
    <t>其他</t>
    <phoneticPr fontId="224" type="noConversion"/>
  </si>
  <si>
    <t>层高</t>
    <phoneticPr fontId="224" type="noConversion"/>
  </si>
  <si>
    <t>个数</t>
    <phoneticPr fontId="224" type="noConversion"/>
  </si>
  <si>
    <t>崔锴</t>
  </si>
  <si>
    <t>赵雯</t>
  </si>
  <si>
    <t>抵押价格</t>
  </si>
  <si>
    <t>通州区</t>
    <phoneticPr fontId="6" type="noConversion"/>
  </si>
  <si>
    <t>企业</t>
  </si>
  <si>
    <t>一致</t>
  </si>
  <si>
    <t>符合</t>
  </si>
  <si>
    <t>工业项目</t>
  </si>
  <si>
    <t>无</t>
  </si>
  <si>
    <t>否</t>
  </si>
  <si>
    <t>场地平整</t>
  </si>
  <si>
    <t>是</t>
  </si>
  <si>
    <t>办公楼</t>
  </si>
  <si>
    <t>研发楼</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</si>
  <si>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</si>
  <si>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研发楼</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</si>
  <si>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</si>
  <si>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不动产收益法-研发楼</t>
  </si>
  <si>
    <t>不动产收益法-地下车库</t>
  </si>
  <si>
    <t>利息：取LPR加浮动点数</t>
  </si>
  <si>
    <t>较好</t>
  </si>
  <si>
    <t>较好</t>
    <phoneticPr fontId="3" type="noConversion"/>
  </si>
  <si>
    <t>较好</t>
    <phoneticPr fontId="21" type="noConversion"/>
  </si>
  <si>
    <t>七通</t>
    <phoneticPr fontId="3" type="noConversion"/>
  </si>
  <si>
    <t>一般</t>
  </si>
  <si>
    <t>一般</t>
    <phoneticPr fontId="3" type="noConversion"/>
  </si>
  <si>
    <t>较好</t>
    <phoneticPr fontId="3" type="noConversion"/>
  </si>
  <si>
    <t>估价对象容积率</t>
  </si>
  <si>
    <t>不临65条商业街</t>
  </si>
  <si>
    <t>与级别开发程度不一致</t>
  </si>
  <si>
    <t>中心城区</t>
  </si>
  <si>
    <t>土地（套用方法）</t>
  </si>
  <si>
    <t>押一</t>
  </si>
  <si>
    <t>钢混</t>
  </si>
  <si>
    <t>剩余法-待开发</t>
  </si>
  <si>
    <t>项目全部</t>
  </si>
  <si>
    <t>土地</t>
  </si>
  <si>
    <t>拿地价</t>
    <phoneticPr fontId="9" type="noConversion"/>
  </si>
  <si>
    <t>好</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</si>
  <si>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</si>
  <si>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</si>
  <si>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</si>
  <si>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</si>
  <si>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</si>
  <si>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</si>
  <si>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</si>
  <si>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</si>
  <si>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</si>
  <si>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</si>
  <si>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</si>
  <si>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</si>
  <si>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</si>
  <si>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</si>
  <si>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</si>
  <si>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</si>
  <si>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亦庄新城0104街区48M4地块工业项目</t>
  </si>
  <si>
    <t>京开国土挂[2022]15号</t>
  </si>
  <si>
    <t xml:space="preserve"> 大兴区  </t>
  </si>
  <si>
    <t xml:space="preserve"> 亦庄  </t>
  </si>
  <si>
    <t xml:space="preserve"> 亦庄新城0104街区  </t>
  </si>
  <si>
    <t xml:space="preserve"> 工业研发用地(M4)  </t>
  </si>
  <si>
    <t xml:space="preserve"> 北京北方华创微电子装备有限公司  </t>
  </si>
  <si>
    <t xml:space="preserve"> --  </t>
  </si>
  <si>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</si>
  <si>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</si>
  <si>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</si>
  <si>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</si>
  <si>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</si>
  <si>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</si>
  <si>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</si>
  <si>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</si>
  <si>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</si>
  <si>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</si>
  <si>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</si>
  <si>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</si>
  <si>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北京泰利数据科技发展有限公司  </t>
  </si>
  <si>
    <t>北京市通州区西集镇TZ07-0102-0052地块</t>
  </si>
  <si>
    <t>京土整储挂(通)工业〔2021〕01号</t>
  </si>
  <si>
    <t xml:space="preserve"> 西集  </t>
  </si>
  <si>
    <t xml:space="preserve"> 通州区西集镇国家网络安全产业园区(通州)东部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</si>
  <si>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</si>
  <si>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</si>
  <si>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</si>
  <si>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</si>
  <si>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</si>
  <si>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</si>
  <si>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北京高端制造业基地06街区03地块工业用地项目</t>
  </si>
  <si>
    <t>京土整储挂(房)工业【2020】002号</t>
  </si>
  <si>
    <t xml:space="preserve"> 房山区窦店镇、良乡镇  </t>
  </si>
  <si>
    <t xml:space="preserve"> M4工业研发用地(医药健康产业)  </t>
  </si>
  <si>
    <t xml:space="preserve"> 北京京东方生命科技有限公司  </t>
  </si>
  <si>
    <t>工业</t>
    <phoneticPr fontId="28" type="noConversion"/>
  </si>
  <si>
    <t>地面单价</t>
    <phoneticPr fontId="224" type="noConversion"/>
  </si>
  <si>
    <t>楼面地价</t>
  </si>
  <si>
    <t>七通</t>
  </si>
  <si>
    <t>比较法-工业</t>
  </si>
  <si>
    <t xml:space="preserve"> </t>
    <phoneticPr fontId="3" type="noConversion"/>
  </si>
  <si>
    <t xml:space="preserve"> </t>
    <phoneticPr fontId="3" type="noConversion"/>
  </si>
  <si>
    <t>国家网络安全产业园区（通州）东部</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</si>
</sst>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0" fillId="0" borderId="0" xfId="0" applyNumberFormat="1">
      <alignment vertical="center"/>
    </xf>
    <xf numFmtId="0" fontId="141" fillId="0" borderId="0" xfId="0" applyFont="1" applyAlignment="1">
      <alignment vertical="center" wrapText="1"/>
    </xf>
    <xf numFmtId="0" fontId="0" fillId="0" borderId="2" xfId="0" applyBorder="1">
      <alignment vertical="center"/>
    </xf>
    <xf numFmtId="0" fontId="141" fillId="0" borderId="2" xfId="0" applyFont="1" applyBorder="1">
      <alignment vertical="center"/>
    </xf>
    <xf numFmtId="0" fontId="142" fillId="0" borderId="2" xfId="0" applyFont="1" applyBorder="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8" fillId="5" borderId="0" xfId="0" applyFont="1" applyFill="1" applyProtection="1">
      <alignment vertical="center"/>
      <protection locked="0"/>
    </xf>
    <xf numFmtId="49" fontId="72" fillId="5" borderId="0" xfId="0" applyNumberFormat="1" applyFont="1" applyFill="1" applyProtection="1">
      <alignment vertical="center"/>
      <protection locked="0"/>
    </xf>
    <xf numFmtId="0" fontId="0" fillId="0" borderId="0" xfId="0" applyNumberFormat="1" applyAlignment="1"/>
    <xf numFmtId="14" fontId="0" fillId="0" borderId="0" xfId="0" applyNumberFormat="1" applyAlignment="1"/>
    <xf numFmtId="0" fontId="140" fillId="0" borderId="6"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0" borderId="0" xfId="0" applyNumberFormat="1" applyFont="1" applyAlignment="1"/>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218277</xdr:colOff>
      <xdr:row>7</xdr:row>
      <xdr:rowOff>9374</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0" y="0"/>
          <a:ext cx="6390477" cy="1209524"/>
        </a:xfrm>
        <a:prstGeom prst="rect">
          <a:avLst/>
        </a:prstGeom>
      </xdr:spPr>
    </xdr:pic>
    <xdr:clientData/>
  </xdr:twoCellAnchor>
  <xdr:twoCellAnchor editAs="oneCell">
    <xdr:from>
      <xdr:col>5</xdr:col>
      <xdr:colOff>0</xdr:colOff>
      <xdr:row>7</xdr:row>
      <xdr:rowOff>0</xdr:rowOff>
    </xdr:from>
    <xdr:to>
      <xdr:col>14</xdr:col>
      <xdr:colOff>151610</xdr:colOff>
      <xdr:row>32</xdr:row>
      <xdr:rowOff>75655</xdr:rowOff>
    </xdr:to>
    <xdr:pic>
      <xdr:nvPicPr>
        <xdr:cNvPr id="3" name="图片 2"/>
        <xdr:cNvPicPr>
          <a:picLocks noChangeAspect="1"/>
        </xdr:cNvPicPr>
      </xdr:nvPicPr>
      <xdr:blipFill>
        <a:blip xmlns:r="http://schemas.openxmlformats.org/officeDocument/2006/relationships" r:embed="rId2"/>
        <a:stretch>
          <a:fillRect/>
        </a:stretch>
      </xdr:blipFill>
      <xdr:spPr>
        <a:xfrm>
          <a:off x="3543300" y="1200150"/>
          <a:ext cx="6323810" cy="4361905"/>
        </a:xfrm>
        <a:prstGeom prst="rect">
          <a:avLst/>
        </a:prstGeom>
      </xdr:spPr>
    </xdr:pic>
    <xdr:clientData/>
  </xdr:twoCellAnchor>
  <xdr:twoCellAnchor editAs="oneCell">
    <xdr:from>
      <xdr:col>5</xdr:col>
      <xdr:colOff>0</xdr:colOff>
      <xdr:row>33</xdr:row>
      <xdr:rowOff>0</xdr:rowOff>
    </xdr:from>
    <xdr:to>
      <xdr:col>8</xdr:col>
      <xdr:colOff>494981</xdr:colOff>
      <xdr:row>45</xdr:row>
      <xdr:rowOff>37838</xdr:rowOff>
    </xdr:to>
    <xdr:pic>
      <xdr:nvPicPr>
        <xdr:cNvPr id="4" name="图片 3"/>
        <xdr:cNvPicPr>
          <a:picLocks noChangeAspect="1"/>
        </xdr:cNvPicPr>
      </xdr:nvPicPr>
      <xdr:blipFill>
        <a:blip xmlns:r="http://schemas.openxmlformats.org/officeDocument/2006/relationships" r:embed="rId3"/>
        <a:stretch>
          <a:fillRect/>
        </a:stretch>
      </xdr:blipFill>
      <xdr:spPr>
        <a:xfrm>
          <a:off x="3543300" y="5657850"/>
          <a:ext cx="2552381" cy="2095238"/>
        </a:xfrm>
        <a:prstGeom prst="rect">
          <a:avLst/>
        </a:prstGeom>
      </xdr:spPr>
    </xdr:pic>
    <xdr:clientData/>
  </xdr:twoCellAnchor>
  <xdr:twoCellAnchor editAs="oneCell">
    <xdr:from>
      <xdr:col>9</xdr:col>
      <xdr:colOff>104775</xdr:colOff>
      <xdr:row>33</xdr:row>
      <xdr:rowOff>54702</xdr:rowOff>
    </xdr:from>
    <xdr:to>
      <xdr:col>13</xdr:col>
      <xdr:colOff>218223</xdr:colOff>
      <xdr:row>45</xdr:row>
      <xdr:rowOff>151757</xdr:rowOff>
    </xdr:to>
    <xdr:pic>
      <xdr:nvPicPr>
        <xdr:cNvPr id="5" name="图片 4"/>
        <xdr:cNvPicPr>
          <a:picLocks noChangeAspect="1"/>
        </xdr:cNvPicPr>
      </xdr:nvPicPr>
      <xdr:blipFill>
        <a:blip xmlns:r="http://schemas.openxmlformats.org/officeDocument/2006/relationships" r:embed="rId4"/>
        <a:stretch>
          <a:fillRect/>
        </a:stretch>
      </xdr:blipFill>
      <xdr:spPr>
        <a:xfrm>
          <a:off x="6391275" y="5712552"/>
          <a:ext cx="2856648" cy="2154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22</xdr:row>
      <xdr:rowOff>76200</xdr:rowOff>
    </xdr:from>
    <xdr:to>
      <xdr:col>10</xdr:col>
      <xdr:colOff>513470</xdr:colOff>
      <xdr:row>35</xdr:row>
      <xdr:rowOff>142588</xdr:rowOff>
    </xdr:to>
    <xdr:pic>
      <xdr:nvPicPr>
        <xdr:cNvPr id="2" name="图片 1"/>
        <xdr:cNvPicPr>
          <a:picLocks noChangeAspect="1"/>
        </xdr:cNvPicPr>
      </xdr:nvPicPr>
      <xdr:blipFill>
        <a:blip xmlns:r="http://schemas.openxmlformats.org/officeDocument/2006/relationships" r:embed="rId1"/>
        <a:stretch>
          <a:fillRect/>
        </a:stretch>
      </xdr:blipFill>
      <xdr:spPr>
        <a:xfrm>
          <a:off x="657225" y="4010025"/>
          <a:ext cx="7047620" cy="2295238"/>
        </a:xfrm>
        <a:prstGeom prst="rect">
          <a:avLst/>
        </a:prstGeom>
      </xdr:spPr>
    </xdr:pic>
    <xdr:clientData/>
  </xdr:twoCellAnchor>
  <xdr:twoCellAnchor editAs="oneCell">
    <xdr:from>
      <xdr:col>1</xdr:col>
      <xdr:colOff>0</xdr:colOff>
      <xdr:row>36</xdr:row>
      <xdr:rowOff>0</xdr:rowOff>
    </xdr:from>
    <xdr:to>
      <xdr:col>11</xdr:col>
      <xdr:colOff>37197</xdr:colOff>
      <xdr:row>60</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334125"/>
          <a:ext cx="7228572" cy="4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1936</v>
      </c>
      <c r="B1" s="2370" t="s">
        <v>2033</v>
      </c>
    </row>
    <row r="2" spans="1:55" s="2374" customFormat="1" ht="15" thickTop="1">
      <c r="A2" s="2372" t="s">
        <v>1940</v>
      </c>
      <c r="B2" s="2373" t="str">
        <f>'预评函-封皮'!B37</f>
        <v>北京市国家网络安全产业园区（通州）东部出让国有建设用地使用权抵押价格预评估</v>
      </c>
      <c r="AX2" s="2375"/>
      <c r="AZ2" s="2375"/>
      <c r="BA2" s="2376"/>
      <c r="BC2" s="2376"/>
    </row>
    <row r="3" spans="1:55" s="2377" customFormat="1">
      <c r="A3" s="2356" t="s">
        <v>1941</v>
      </c>
      <c r="B3" s="2359">
        <f>'预评函-封皮'!B40</f>
        <v>0</v>
      </c>
    </row>
    <row r="4" spans="1:55" s="2358" customFormat="1">
      <c r="A4" s="2356" t="s">
        <v>1942</v>
      </c>
      <c r="B4" s="2357" t="str">
        <f>'预评函-封皮'!B46</f>
        <v>崔锴、赵雯</v>
      </c>
      <c r="N4" s="2358" t="str">
        <f>'预评函-1'!A28</f>
        <v/>
      </c>
    </row>
    <row r="5" spans="1:55" s="2371" customFormat="1" ht="15" thickBot="1">
      <c r="A5" s="2378" t="s">
        <v>1943</v>
      </c>
      <c r="B5" s="2379" t="str">
        <f>'预评函-封皮'!B49</f>
        <v>康正预评字号</v>
      </c>
    </row>
    <row r="6" spans="1:55" s="2380" customFormat="1" ht="15" thickTop="1">
      <c r="A6" s="2372" t="s">
        <v>1985</v>
      </c>
      <c r="B6" s="2373" t="str">
        <f>'预评函-1'!A4</f>
        <v>受贵公司委托，我公司对北京市国家网络安全产业园区（通州）东部出让国有建设用地使用权抵押价格进行了预评估。</v>
      </c>
      <c r="AM6" s="2381"/>
    </row>
    <row r="7" spans="1:55" s="2355" customFormat="1">
      <c r="A7" s="2356" t="s">
        <v>1937</v>
      </c>
      <c r="B7" s="2357" t="str">
        <f>'预评函-1'!A6</f>
        <v>估价对象为使用的、位于北京市国家网络安全产业园区（通州）东部出让国有建设用地使用权。根据《国有土地使用证》[]，估价对象（分摊）出让国有建设用地使用权面积为17315.58平方米。根据《建设工程规划许可证》[]、《出让合同》[]，估价对象规划建筑面积为27041.94平方米。</v>
      </c>
    </row>
    <row r="8" spans="1:55" s="2355" customFormat="1">
      <c r="A8" s="2356" t="s">
        <v>1938</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1988</v>
      </c>
      <c r="B9" s="2357" t="str">
        <f>'预评函-1'!A9</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1939</v>
      </c>
      <c r="B10" s="2357" t="str">
        <f>'预评函-1'!A11</f>
        <v>2023年4月24日（评估专业人员勘察现场之日）</v>
      </c>
    </row>
    <row r="11" spans="1:55" s="2355" customFormat="1">
      <c r="A11" s="2356" t="s">
        <v>1945</v>
      </c>
      <c r="B11" s="2357" t="str">
        <f>'预评函-1'!A14</f>
        <v>根据《国有土地使用证》[]，本次评估估价对象证载（地类）用途为。</v>
      </c>
    </row>
    <row r="12" spans="1:55" s="2355" customFormat="1">
      <c r="A12" s="2356" t="s">
        <v>1946</v>
      </c>
      <c r="B12" s="2357" t="str">
        <f>'预评函-1'!A15</f>
        <v>本次评估设定用途即为证载用途。</v>
      </c>
    </row>
    <row r="13" spans="1:55" s="2355" customFormat="1">
      <c r="A13" s="2356" t="s">
        <v>1947</v>
      </c>
      <c r="B13" s="2357" t="str">
        <f>'预评函-1'!A17</f>
        <v>根据委托估价方介绍及评估专业人员现场勘查，本次评估估价对象实际土地开发程度为红线外市政基础设施达“七通”（即通路、通电、通讯、通上水、通下水、燃气、平整）、宗地红线内场地平整。</v>
      </c>
    </row>
    <row r="14" spans="1:55" s="2355" customFormat="1">
      <c r="A14" s="2356" t="s">
        <v>1948</v>
      </c>
      <c r="B14" s="2357" t="str">
        <f>'预评函-1'!A18</f>
        <v>本次评估设定土地开发程度为红线外市政基础设施达“七通”、宗地红线内场地平整。</v>
      </c>
    </row>
    <row r="15" spans="1:55" s="2355" customFormat="1">
      <c r="A15" s="2356" t="s">
        <v>1944</v>
      </c>
      <c r="B15" s="2357" t="str">
        <f>'预评函-1'!A20</f>
        <v>根据《国有土地使用证》[]，估价对象（分摊）出让国有建设用地使用权面积为17315.58平方米。根据《建设工程规划许可证》[]、《出让合同》[]，估价对象规划建筑面积为27041.94平方米。</v>
      </c>
    </row>
    <row r="16" spans="1:55" s="2355" customFormat="1">
      <c r="A16" s="2356" t="s">
        <v>1949</v>
      </c>
      <c r="B16" s="2357" t="str">
        <f>'预评函-1'!A22</f>
        <v>本次估价对象为出让国有建设用地使用权，《国有土地使用证》[]证载土地终止日期为工业2041年8月5日。截至估价期日，出让国有建设用地使用权剩余土地使用年限为。</v>
      </c>
    </row>
    <row r="17" spans="1:48" s="2355" customFormat="1">
      <c r="A17" s="2356" t="s">
        <v>1950</v>
      </c>
      <c r="B17" s="2357" t="str">
        <f>'预评函-1'!A23</f>
        <v>本次评估设定估价对象剩余土地使用年限为。</v>
      </c>
    </row>
    <row r="18" spans="1:48" s="2355" customFormat="1">
      <c r="A18" s="2356" t="s">
        <v>1951</v>
      </c>
      <c r="B18" s="2357" t="str">
        <f>'预评函-1'!A25</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19" spans="1:48" s="2355" customFormat="1">
      <c r="A19" s="2356" t="s">
        <v>1952</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1953</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1954</v>
      </c>
      <c r="B21" s="2379" t="str">
        <f>'预评函-1'!A28</f>
        <v/>
      </c>
    </row>
    <row r="22" spans="1:48" ht="15" thickTop="1">
      <c r="A22" s="2367" t="s">
        <v>1955</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1956</v>
      </c>
      <c r="B23" s="2357" t="str">
        <f>'预评函-2'!K2</f>
        <v>估价期日：2023年4月24日</v>
      </c>
    </row>
    <row r="24" spans="1:48">
      <c r="A24" s="2356" t="s">
        <v>1957</v>
      </c>
      <c r="B24" s="2357" t="str">
        <f>'预评函-2'!R2</f>
        <v>估价期日的国有建设用地使用权性质：出让</v>
      </c>
    </row>
    <row r="25" spans="1:48">
      <c r="A25" s="2356" t="s">
        <v>2013</v>
      </c>
      <c r="B25" s="2357" t="str">
        <f>'预评函-2'!A3</f>
        <v>估价期日土地使用者</v>
      </c>
    </row>
    <row r="26" spans="1:48">
      <c r="A26" s="2356" t="s">
        <v>1989</v>
      </c>
      <c r="B26" s="2357" t="str">
        <f>'预评函-2'!A5</f>
        <v>中信开发</v>
      </c>
    </row>
    <row r="27" spans="1:48">
      <c r="A27" s="2356" t="s">
        <v>2014</v>
      </c>
      <c r="B27" s="2357" t="str">
        <f>'预评函-2'!B3</f>
        <v>宗地编号/不动产单元号</v>
      </c>
    </row>
    <row r="28" spans="1:48">
      <c r="A28" s="2356" t="s">
        <v>1990</v>
      </c>
      <c r="B28" s="2357" t="str">
        <f>'预评函-2'!B5</f>
        <v>11111111111</v>
      </c>
    </row>
    <row r="29" spans="1:48">
      <c r="A29" s="2356" t="s">
        <v>2016</v>
      </c>
      <c r="B29" s="2357">
        <f>'预评函-2'!C5</f>
        <v>22</v>
      </c>
    </row>
    <row r="30" spans="1:48">
      <c r="A30" s="2356" t="s">
        <v>2017</v>
      </c>
      <c r="B30" s="2357" t="str">
        <f>'预评函-2'!D3</f>
        <v>土地使用证编号/不动产权证书编号</v>
      </c>
    </row>
    <row r="31" spans="1:48">
      <c r="A31" s="2356" t="s">
        <v>1991</v>
      </c>
      <c r="B31" s="2357" t="str">
        <f>'预评函-2'!D5</f>
        <v>京国土字第111号</v>
      </c>
    </row>
    <row r="32" spans="1:48">
      <c r="A32" s="2356" t="s">
        <v>1992</v>
      </c>
      <c r="B32" s="2357">
        <f>'预评函-2'!E5</f>
        <v>0</v>
      </c>
      <c r="AV32" s="2361"/>
    </row>
    <row r="33" spans="1:2">
      <c r="A33" s="2356" t="s">
        <v>1993</v>
      </c>
      <c r="B33" s="2357">
        <f>'预评函-2'!F5</f>
        <v>258</v>
      </c>
    </row>
    <row r="34" spans="1:2">
      <c r="A34" s="2356" t="s">
        <v>1994</v>
      </c>
      <c r="B34" s="2357">
        <f>'预评函-2'!G5</f>
        <v>0</v>
      </c>
    </row>
    <row r="35" spans="1:2">
      <c r="A35" s="2356" t="s">
        <v>1995</v>
      </c>
      <c r="B35" s="2357">
        <f>'预评函-2'!H5</f>
        <v>1.5</v>
      </c>
    </row>
    <row r="36" spans="1:2">
      <c r="A36" s="2356" t="s">
        <v>1996</v>
      </c>
      <c r="B36" s="2357">
        <f>'预评函-2'!I5</f>
        <v>1.5</v>
      </c>
    </row>
    <row r="37" spans="1:2">
      <c r="A37" s="2356" t="s">
        <v>1997</v>
      </c>
      <c r="B37" s="2357">
        <f>'预评函-2'!J5</f>
        <v>1.5</v>
      </c>
    </row>
    <row r="38" spans="1:2">
      <c r="A38" s="2356" t="s">
        <v>1998</v>
      </c>
      <c r="B38" s="2357" t="str">
        <f>'预评函-2'!K5</f>
        <v>红线外七通、宗地红线内场地平整</v>
      </c>
    </row>
    <row r="39" spans="1:2">
      <c r="A39" s="2356" t="s">
        <v>1999</v>
      </c>
      <c r="B39" s="2357" t="str">
        <f>'预评函-2'!L5</f>
        <v>红线外七通、宗地红线内场地平整</v>
      </c>
    </row>
    <row r="40" spans="1:2">
      <c r="A40" s="2356" t="s">
        <v>2018</v>
      </c>
      <c r="B40" s="2357" t="str">
        <f>'预评函-2'!M3</f>
        <v>（剩余）土地使用年限/年</v>
      </c>
    </row>
    <row r="41" spans="1:2">
      <c r="A41" s="2356" t="s">
        <v>2000</v>
      </c>
      <c r="B41" s="2357">
        <f>'预评函-2'!M5</f>
        <v>0</v>
      </c>
    </row>
    <row r="42" spans="1:2">
      <c r="A42" s="2356" t="s">
        <v>2019</v>
      </c>
      <c r="B42" s="2357" t="str">
        <f>'预评函-2'!N3</f>
        <v>（分摊）出让国有建设用地使用权面积/㎡</v>
      </c>
    </row>
    <row r="43" spans="1:2">
      <c r="A43" s="2356" t="s">
        <v>2001</v>
      </c>
      <c r="B43" s="2357">
        <f>'预评函-2'!N5</f>
        <v>17315.580000000002</v>
      </c>
    </row>
    <row r="44" spans="1:2">
      <c r="A44" s="2356" t="s">
        <v>2020</v>
      </c>
      <c r="B44" s="2357" t="str">
        <f>'预评函-2'!O3</f>
        <v>规划建筑面积/㎡</v>
      </c>
    </row>
    <row r="45" spans="1:2">
      <c r="A45" s="2356" t="s">
        <v>2002</v>
      </c>
      <c r="B45" s="2357">
        <f>'预评函-2'!O5</f>
        <v>27041.94</v>
      </c>
    </row>
    <row r="46" spans="1:2">
      <c r="A46" s="2356" t="s">
        <v>2003</v>
      </c>
      <c r="B46" s="2357">
        <f ca="1">'预评函-2'!P5</f>
        <v>2052</v>
      </c>
    </row>
    <row r="47" spans="1:2">
      <c r="A47" s="2356" t="s">
        <v>2004</v>
      </c>
      <c r="B47" s="2357">
        <f ca="1">'预评函-2'!Q5</f>
        <v>1314</v>
      </c>
    </row>
    <row r="48" spans="1:2">
      <c r="A48" s="2356" t="s">
        <v>2005</v>
      </c>
      <c r="B48" s="2357">
        <f ca="1">'预评函-2'!R5</f>
        <v>3554</v>
      </c>
    </row>
    <row r="49" spans="1:2">
      <c r="A49" s="2356" t="s">
        <v>2021</v>
      </c>
      <c r="B49" s="2357" t="str">
        <f>'预评函-2'!A6</f>
        <v>抵押价格</v>
      </c>
    </row>
    <row r="50" spans="1:2">
      <c r="A50" s="2356" t="s">
        <v>2006</v>
      </c>
      <c r="B50" s="2357">
        <f ca="1">'预评函-2'!R6</f>
        <v>3554</v>
      </c>
    </row>
    <row r="51" spans="1:2">
      <c r="A51" s="2356" t="s">
        <v>2022</v>
      </c>
      <c r="B51" s="2357" t="str">
        <f>'预评函-2'!A7</f>
        <v>——</v>
      </c>
    </row>
    <row r="52" spans="1:2">
      <c r="A52" s="2356" t="s">
        <v>2007</v>
      </c>
      <c r="B52" s="2357" t="str">
        <f>'预评函-2'!R7</f>
        <v>——</v>
      </c>
    </row>
    <row r="53" spans="1:2">
      <c r="A53" s="2356" t="s">
        <v>2023</v>
      </c>
      <c r="B53" s="2357" t="str">
        <f>'预评函-2'!A8</f>
        <v>——</v>
      </c>
    </row>
    <row r="54" spans="1:2" s="2371" customFormat="1" ht="15" thickBot="1">
      <c r="A54" s="2378" t="s">
        <v>2008</v>
      </c>
      <c r="B54" s="2379" t="str">
        <f>'预评函-2'!R8</f>
        <v>——</v>
      </c>
    </row>
    <row r="55" spans="1:2" ht="15" thickTop="1">
      <c r="A55" s="2367" t="s">
        <v>1958</v>
      </c>
      <c r="B55" s="2368" t="str">
        <f>'预评函-3'!A2</f>
        <v>1.权利限制：根据估价对象《不动产权证书》复印件、，截至估价期日，估价对象抵押权未见登记。未设定租赁等其他他项权利。</v>
      </c>
    </row>
    <row r="56" spans="1:2">
      <c r="A56" s="2356" t="s">
        <v>1959</v>
      </c>
      <c r="B56" s="2357" t="str">
        <f>'预评函-3'!A3</f>
        <v>2.基础设施条件：估价对象实际开发程度为红线外七通、宗地红线内场地平整；本次评估设定开发程度为红线外七通、宗地红线内场地平整。</v>
      </c>
    </row>
    <row r="57" spans="1:2">
      <c r="A57" s="2356" t="s">
        <v>1960</v>
      </c>
      <c r="B57" s="2357" t="str">
        <f>'预评函-3'!A4</f>
        <v>3.估价规划限制条件：详见《建设工程规划许可证》[]、《出让合同》[]。</v>
      </c>
    </row>
    <row r="58" spans="1:2" s="2371" customFormat="1" ht="15" thickBot="1">
      <c r="A58" s="2378" t="s">
        <v>2009</v>
      </c>
      <c r="B58" s="2379" t="str">
        <f>'预评函-3'!A5</f>
        <v>4.影响价格的其他限定条件：无。</v>
      </c>
    </row>
    <row r="59" spans="1:2" ht="15" thickTop="1">
      <c r="A59" s="2367" t="s">
        <v>1961</v>
      </c>
      <c r="B59" s="2368" t="str">
        <f>'预评函-3'!A8</f>
        <v>2.本《评估意见函》仅供金融机构进行内部审核使用，不做其他目的之用。</v>
      </c>
    </row>
    <row r="60" spans="1:2">
      <c r="A60" s="2356" t="s">
        <v>1962</v>
      </c>
      <c r="B60" s="2357" t="str">
        <f>'预评函-3'!A9</f>
        <v>3.抵押双方在办理抵押登记手续时，应使用本公司出具的正式《土地估价报告》，特提请报告使用者注意。</v>
      </c>
    </row>
    <row r="61" spans="1:2">
      <c r="A61" s="2356" t="s">
        <v>1964</v>
      </c>
      <c r="B61" s="2357" t="str">
        <f>'预评函-3'!A10</f>
        <v>4.估价师所知悉的法定优先受偿款情况为：</v>
      </c>
    </row>
    <row r="62" spans="1:2">
      <c r="A62" s="2356" t="s">
        <v>1963</v>
      </c>
      <c r="B62" s="2357" t="str">
        <f>'预评函-3'!A11</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1965</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1966</v>
      </c>
      <c r="B64" s="2362" t="str">
        <f>'预评函-3'!A13</f>
        <v>（3）。</v>
      </c>
    </row>
    <row r="65" spans="1:2">
      <c r="A65" s="2356" t="s">
        <v>1967</v>
      </c>
      <c r="B65" s="2363" t="str">
        <f>'预评函-3'!A14</f>
        <v>综上，本次评估不存在估价师知悉的法定优先受偿款</v>
      </c>
    </row>
    <row r="66" spans="1:2">
      <c r="A66" s="2356" t="s">
        <v>1968</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1969</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1972</v>
      </c>
      <c r="B68" s="2382">
        <f>'预评函-3'!D30</f>
        <v>42558</v>
      </c>
    </row>
    <row r="69" spans="1:2" ht="15" thickTop="1">
      <c r="A69" s="2367" t="s">
        <v>1970</v>
      </c>
      <c r="B69" s="2368" t="str">
        <f>'预评函-3'!A20</f>
        <v>崔锴</v>
      </c>
    </row>
    <row r="70" spans="1:2">
      <c r="A70" s="2356" t="s">
        <v>1970</v>
      </c>
      <c r="B70" s="2363">
        <f ca="1">'预评函-3'!B20</f>
        <v>2010110070</v>
      </c>
    </row>
    <row r="71" spans="1:2">
      <c r="A71" s="2356" t="s">
        <v>1971</v>
      </c>
      <c r="B71" s="2357" t="str">
        <f>'预评函-3'!A21</f>
        <v>赵雯</v>
      </c>
    </row>
    <row r="72" spans="1:2" s="2371" customFormat="1" ht="15" thickBot="1">
      <c r="A72" s="2378" t="s">
        <v>1971</v>
      </c>
      <c r="B72" s="2384">
        <f ca="1">'预评函-3'!B21</f>
        <v>2011110090</v>
      </c>
    </row>
    <row r="73" spans="1:2" ht="15" thickTop="1">
      <c r="A73" s="2367" t="s">
        <v>2030</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2031</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2032</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2062</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I39" sqref="I39"/>
    </sheetView>
  </sheetViews>
  <sheetFormatPr defaultColWidth="15.25" defaultRowHeight="13.5"/>
  <cols>
    <col min="1" max="16384" width="15.25" style="3283"/>
  </cols>
  <sheetData>
    <row r="1" spans="1:6">
      <c r="A1" s="3280" t="s">
        <v>2671</v>
      </c>
      <c r="B1" s="3281"/>
      <c r="C1" s="3281"/>
      <c r="D1" s="3281"/>
      <c r="E1" s="3281"/>
      <c r="F1" s="3282"/>
    </row>
    <row r="2" spans="1:6">
      <c r="A2" s="3284"/>
      <c r="B2" s="3285"/>
      <c r="C2" s="3285"/>
      <c r="D2" s="3285"/>
      <c r="E2" s="3285"/>
      <c r="F2" s="3286"/>
    </row>
    <row r="3" spans="1:6">
      <c r="A3" s="3287" t="s">
        <v>2672</v>
      </c>
      <c r="B3" s="3288">
        <f>项目基本情况!D3</f>
        <v>45040</v>
      </c>
      <c r="C3" s="3289"/>
      <c r="D3" s="3289"/>
      <c r="E3" s="3289"/>
      <c r="F3" s="3286"/>
    </row>
    <row r="4" spans="1:6">
      <c r="A4" s="3287" t="s">
        <v>2673</v>
      </c>
      <c r="B4" s="3290" t="s">
        <v>2674</v>
      </c>
      <c r="C4" s="3290" t="s">
        <v>2675</v>
      </c>
      <c r="D4" s="3290" t="s">
        <v>2676</v>
      </c>
      <c r="E4" s="3290" t="s">
        <v>2677</v>
      </c>
      <c r="F4" s="3286"/>
    </row>
    <row r="5" spans="1:6">
      <c r="A5" s="3291"/>
      <c r="B5" s="3288"/>
      <c r="C5" s="3290">
        <f>ROUNDDOWN(MIN((B5-B3)/365,A5),2)</f>
        <v>-123.39</v>
      </c>
      <c r="D5" s="3292">
        <f>IF(ISERROR(ROUND(POWER(1+E5,A5-C5)*(POWER(1+E5,C5)-1)/(POWER(1+E5,A5)-1),3)),0,ROUND(POWER(1+E5,A5-C5)*(POWER(1+E5,C5)-1)/(POWER(1+E5,A5)-1),4))</f>
        <v>0</v>
      </c>
      <c r="E5" s="3293"/>
      <c r="F5" s="3286"/>
    </row>
    <row r="6" spans="1:6">
      <c r="A6" s="3291"/>
      <c r="B6" s="3288"/>
      <c r="C6" s="3290">
        <f>ROUNDDOWN(MIN((B6-B3)/365,A6),2)</f>
        <v>-123.39</v>
      </c>
      <c r="D6" s="3292">
        <f>IF(ISERROR(ROUND(POWER(1+E6,A6-C6)*(POWER(1+E6,C6)-1)/(POWER(1+E6,A6)-1),3)),0,ROUND(POWER(1+E6,A6-C6)*(POWER(1+E6,C6)-1)/(POWER(1+E6,A6)-1),4))</f>
        <v>0</v>
      </c>
      <c r="E6" s="3293"/>
      <c r="F6" s="3286"/>
    </row>
    <row r="7" spans="1:6">
      <c r="A7" s="3291"/>
      <c r="B7" s="3288"/>
      <c r="C7" s="3290">
        <f>ROUNDDOWN(MIN((B7-B3)/365,A7),2)</f>
        <v>-123.39</v>
      </c>
      <c r="D7" s="3292">
        <f>IF(ISERROR(ROUND(POWER(1+E7,A7-C7)*(POWER(1+E7,C7)-1)/(POWER(1+E7,A7)-1),3)),0,ROUND(POWER(1+E7,A7-C7)*(POWER(1+E7,C7)-1)/(POWER(1+E7,A7)-1),4))</f>
        <v>0</v>
      </c>
      <c r="E7" s="3293"/>
      <c r="F7" s="3286"/>
    </row>
    <row r="8" spans="1:6">
      <c r="A8" s="3284"/>
      <c r="B8" s="3285"/>
      <c r="C8" s="3285"/>
      <c r="D8" s="3285"/>
      <c r="E8" s="3285"/>
      <c r="F8" s="3286"/>
    </row>
    <row r="9" spans="1:6">
      <c r="A9" s="3287" t="s">
        <v>2678</v>
      </c>
      <c r="B9" s="3290"/>
      <c r="C9" s="3290"/>
      <c r="D9" s="3290"/>
      <c r="E9" s="3290"/>
      <c r="F9" s="3294"/>
    </row>
    <row r="10" spans="1:6">
      <c r="A10" s="3287" t="s">
        <v>2679</v>
      </c>
      <c r="B10" s="3290"/>
      <c r="C10" s="3290"/>
      <c r="D10" s="3290" t="s">
        <v>2677</v>
      </c>
      <c r="E10" s="3290"/>
      <c r="F10" s="3294" t="s">
        <v>2676</v>
      </c>
    </row>
    <row r="11" spans="1:6">
      <c r="A11" s="3287" t="s">
        <v>2680</v>
      </c>
      <c r="B11" s="3295">
        <v>50</v>
      </c>
      <c r="C11" s="3290" t="s">
        <v>2681</v>
      </c>
      <c r="D11" s="3296">
        <v>4.5</v>
      </c>
      <c r="E11" s="3290" t="s">
        <v>2682</v>
      </c>
      <c r="F11" s="3297">
        <f>ROUND(1-(1/(POWER(1+D11,B11))),4)</f>
        <v>1</v>
      </c>
    </row>
    <row r="12" spans="1:6">
      <c r="A12" s="3287" t="s">
        <v>2683</v>
      </c>
      <c r="B12" s="3295">
        <v>20</v>
      </c>
      <c r="C12" s="3290" t="s">
        <v>2684</v>
      </c>
      <c r="D12" s="3296">
        <v>4.5</v>
      </c>
      <c r="E12" s="3290" t="s">
        <v>2685</v>
      </c>
      <c r="F12" s="3297">
        <f>ROUND(1-(1/(POWER(1+D12,B12))),4)</f>
        <v>1</v>
      </c>
    </row>
    <row r="13" spans="1:6">
      <c r="A13" s="3287" t="s">
        <v>2686</v>
      </c>
      <c r="B13" s="3290"/>
      <c r="C13" s="3289"/>
      <c r="D13" s="3285"/>
      <c r="E13" s="3285"/>
      <c r="F13" s="3286"/>
    </row>
    <row r="14" spans="1:6">
      <c r="A14" s="3287" t="s">
        <v>2687</v>
      </c>
      <c r="B14" s="3295"/>
      <c r="C14" s="3289"/>
      <c r="D14" s="3285"/>
      <c r="E14" s="3285"/>
      <c r="F14" s="3286"/>
    </row>
    <row r="15" spans="1:6">
      <c r="A15" s="3287" t="s">
        <v>2688</v>
      </c>
      <c r="B15" s="3290">
        <f>ROUND(B14*F12/F11,2)</f>
        <v>0</v>
      </c>
      <c r="C15" s="3290">
        <f>ROUND(F12/F11,4)</f>
        <v>1</v>
      </c>
      <c r="D15" s="3285"/>
      <c r="E15" s="3285"/>
      <c r="F15" s="3286"/>
    </row>
    <row r="16" spans="1:6">
      <c r="A16" s="3287" t="s">
        <v>2689</v>
      </c>
      <c r="B16" s="3290"/>
      <c r="C16" s="3289"/>
      <c r="D16" s="3285"/>
      <c r="E16" s="3285"/>
      <c r="F16" s="3286"/>
    </row>
    <row r="17" spans="1:7">
      <c r="A17" s="3287" t="s">
        <v>2688</v>
      </c>
      <c r="B17" s="3296"/>
      <c r="C17" s="3289"/>
      <c r="D17" s="3285"/>
      <c r="E17" s="3285"/>
      <c r="F17" s="3286"/>
    </row>
    <row r="18" spans="1:7" ht="14.25" thickBot="1">
      <c r="A18" s="3298" t="s">
        <v>2687</v>
      </c>
      <c r="B18" s="3299">
        <f>ROUND(B17*F11/F12,2)</f>
        <v>0</v>
      </c>
      <c r="C18" s="3299">
        <f>ROUND(F11/F12,4)</f>
        <v>1</v>
      </c>
      <c r="D18" s="3300"/>
      <c r="E18" s="3300"/>
      <c r="F18" s="3301"/>
    </row>
    <row r="19" spans="1:7" ht="14.25" thickBot="1"/>
    <row r="20" spans="1:7">
      <c r="A20" s="3302" t="s">
        <v>2690</v>
      </c>
      <c r="B20" s="3303"/>
      <c r="C20" s="3303"/>
      <c r="D20" s="3303"/>
      <c r="E20" s="3303"/>
      <c r="F20" s="3303"/>
      <c r="G20" s="3304"/>
    </row>
    <row r="21" spans="1:7">
      <c r="A21" s="3305"/>
      <c r="B21" s="3306" t="s">
        <v>2691</v>
      </c>
      <c r="C21" s="3306" t="s">
        <v>2692</v>
      </c>
      <c r="D21" s="3306" t="s">
        <v>2693</v>
      </c>
      <c r="E21" s="3306" t="s">
        <v>2694</v>
      </c>
      <c r="F21" s="3306" t="s">
        <v>2695</v>
      </c>
      <c r="G21" s="3307" t="s">
        <v>2696</v>
      </c>
    </row>
    <row r="22" spans="1:7">
      <c r="A22" s="3305" t="s">
        <v>2697</v>
      </c>
      <c r="B22" s="3308">
        <v>50</v>
      </c>
      <c r="C22" s="3308">
        <v>32</v>
      </c>
      <c r="D22" s="3309">
        <v>0.05</v>
      </c>
      <c r="E22" s="3306">
        <f>ROUND(POWER(1+D22,B22-C22)*(POWER(1+D22,C22)-1)/(POWER(1+D22,B22)-1),3)</f>
        <v>0.86599999999999999</v>
      </c>
      <c r="F22" s="3309">
        <v>0.6</v>
      </c>
      <c r="G22" s="3307">
        <f>ROUND(100*(1-(1-E22)*F22),1)</f>
        <v>92</v>
      </c>
    </row>
    <row r="23" spans="1:7">
      <c r="A23" s="3310" t="s">
        <v>2698</v>
      </c>
      <c r="B23" s="3308">
        <v>50</v>
      </c>
      <c r="C23" s="3308">
        <v>35</v>
      </c>
      <c r="D23" s="3309">
        <v>0.05</v>
      </c>
      <c r="E23" s="3306">
        <f>ROUND(POWER(1+D23,B23-C23)*(POWER(1+D23,C23)-1)/(POWER(1+D23,B23)-1),3)</f>
        <v>0.89700000000000002</v>
      </c>
      <c r="F23" s="3309">
        <f>F22</f>
        <v>0.6</v>
      </c>
      <c r="G23" s="3307">
        <f>ROUND(100*(1-(1-E23)*F23),1)</f>
        <v>93.8</v>
      </c>
    </row>
    <row r="24" spans="1:7">
      <c r="A24" s="3310" t="s">
        <v>2699</v>
      </c>
      <c r="B24" s="3308">
        <v>50</v>
      </c>
      <c r="C24" s="3308">
        <v>25</v>
      </c>
      <c r="D24" s="3309">
        <v>0.05</v>
      </c>
      <c r="E24" s="3306">
        <f>ROUND(POWER(1+D24,B24-C24)*(POWER(1+D24,C24)-1)/(POWER(1+D24,B24)-1),3)</f>
        <v>0.77200000000000002</v>
      </c>
      <c r="F24" s="3309">
        <f>F23</f>
        <v>0.6</v>
      </c>
      <c r="G24" s="3307">
        <f>ROUND(100*(1-(1-E24)*F24),1)</f>
        <v>86.3</v>
      </c>
    </row>
    <row r="25" spans="1:7">
      <c r="A25" s="3310" t="s">
        <v>2700</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2701</v>
      </c>
      <c r="B27" s="3315"/>
      <c r="C27" s="3315"/>
      <c r="D27" s="3315"/>
      <c r="E27" s="3315"/>
      <c r="F27" s="3315"/>
      <c r="G27" s="3316"/>
    </row>
    <row r="28" spans="1:7">
      <c r="A28" s="3314" t="s">
        <v>2702</v>
      </c>
      <c r="B28" s="3315"/>
      <c r="C28" s="3315"/>
      <c r="D28" s="3315"/>
      <c r="E28" s="3315"/>
      <c r="F28" s="3315"/>
      <c r="G28" s="3316"/>
    </row>
    <row r="29" spans="1:7">
      <c r="A29" s="3314" t="s">
        <v>2703</v>
      </c>
      <c r="B29" s="3315"/>
      <c r="C29" s="3315"/>
      <c r="D29" s="3315"/>
      <c r="E29" s="3315"/>
      <c r="F29" s="3315"/>
      <c r="G29" s="3316"/>
    </row>
    <row r="30" spans="1:7">
      <c r="A30" s="3314" t="s">
        <v>2704</v>
      </c>
      <c r="B30" s="3315"/>
      <c r="C30" s="3315"/>
      <c r="D30" s="3315"/>
      <c r="E30" s="3315"/>
      <c r="F30" s="3315"/>
      <c r="G30" s="3316"/>
    </row>
    <row r="31" spans="1:7">
      <c r="A31" s="3314" t="s">
        <v>2705</v>
      </c>
      <c r="B31" s="3315"/>
      <c r="C31" s="3315"/>
      <c r="D31" s="3315"/>
      <c r="E31" s="3315"/>
      <c r="F31" s="3315"/>
      <c r="G31" s="3316"/>
    </row>
    <row r="32" spans="1:7">
      <c r="A32" s="3314" t="s">
        <v>2706</v>
      </c>
      <c r="B32" s="3315"/>
      <c r="C32" s="3315"/>
      <c r="D32" s="3315"/>
      <c r="E32" s="3315"/>
      <c r="F32" s="3315"/>
      <c r="G32" s="3316"/>
    </row>
    <row r="33" spans="1:7">
      <c r="A33" s="3314" t="s">
        <v>2707</v>
      </c>
      <c r="B33" s="3315"/>
      <c r="C33" s="3315"/>
      <c r="D33" s="3315"/>
      <c r="E33" s="3315"/>
      <c r="F33" s="3315"/>
      <c r="G33" s="3316"/>
    </row>
    <row r="34" spans="1:7">
      <c r="A34" s="3314" t="s">
        <v>2708</v>
      </c>
      <c r="B34" s="3315"/>
      <c r="C34" s="3315"/>
      <c r="D34" s="3315"/>
      <c r="E34" s="3315"/>
      <c r="F34" s="3315"/>
      <c r="G34" s="3316"/>
    </row>
    <row r="35" spans="1:7">
      <c r="A35" s="3314" t="s">
        <v>2709</v>
      </c>
      <c r="B35" s="3315"/>
      <c r="C35" s="3315"/>
      <c r="D35" s="3315"/>
      <c r="E35" s="3315"/>
      <c r="F35" s="3315"/>
      <c r="G35" s="3316"/>
    </row>
    <row r="36" spans="1:7">
      <c r="A36" s="3314" t="s">
        <v>2710</v>
      </c>
      <c r="B36" s="3315"/>
      <c r="C36" s="3315"/>
      <c r="D36" s="3315"/>
      <c r="E36" s="3315"/>
      <c r="F36" s="3315"/>
      <c r="G36" s="3316"/>
    </row>
    <row r="37" spans="1:7">
      <c r="A37" s="3314" t="s">
        <v>2711</v>
      </c>
      <c r="B37" s="3315"/>
      <c r="C37" s="3315"/>
      <c r="D37" s="3315"/>
      <c r="E37" s="3315"/>
      <c r="F37" s="3315"/>
      <c r="G37" s="3316"/>
    </row>
    <row r="38" spans="1:7">
      <c r="A38" s="3314" t="s">
        <v>2712</v>
      </c>
      <c r="B38" s="3315"/>
      <c r="C38" s="3315"/>
      <c r="D38" s="3315"/>
      <c r="E38" s="3315"/>
      <c r="F38" s="3315"/>
      <c r="G38" s="3316"/>
    </row>
    <row r="39" spans="1:7">
      <c r="A39" s="3314"/>
      <c r="B39" s="3315"/>
      <c r="C39" s="3315"/>
      <c r="D39" s="3315"/>
      <c r="E39" s="3315"/>
      <c r="F39" s="3315"/>
      <c r="G39" s="3316"/>
    </row>
    <row r="40" spans="1:7">
      <c r="A40" s="3317" t="s">
        <v>2713</v>
      </c>
      <c r="B40" s="3318"/>
      <c r="C40" s="3318"/>
      <c r="D40" s="3318"/>
      <c r="E40" s="3318"/>
      <c r="F40" s="3318"/>
      <c r="G40" s="3319"/>
    </row>
    <row r="41" spans="1:7">
      <c r="A41" s="3320" t="s">
        <v>2714</v>
      </c>
      <c r="B41" s="3321" t="s">
        <v>2715</v>
      </c>
      <c r="C41" s="3322" t="s">
        <v>2716</v>
      </c>
      <c r="D41" s="3322" t="s">
        <v>2717</v>
      </c>
      <c r="E41" s="3323"/>
      <c r="F41" s="3324"/>
      <c r="G41" s="3325"/>
    </row>
    <row r="42" spans="1:7">
      <c r="A42" s="3320" t="s">
        <v>2718</v>
      </c>
      <c r="B42" s="3321" t="s">
        <v>2719</v>
      </c>
      <c r="C42" s="3322" t="s">
        <v>2719</v>
      </c>
      <c r="D42" s="3326" t="s">
        <v>2720</v>
      </c>
      <c r="E42" s="3318" t="s">
        <v>2721</v>
      </c>
      <c r="F42" s="3318"/>
      <c r="G42" s="3319"/>
    </row>
    <row r="43" spans="1:7">
      <c r="A43" s="3320" t="s">
        <v>2722</v>
      </c>
      <c r="B43" s="3321" t="s">
        <v>2723</v>
      </c>
      <c r="C43" s="3322" t="s">
        <v>2724</v>
      </c>
      <c r="D43" s="3322" t="s">
        <v>2725</v>
      </c>
      <c r="E43" s="3323" t="s">
        <v>2726</v>
      </c>
      <c r="F43" s="3324"/>
      <c r="G43" s="3325"/>
    </row>
    <row r="44" spans="1:7">
      <c r="A44" s="3320" t="s">
        <v>2727</v>
      </c>
      <c r="B44" s="3321" t="s">
        <v>2728</v>
      </c>
      <c r="C44" s="3322" t="s">
        <v>2729</v>
      </c>
      <c r="D44" s="3326">
        <v>0.5</v>
      </c>
      <c r="E44" s="3323" t="s">
        <v>2730</v>
      </c>
      <c r="F44" s="3324"/>
      <c r="G44" s="3325"/>
    </row>
    <row r="45" spans="1:7" ht="14.25" thickBot="1">
      <c r="A45" s="3327" t="s">
        <v>2731</v>
      </c>
      <c r="B45" s="3328" t="s">
        <v>2719</v>
      </c>
      <c r="C45" s="3329" t="s">
        <v>2719</v>
      </c>
      <c r="D45" s="3329" t="s">
        <v>2732</v>
      </c>
      <c r="E45" s="3330" t="s">
        <v>2733</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44" sqref="E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28" t="str">
        <f>IF(B10="北京市","北京市",C10)&amp;F10&amp;A17&amp;"国有建设用地使用权"&amp;B9&amp;"预评估"</f>
        <v>北京市国家网络安全产业园区（通州）东部出让国有建设用地使用权抵押价格预评估</v>
      </c>
      <c r="C1" s="3729"/>
      <c r="D1" s="3729"/>
      <c r="E1" s="3729"/>
      <c r="F1" s="3729"/>
      <c r="G1" s="3729"/>
      <c r="H1" s="3729"/>
      <c r="I1" s="3730"/>
      <c r="J1" s="2815"/>
      <c r="K1" s="2106" t="str">
        <f>IF(B10="北京市","北京市",C10)&amp;F10&amp;A17&amp;"国有建设用地使用权"&amp;B9</f>
        <v>北京市国家网络安全产业园区（通州）东部出让国有建设用地使用权抵押价格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北京市国家网络安全产业园区（通州）东部出让国有建设用地使用权</v>
      </c>
      <c r="L2" s="2794"/>
      <c r="M2" s="2794"/>
      <c r="N2" s="2795"/>
      <c r="O2" s="2796"/>
      <c r="P2" s="2795"/>
      <c r="Q2" s="2795"/>
      <c r="R2" s="2795"/>
      <c r="S2" s="2795"/>
      <c r="T2" s="2795"/>
      <c r="U2" s="2795"/>
    </row>
    <row r="3" spans="1:21">
      <c r="A3" s="1464" t="s">
        <v>1459</v>
      </c>
      <c r="B3" s="1465">
        <v>45040</v>
      </c>
      <c r="C3" s="2738" t="s">
        <v>1511</v>
      </c>
      <c r="D3" s="1465">
        <f>B3</f>
        <v>45040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3326</v>
      </c>
      <c r="C4" s="1629">
        <f ca="1">SUMIF(土地估价师,B4,估价师及机构信息!E3:E17)</f>
        <v>2010110070</v>
      </c>
      <c r="D4" s="1626" t="s">
        <v>3327</v>
      </c>
      <c r="E4" s="1629">
        <f ca="1">SUMIF(土地估价师,D4,估价师及机构信息!E3:E17)</f>
        <v>2011110090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崔锴、赵雯</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1986</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1987</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3211</v>
      </c>
      <c r="C8" s="1474"/>
      <c r="D8" s="3734" t="s">
        <v>1464</v>
      </c>
      <c r="E8" s="1627" t="s">
        <v>3328</v>
      </c>
      <c r="F8" s="1475"/>
      <c r="G8" s="2816"/>
      <c r="H8" s="2816"/>
      <c r="I8" s="2819"/>
      <c r="J8" s="2815"/>
      <c r="K8" s="2798"/>
      <c r="L8" s="2794"/>
      <c r="M8" s="2794"/>
      <c r="N8" s="2795"/>
      <c r="O8" s="2796"/>
      <c r="P8" s="2795"/>
      <c r="Q8" s="2795"/>
      <c r="R8" s="2795"/>
      <c r="S8" s="2795"/>
      <c r="T8" s="2795"/>
      <c r="U8" s="2795"/>
    </row>
    <row r="9" spans="1:21" ht="15" thickBot="1">
      <c r="A9" s="2740" t="s">
        <v>1463</v>
      </c>
      <c r="B9" s="1476" t="s">
        <v>3328</v>
      </c>
      <c r="C9" s="1477"/>
      <c r="D9" s="3735"/>
      <c r="E9" s="1476" t="s">
        <v>877</v>
      </c>
      <c r="F9" s="1535"/>
      <c r="G9" s="2820"/>
      <c r="H9" s="2820"/>
      <c r="I9" s="2821"/>
      <c r="J9" s="2815"/>
      <c r="K9" s="2798"/>
      <c r="L9" s="2794"/>
      <c r="M9" s="2794"/>
      <c r="N9" s="2795"/>
      <c r="O9" s="2796"/>
      <c r="P9" s="2795"/>
      <c r="Q9" s="2795"/>
      <c r="R9" s="2795"/>
      <c r="S9" s="2795"/>
      <c r="T9" s="2795"/>
      <c r="U9" s="2795"/>
    </row>
    <row r="10" spans="1:21" ht="15" thickTop="1">
      <c r="A10" s="2741" t="s">
        <v>1515</v>
      </c>
      <c r="B10" s="1512" t="s">
        <v>1465</v>
      </c>
      <c r="C10" s="1478" t="s">
        <v>3329</v>
      </c>
      <c r="D10" s="1470"/>
      <c r="E10" s="1479" t="s">
        <v>1466</v>
      </c>
      <c r="F10" s="3672" t="str">
        <f>资料!B4</f>
        <v>国家网络安全产业园区（通州）东部</v>
      </c>
      <c r="G10" s="1533"/>
      <c r="H10" s="1534"/>
      <c r="I10" s="1470"/>
      <c r="J10" s="2815"/>
      <c r="K10" s="2798"/>
      <c r="L10" s="2794"/>
      <c r="M10" s="2794"/>
      <c r="N10" s="2795"/>
      <c r="O10" s="2796"/>
      <c r="P10" s="2795"/>
      <c r="Q10" s="2795"/>
      <c r="R10" s="2795"/>
      <c r="S10" s="2795"/>
      <c r="T10" s="2795"/>
      <c r="U10" s="2795"/>
    </row>
    <row r="11" spans="1:21">
      <c r="A11" s="2742" t="s">
        <v>1516</v>
      </c>
      <c r="B11" s="1492" t="s">
        <v>3330</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1574</v>
      </c>
      <c r="B12" s="3731"/>
      <c r="C12" s="3732"/>
      <c r="D12" s="3733"/>
      <c r="E12" s="1493" t="s">
        <v>1577</v>
      </c>
      <c r="F12" s="3749" t="s">
        <v>2160</v>
      </c>
      <c r="G12" s="3750"/>
      <c r="H12" s="3750"/>
      <c r="I12" s="3751"/>
      <c r="J12" s="2815"/>
      <c r="K12" s="2798"/>
      <c r="L12" s="2794"/>
      <c r="M12" s="2794"/>
      <c r="N12" s="2795"/>
      <c r="O12" s="2796"/>
      <c r="P12" s="2795"/>
      <c r="Q12" s="2795"/>
      <c r="R12" s="2795"/>
      <c r="S12" s="2795"/>
      <c r="T12" s="2795"/>
      <c r="U12" s="2795"/>
    </row>
    <row r="13" spans="1:21">
      <c r="A13" s="1484" t="s">
        <v>1575</v>
      </c>
      <c r="B13" s="3731"/>
      <c r="C13" s="3732"/>
      <c r="D13" s="3733"/>
      <c r="E13" s="1493" t="s">
        <v>1577</v>
      </c>
      <c r="F13" s="3749" t="s">
        <v>2161</v>
      </c>
      <c r="G13" s="3750"/>
      <c r="H13" s="3750"/>
      <c r="I13" s="3751"/>
      <c r="J13" s="2815"/>
      <c r="K13" s="2798"/>
      <c r="L13" s="2794"/>
      <c r="M13" s="2794"/>
      <c r="N13" s="2795"/>
      <c r="O13" s="2796"/>
      <c r="P13" s="2795"/>
      <c r="Q13" s="2795"/>
      <c r="R13" s="2795"/>
      <c r="S13" s="2795"/>
      <c r="T13" s="2795"/>
      <c r="U13" s="2795"/>
    </row>
    <row r="14" spans="1:21">
      <c r="A14" s="1464" t="s">
        <v>1578</v>
      </c>
      <c r="B14" s="1493"/>
      <c r="C14" s="1628" t="s">
        <v>3331</v>
      </c>
      <c r="D14" s="1526" t="str">
        <f>IF(C14="不一致","是否符合证载地类范围","")</f>
        <v/>
      </c>
      <c r="E14" s="1493"/>
      <c r="F14" s="1575" t="s">
        <v>3332</v>
      </c>
      <c r="G14" s="1521"/>
      <c r="H14" s="1521"/>
      <c r="I14" s="1621"/>
      <c r="J14" s="2815"/>
      <c r="K14" s="2798"/>
      <c r="L14" s="2794"/>
      <c r="M14" s="2794"/>
      <c r="N14" s="2795"/>
      <c r="O14" s="2796"/>
      <c r="P14" s="2795"/>
      <c r="Q14" s="2795"/>
      <c r="R14" s="2795"/>
      <c r="S14" s="2795"/>
      <c r="T14" s="2795"/>
      <c r="U14" s="2795"/>
    </row>
    <row r="15" spans="1:21">
      <c r="A15" s="2249"/>
      <c r="B15" s="1466"/>
      <c r="C15" s="3279" t="s">
        <v>1469</v>
      </c>
      <c r="D15" s="3279" t="s">
        <v>1470</v>
      </c>
      <c r="E15" s="3279" t="s">
        <v>1179</v>
      </c>
      <c r="F15" s="1483" t="s">
        <v>1471</v>
      </c>
      <c r="G15" s="1483" t="s">
        <v>1472</v>
      </c>
      <c r="H15" s="1483" t="s">
        <v>776</v>
      </c>
      <c r="I15" s="1483" t="s">
        <v>2735</v>
      </c>
      <c r="J15" s="2815"/>
      <c r="K15" s="2798"/>
      <c r="L15" s="2794"/>
      <c r="M15" s="2794"/>
      <c r="N15" s="2795"/>
      <c r="O15" s="2796"/>
      <c r="P15" s="2795"/>
      <c r="Q15" s="2795"/>
      <c r="R15" s="2795"/>
      <c r="S15" s="2795"/>
      <c r="T15" s="2795"/>
      <c r="U15" s="2795"/>
    </row>
    <row r="16" spans="1:21" ht="28.5">
      <c r="A16" s="2743" t="s">
        <v>1467</v>
      </c>
      <c r="B16" s="1493" t="s">
        <v>1468</v>
      </c>
      <c r="C16" s="3279" t="s">
        <v>1469</v>
      </c>
      <c r="D16" s="1515" t="s">
        <v>2736</v>
      </c>
      <c r="E16" s="1515" t="s">
        <v>1212</v>
      </c>
      <c r="F16" s="1515" t="s">
        <v>2737</v>
      </c>
      <c r="G16" s="1515" t="s">
        <v>2738</v>
      </c>
      <c r="H16" s="1483" t="s">
        <v>776</v>
      </c>
      <c r="I16" s="1483" t="s">
        <v>2735</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工业2041年8月5日</v>
      </c>
      <c r="T16" s="1493" t="str">
        <f>IF(OR(S16="",U16=""),"","、")</f>
        <v/>
      </c>
      <c r="U16" s="2107" t="str">
        <f>IF(I17="","",I16&amp;TEXT(I17,"yyyy年m月d日;;"))</f>
        <v/>
      </c>
    </row>
    <row r="17" spans="1:21">
      <c r="A17" s="3333" t="s">
        <v>2739</v>
      </c>
      <c r="B17" s="2744" t="s">
        <v>1473</v>
      </c>
      <c r="C17" s="3332"/>
      <c r="D17" s="3332"/>
      <c r="E17" s="3332"/>
      <c r="F17" s="3332"/>
      <c r="G17" s="3332"/>
      <c r="H17" s="3332">
        <f>资料!B27</f>
        <v>51718</v>
      </c>
      <c r="I17" s="3332"/>
      <c r="J17" s="2815"/>
      <c r="K17" s="2793" t="str">
        <f>CONCATENATE(K16,L16,M16,N16,O16,P16,Q16,R16,S16,T16,,U16)</f>
        <v>工业2041年8月5日</v>
      </c>
      <c r="L17" s="2794"/>
      <c r="M17" s="2794"/>
      <c r="N17" s="2795"/>
      <c r="O17" s="2796"/>
      <c r="P17" s="2795"/>
      <c r="Q17" s="2795"/>
      <c r="R17" s="2795"/>
      <c r="S17" s="2795"/>
      <c r="T17" s="2795"/>
      <c r="U17" s="2795"/>
    </row>
    <row r="18" spans="1:21">
      <c r="A18" s="1551"/>
      <c r="B18" s="2744" t="s">
        <v>1474</v>
      </c>
      <c r="C18" s="1481"/>
      <c r="D18" s="1481"/>
      <c r="E18" s="1481"/>
      <c r="F18" s="1481"/>
      <c r="G18" s="1481"/>
      <c r="H18" s="1481">
        <v>20</v>
      </c>
      <c r="I18" s="1481"/>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t="str">
        <f>IF(A17="出让",IF(F17="","",ROUNDDOWN(MIN((F17-$D$3)/365,F18),2)),F18)</f>
        <v/>
      </c>
      <c r="G19" s="1482" t="str">
        <f>IF(A17="出让",IF(G17="","",ROUNDDOWN(MIN((G17-$D$3)/365,G18),2)),G18)</f>
        <v/>
      </c>
      <c r="H19" s="1482">
        <f>IF(A17="出让",IF(H17="","",ROUNDDOWN(MIN((H17-$D$3)/365,H18),2)),H18)</f>
        <v>18.29</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1576</v>
      </c>
      <c r="D20" s="3746"/>
      <c r="E20" s="3747"/>
      <c r="F20" s="3747"/>
      <c r="G20" s="3747"/>
      <c r="H20" s="3747"/>
      <c r="I20" s="3748"/>
      <c r="J20" s="2815"/>
      <c r="K20" s="2798"/>
      <c r="L20" s="2794"/>
      <c r="M20" s="2794"/>
      <c r="N20" s="2795"/>
      <c r="O20" s="2796"/>
      <c r="P20" s="2795"/>
      <c r="Q20" s="2795"/>
      <c r="R20" s="2795"/>
      <c r="S20" s="2795"/>
      <c r="T20" s="2795"/>
      <c r="U20" s="2795"/>
    </row>
    <row r="21" spans="1:21">
      <c r="A21" s="1551" t="s">
        <v>1476</v>
      </c>
      <c r="B21" s="1552" t="s">
        <v>1477</v>
      </c>
      <c r="C21" s="1547">
        <f>'数据-汇总表'!E3</f>
        <v>27041.94</v>
      </c>
      <c r="D21" s="1548" t="s">
        <v>1478</v>
      </c>
      <c r="E21" s="3736" t="s">
        <v>1514</v>
      </c>
      <c r="F21" s="3737"/>
      <c r="G21" s="3737"/>
      <c r="H21" s="3737"/>
      <c r="I21" s="3738"/>
      <c r="J21" s="2815"/>
      <c r="K21" s="2798"/>
      <c r="L21" s="2794"/>
      <c r="M21" s="2794"/>
      <c r="N21" s="2795"/>
      <c r="O21" s="2796"/>
      <c r="P21" s="2795"/>
      <c r="Q21" s="2795"/>
      <c r="R21" s="2795"/>
      <c r="S21" s="2795"/>
      <c r="T21" s="2795"/>
      <c r="U21" s="2795"/>
    </row>
    <row r="22" spans="1:21">
      <c r="A22" s="2555" t="s">
        <v>877</v>
      </c>
      <c r="B22" s="1464" t="s">
        <v>1479</v>
      </c>
      <c r="C22" s="1483">
        <f>'数据-汇总表'!D3</f>
        <v>17315.580000000002</v>
      </c>
      <c r="D22" s="1484" t="s">
        <v>1478</v>
      </c>
      <c r="E22" s="3736" t="s">
        <v>2162</v>
      </c>
      <c r="F22" s="3737"/>
      <c r="G22" s="3737"/>
      <c r="H22" s="3737"/>
      <c r="I22" s="3738"/>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39" t="s">
        <v>1484</v>
      </c>
      <c r="C24" s="3740"/>
      <c r="D24" s="3741" t="s">
        <v>1485</v>
      </c>
      <c r="E24" s="3742"/>
      <c r="F24" s="1501" t="s">
        <v>1486</v>
      </c>
      <c r="G24" s="2815"/>
      <c r="H24" s="2815"/>
      <c r="I24" s="2819"/>
      <c r="J24" s="2815"/>
      <c r="K24" s="3727" t="s">
        <v>1487</v>
      </c>
      <c r="L24" s="210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16"/>
      <c r="N24" s="2795"/>
      <c r="O24" s="2796"/>
      <c r="P24" s="2795"/>
      <c r="Q24" s="2795"/>
      <c r="R24" s="2795"/>
      <c r="S24" s="2795"/>
      <c r="T24" s="2795"/>
      <c r="U24" s="2795"/>
    </row>
    <row r="25" spans="1:21" ht="28.5">
      <c r="A25" s="1539"/>
      <c r="B25" s="1536" t="s">
        <v>1680</v>
      </c>
      <c r="C25" s="1502" t="s">
        <v>1681</v>
      </c>
      <c r="D25" s="1503"/>
      <c r="E25" s="1504" t="s">
        <v>877</v>
      </c>
      <c r="F25" s="1505"/>
      <c r="G25" s="2815"/>
      <c r="H25" s="2815"/>
      <c r="I25" s="2819"/>
      <c r="J25" s="2815"/>
      <c r="K25" s="3727"/>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27"/>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1488</v>
      </c>
      <c r="B27" s="1541" t="s">
        <v>1489</v>
      </c>
      <c r="C27" s="1506"/>
      <c r="D27" s="2254" t="s">
        <v>1489</v>
      </c>
      <c r="E27" s="1507"/>
      <c r="F27" s="2822"/>
      <c r="G27" s="2815"/>
      <c r="H27" s="2815"/>
      <c r="I27" s="2819"/>
      <c r="J27" s="2815"/>
      <c r="K27" s="2798"/>
      <c r="L27" s="2794"/>
      <c r="M27" s="2794"/>
      <c r="N27" s="2795"/>
      <c r="O27" s="2796"/>
      <c r="P27" s="2795"/>
      <c r="Q27" s="2795"/>
      <c r="R27" s="2795"/>
      <c r="S27" s="2795"/>
      <c r="T27" s="2795"/>
      <c r="U27" s="2795"/>
    </row>
    <row r="28" spans="1:21">
      <c r="A28" s="1544"/>
      <c r="B28" s="1541" t="s">
        <v>1490</v>
      </c>
      <c r="C28" s="1508"/>
      <c r="D28" s="2255" t="s">
        <v>1490</v>
      </c>
      <c r="E28" s="1509"/>
      <c r="F28" s="2822"/>
      <c r="G28" s="2815"/>
      <c r="H28" s="2815"/>
      <c r="I28" s="2819"/>
      <c r="J28" s="2815"/>
      <c r="K28" s="2798"/>
      <c r="L28" s="2794"/>
      <c r="M28" s="2794"/>
      <c r="N28" s="2795"/>
      <c r="O28" s="2796"/>
      <c r="P28" s="2795"/>
      <c r="Q28" s="2795"/>
      <c r="R28" s="2795"/>
      <c r="S28" s="2795"/>
      <c r="T28" s="2795"/>
      <c r="U28" s="2795"/>
    </row>
    <row r="29" spans="1:21">
      <c r="A29" s="1544"/>
      <c r="B29" s="1541" t="s">
        <v>1491</v>
      </c>
      <c r="C29" s="1508"/>
      <c r="D29" s="2255" t="s">
        <v>1491</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1492</v>
      </c>
      <c r="C30" s="1510"/>
      <c r="D30" s="2256" t="s">
        <v>1492</v>
      </c>
      <c r="E30" s="1511"/>
      <c r="F30" s="2823"/>
      <c r="G30" s="2820"/>
      <c r="H30" s="2820"/>
      <c r="I30" s="2821"/>
      <c r="J30" s="2815"/>
      <c r="K30" s="2798"/>
      <c r="L30" s="2794"/>
      <c r="M30" s="2794"/>
      <c r="N30" s="2795"/>
      <c r="O30" s="2796"/>
      <c r="P30" s="2795"/>
      <c r="Q30" s="2795"/>
      <c r="R30" s="2795"/>
      <c r="S30" s="2795"/>
      <c r="T30" s="2795"/>
      <c r="U30" s="2795"/>
    </row>
    <row r="31" spans="1:21" ht="15" thickTop="1">
      <c r="A31" s="3713" t="s">
        <v>1517</v>
      </c>
      <c r="B31" s="1552" t="s">
        <v>1518</v>
      </c>
      <c r="C31" s="3752" t="s">
        <v>3333</v>
      </c>
      <c r="D31" s="3753"/>
      <c r="E31" s="2815"/>
      <c r="F31" s="2815"/>
      <c r="G31" s="2815"/>
      <c r="H31" s="2815"/>
      <c r="I31" s="2819"/>
      <c r="J31" s="2815"/>
      <c r="K31" s="2801"/>
      <c r="L31" s="2795"/>
      <c r="M31" s="2795"/>
      <c r="N31" s="2795"/>
      <c r="O31" s="2795"/>
      <c r="P31" s="2795"/>
      <c r="Q31" s="2795"/>
      <c r="R31" s="2795"/>
      <c r="S31" s="2795"/>
      <c r="T31" s="2795"/>
      <c r="U31" s="2795"/>
    </row>
    <row r="32" spans="1:21">
      <c r="A32" s="3713"/>
      <c r="B32" s="1464" t="s">
        <v>1519</v>
      </c>
      <c r="C32" s="1512" t="s">
        <v>3334</v>
      </c>
      <c r="D32" s="1513"/>
      <c r="E32" s="2815"/>
      <c r="F32" s="2815"/>
      <c r="G32" s="2815"/>
      <c r="H32" s="2815"/>
      <c r="I32" s="2819"/>
      <c r="J32" s="2815"/>
      <c r="K32" s="2801"/>
      <c r="L32" s="2795"/>
      <c r="M32" s="2795"/>
      <c r="N32" s="2795"/>
      <c r="O32" s="2795"/>
      <c r="P32" s="2795"/>
      <c r="Q32" s="2795"/>
      <c r="R32" s="2795"/>
      <c r="S32" s="2795"/>
      <c r="T32" s="2795"/>
      <c r="U32" s="2795"/>
    </row>
    <row r="33" spans="1:28">
      <c r="A33" s="3713"/>
      <c r="B33" s="1464" t="s">
        <v>1520</v>
      </c>
      <c r="C33" s="1514" t="s">
        <v>3335</v>
      </c>
      <c r="D33" s="1622"/>
      <c r="E33" s="2815"/>
      <c r="F33" s="2815"/>
      <c r="G33" s="2815"/>
      <c r="H33" s="2815"/>
      <c r="I33" s="2819"/>
      <c r="J33" s="2815"/>
      <c r="K33" s="2801"/>
      <c r="L33" s="2795"/>
      <c r="M33" s="2795"/>
      <c r="N33" s="2795"/>
      <c r="O33" s="2795"/>
      <c r="P33" s="2795"/>
      <c r="Q33" s="2795"/>
      <c r="R33" s="2795"/>
      <c r="S33" s="2795"/>
      <c r="T33" s="2795"/>
      <c r="U33" s="2795"/>
    </row>
    <row r="34" spans="1:28">
      <c r="A34" s="3714"/>
      <c r="B34" s="1464" t="s">
        <v>1521</v>
      </c>
      <c r="C34" s="3715"/>
      <c r="D34" s="3716"/>
      <c r="E34" s="2815"/>
      <c r="F34" s="2815"/>
      <c r="G34" s="2815"/>
      <c r="H34" s="2815"/>
      <c r="I34" s="2819"/>
      <c r="J34" s="2815"/>
      <c r="K34" s="2801"/>
      <c r="L34" s="2795"/>
      <c r="M34" s="2795"/>
      <c r="N34" s="2795"/>
      <c r="O34" s="2795"/>
      <c r="P34" s="2795"/>
      <c r="Q34" s="2795"/>
      <c r="R34" s="2795"/>
      <c r="S34" s="2795"/>
      <c r="T34" s="2795"/>
      <c r="U34" s="2795"/>
    </row>
    <row r="35" spans="1:28">
      <c r="A35" s="3717" t="s">
        <v>785</v>
      </c>
      <c r="B35" s="1515" t="s">
        <v>3336</v>
      </c>
      <c r="C35" s="1561" t="str">
        <f>IF(B35="场地平整","——","具体情况：")</f>
        <v>——</v>
      </c>
      <c r="D35" s="3719"/>
      <c r="E35" s="3720"/>
      <c r="F35" s="3720"/>
      <c r="G35" s="3720"/>
      <c r="H35" s="3720"/>
      <c r="I35" s="3721"/>
      <c r="J35" s="2815"/>
      <c r="K35" s="2802"/>
      <c r="L35" s="2794"/>
      <c r="M35" s="2794"/>
      <c r="N35" s="2795"/>
      <c r="O35" s="2796"/>
      <c r="P35" s="2795"/>
      <c r="Q35" s="2795"/>
      <c r="R35" s="2795"/>
      <c r="S35" s="2795"/>
      <c r="T35" s="2795"/>
      <c r="U35" s="2795"/>
    </row>
    <row r="36" spans="1:28">
      <c r="A36" s="3713"/>
      <c r="B36" s="3722" t="s">
        <v>1570</v>
      </c>
      <c r="C36" s="3723"/>
      <c r="D36" s="1577" t="s">
        <v>2770</v>
      </c>
      <c r="E36" s="3724"/>
      <c r="F36" s="3724"/>
      <c r="G36" s="1484" t="str">
        <f>IF(B35="场地未平整","估价结果处理","")</f>
        <v/>
      </c>
      <c r="H36" s="3725"/>
      <c r="I36" s="3725"/>
      <c r="J36" s="2815"/>
      <c r="K36" s="2802"/>
      <c r="L36" s="2794"/>
      <c r="M36" s="2794"/>
      <c r="N36" s="2795"/>
      <c r="O36" s="2796"/>
      <c r="P36" s="2795"/>
      <c r="Q36" s="2795"/>
      <c r="R36" s="2795"/>
      <c r="S36" s="2795"/>
      <c r="T36" s="2795"/>
      <c r="U36" s="2795"/>
    </row>
    <row r="37" spans="1:28" ht="28.5">
      <c r="A37" s="3713"/>
      <c r="B37" s="3743"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13"/>
      <c r="B38" s="3744"/>
      <c r="C38" s="1472"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14"/>
      <c r="B39" s="3745"/>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1493</v>
      </c>
      <c r="B40" s="1485" t="s">
        <v>2763</v>
      </c>
      <c r="C40" s="1485" t="s">
        <v>2764</v>
      </c>
      <c r="D40" s="1485" t="s">
        <v>2765</v>
      </c>
      <c r="E40" s="1485" t="s">
        <v>2766</v>
      </c>
      <c r="F40" s="1485" t="s">
        <v>2767</v>
      </c>
      <c r="G40" s="1485" t="s">
        <v>2769</v>
      </c>
      <c r="H40" s="1485" t="s">
        <v>2770</v>
      </c>
      <c r="I40" s="2819"/>
      <c r="J40" s="2815"/>
      <c r="K40" s="2763">
        <f>COUNTIF(B40:H40,"——")</f>
        <v>0</v>
      </c>
      <c r="L40" s="1493" t="s">
        <v>1494</v>
      </c>
      <c r="M40" s="1490" t="s">
        <v>1495</v>
      </c>
      <c r="N40" s="1490" t="s">
        <v>1496</v>
      </c>
      <c r="O40" s="1490" t="s">
        <v>1497</v>
      </c>
      <c r="P40" s="1490" t="s">
        <v>1498</v>
      </c>
      <c r="Q40" s="1490" t="s">
        <v>1499</v>
      </c>
      <c r="R40" s="1490" t="s">
        <v>1500</v>
      </c>
      <c r="S40" s="3726" t="s">
        <v>1501</v>
      </c>
      <c r="T40" s="1524" t="str">
        <f>NUMBERSTRING(7-K40,1)&amp;"通"</f>
        <v>七通</v>
      </c>
      <c r="U40" s="2795"/>
    </row>
    <row r="41" spans="1:28">
      <c r="A41" s="1466"/>
      <c r="B41" s="3718" t="s">
        <v>1250</v>
      </c>
      <c r="C41" s="3718"/>
      <c r="D41" s="3718"/>
      <c r="E41" s="3718"/>
      <c r="F41" s="1525" t="str">
        <f>C10</f>
        <v>通州区</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通路、通电、通讯、通上水、通下水、燃气</v>
      </c>
      <c r="R41" s="1527" t="str">
        <f>B40&amp;"、"&amp;C40&amp;"、"&amp;D40&amp;"、"&amp;E40&amp;"、"&amp;F40&amp;"、"&amp;G40&amp;"、"&amp;H40</f>
        <v>通路、通电、通讯、通上水、通下水、燃气、平整</v>
      </c>
      <c r="S41" s="3726"/>
      <c r="T41" s="1526" t="str">
        <f>IF(T40="一通",L41,IF(T40="二通",M41,IF(T40="三通",N41,IF(T40="四通",O41,IF(T40="五通",P41,IF(T40="六通",Q41,R41))))))</f>
        <v>通路、通电、通讯、通上水、通下水、燃气、平整</v>
      </c>
      <c r="U41" s="2795"/>
    </row>
    <row r="42" spans="1:28">
      <c r="A42" s="1528"/>
      <c r="B42" s="1554" t="s">
        <v>1422</v>
      </c>
      <c r="C42" s="1554" t="s">
        <v>1423</v>
      </c>
      <c r="D42" s="1554" t="s">
        <v>1424</v>
      </c>
      <c r="E42" s="3279" t="s">
        <v>2740</v>
      </c>
      <c r="F42" s="3279" t="s">
        <v>2741</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1155</v>
      </c>
      <c r="F43" s="1530"/>
      <c r="G43" s="2815"/>
      <c r="H43" s="2815"/>
      <c r="I43" s="2819"/>
      <c r="J43" s="2815"/>
      <c r="K43" s="2798"/>
      <c r="L43" s="2794"/>
      <c r="M43" s="2794"/>
      <c r="N43" s="2795"/>
      <c r="O43" s="2796"/>
      <c r="P43" s="2795"/>
      <c r="Q43" s="2795"/>
      <c r="R43" s="2795"/>
      <c r="S43" s="2795"/>
      <c r="T43" s="2795"/>
      <c r="U43" s="2795"/>
    </row>
    <row r="44" spans="1:28" ht="28.5">
      <c r="A44" s="2766" t="s">
        <v>1236</v>
      </c>
      <c r="B44" s="1530"/>
      <c r="C44" s="1530"/>
      <c r="D44" s="1530"/>
      <c r="E44" s="1577" t="s">
        <v>2942</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2163</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1522</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1523</v>
      </c>
      <c r="B48" s="1483" t="s">
        <v>1524</v>
      </c>
      <c r="C48" s="1483" t="s">
        <v>1525</v>
      </c>
      <c r="D48" s="1483" t="s">
        <v>1526</v>
      </c>
      <c r="E48" s="1483" t="s">
        <v>1527</v>
      </c>
      <c r="F48" s="1483" t="s">
        <v>1528</v>
      </c>
      <c r="G48" s="1483" t="s">
        <v>1529</v>
      </c>
      <c r="H48" s="1483" t="s">
        <v>1530</v>
      </c>
      <c r="I48" s="1483" t="s">
        <v>1531</v>
      </c>
      <c r="J48" s="1560" t="s">
        <v>1532</v>
      </c>
      <c r="K48" s="2808" t="s">
        <v>1533</v>
      </c>
      <c r="L48" s="2808" t="s">
        <v>1534</v>
      </c>
      <c r="M48" s="2808" t="s">
        <v>1535</v>
      </c>
      <c r="N48" s="2809" t="s">
        <v>1536</v>
      </c>
      <c r="O48" s="2809" t="s">
        <v>1537</v>
      </c>
      <c r="P48" s="2809" t="s">
        <v>1538</v>
      </c>
      <c r="Q48" s="2800" t="s">
        <v>1539</v>
      </c>
      <c r="R48" s="2800" t="s">
        <v>1540</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7" sqref="J2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1688</v>
      </c>
      <c r="BA2" s="2057"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资料!B3</f>
        <v>17315.577000000001</v>
      </c>
      <c r="B3" s="20">
        <f>IF(C3="否",G5-AT5,G5)</f>
        <v>27041.94</v>
      </c>
      <c r="C3" s="21" t="s">
        <v>3335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28950.09</v>
      </c>
      <c r="H5" s="25">
        <f t="shared" ref="H5:AT5" si="0">SUM(H13:H641)</f>
        <v>25270.32</v>
      </c>
      <c r="I5" s="25">
        <f t="shared" si="0"/>
        <v>20593.5</v>
      </c>
      <c r="J5" s="25">
        <f t="shared" si="0"/>
        <v>0</v>
      </c>
      <c r="K5" s="25">
        <f t="shared" si="0"/>
        <v>4676.82</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1771.62</v>
      </c>
      <c r="AD5" s="25">
        <f t="shared" si="0"/>
        <v>0</v>
      </c>
      <c r="AE5" s="25">
        <f t="shared" si="0"/>
        <v>0</v>
      </c>
      <c r="AF5" s="25">
        <f t="shared" si="0"/>
        <v>0</v>
      </c>
      <c r="AG5" s="25">
        <f t="shared" si="0"/>
        <v>0</v>
      </c>
      <c r="AH5" s="25">
        <f t="shared" si="0"/>
        <v>0</v>
      </c>
      <c r="AI5" s="25">
        <f t="shared" si="0"/>
        <v>0</v>
      </c>
      <c r="AJ5" s="25">
        <f t="shared" si="0"/>
        <v>0</v>
      </c>
      <c r="AK5" s="25">
        <f t="shared" si="0"/>
        <v>0</v>
      </c>
      <c r="AL5" s="25">
        <f t="shared" si="0"/>
        <v>135</v>
      </c>
      <c r="AM5" s="25">
        <f t="shared" si="0"/>
        <v>0</v>
      </c>
      <c r="AN5" s="25">
        <f t="shared" si="0"/>
        <v>1636.62</v>
      </c>
      <c r="AO5" s="25">
        <f t="shared" si="0"/>
        <v>0</v>
      </c>
      <c r="AP5" s="25">
        <f t="shared" si="0"/>
        <v>0</v>
      </c>
      <c r="AQ5" s="25">
        <f t="shared" si="0"/>
        <v>0</v>
      </c>
      <c r="AR5" s="25">
        <f t="shared" si="0"/>
        <v>0</v>
      </c>
      <c r="AS5" s="25">
        <f t="shared" si="0"/>
        <v>0</v>
      </c>
      <c r="AT5" s="25">
        <f t="shared" si="0"/>
        <v>1908.15</v>
      </c>
      <c r="AU5" s="950"/>
      <c r="AV5" s="24" t="s">
        <v>134</v>
      </c>
      <c r="AW5" s="951"/>
      <c r="AX5" s="951"/>
      <c r="AY5" s="26" t="s">
        <v>2</v>
      </c>
      <c r="AZ5" s="27">
        <f t="shared" ref="AZ5:BT5" si="1">SUM(AZ13:AZ641)</f>
        <v>27041.94</v>
      </c>
      <c r="BA5" s="27">
        <f t="shared" si="1"/>
        <v>25270.32</v>
      </c>
      <c r="BB5" s="27">
        <f t="shared" si="1"/>
        <v>20593.5</v>
      </c>
      <c r="BC5" s="27">
        <f t="shared" si="1"/>
        <v>4676.82</v>
      </c>
      <c r="BD5" s="27">
        <f t="shared" si="1"/>
        <v>0</v>
      </c>
      <c r="BE5" s="27">
        <f t="shared" si="1"/>
        <v>0</v>
      </c>
      <c r="BF5" s="27">
        <f t="shared" si="1"/>
        <v>0</v>
      </c>
      <c r="BG5" s="27">
        <f t="shared" si="1"/>
        <v>0</v>
      </c>
      <c r="BH5" s="27">
        <f t="shared" si="1"/>
        <v>0</v>
      </c>
      <c r="BI5" s="27">
        <f t="shared" si="1"/>
        <v>0</v>
      </c>
      <c r="BJ5" s="27">
        <f t="shared" si="1"/>
        <v>0</v>
      </c>
      <c r="BK5" s="27">
        <f t="shared" si="1"/>
        <v>0</v>
      </c>
      <c r="BL5" s="27">
        <f t="shared" si="1"/>
        <v>1771.62</v>
      </c>
      <c r="BM5" s="27">
        <f t="shared" si="1"/>
        <v>0</v>
      </c>
      <c r="BN5" s="27">
        <f t="shared" si="1"/>
        <v>0</v>
      </c>
      <c r="BO5" s="27">
        <f t="shared" si="1"/>
        <v>0</v>
      </c>
      <c r="BP5" s="27">
        <f t="shared" si="1"/>
        <v>0</v>
      </c>
      <c r="BQ5" s="27">
        <f t="shared" si="1"/>
        <v>135</v>
      </c>
      <c r="BR5" s="27">
        <f t="shared" si="1"/>
        <v>1636.62</v>
      </c>
      <c r="BS5" s="27">
        <f t="shared" si="1"/>
        <v>0</v>
      </c>
      <c r="BT5" s="28">
        <f t="shared" si="1"/>
        <v>0</v>
      </c>
    </row>
    <row r="6" spans="1:72" s="35" customFormat="1" ht="12.75">
      <c r="A6" s="24" t="s">
        <v>135</v>
      </c>
      <c r="B6" s="29"/>
      <c r="C6" s="29"/>
      <c r="D6" s="30"/>
      <c r="E6" s="25">
        <f>H6+AC6+AT6</f>
        <v>17315.580000000002</v>
      </c>
      <c r="F6" s="25" t="s">
        <v>0</v>
      </c>
      <c r="G6" s="25" t="s">
        <v>1</v>
      </c>
      <c r="H6" s="31">
        <f>SUMIF(I$12:AB$12,"总值",I6:AB6)</f>
        <v>16181.17</v>
      </c>
      <c r="I6" s="25">
        <f t="shared" ref="I6:AB6" si="2">ROUND($A$3*I5/$B$3,2)</f>
        <v>13186.49</v>
      </c>
      <c r="J6" s="25">
        <f t="shared" si="2"/>
        <v>0</v>
      </c>
      <c r="K6" s="25">
        <f t="shared" si="2"/>
        <v>2994.68</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1134.4100000000001</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86.44</v>
      </c>
      <c r="AM6" s="25">
        <f t="shared" si="3"/>
        <v>0</v>
      </c>
      <c r="AN6" s="25">
        <f t="shared" si="3"/>
        <v>1047.97</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17315.580000000002</v>
      </c>
      <c r="AZ6" s="25" t="s">
        <v>2</v>
      </c>
      <c r="BA6" s="25">
        <f>ROUND($AY$6*BA5/$AZ$5,2)</f>
        <v>16181.17</v>
      </c>
      <c r="BB6" s="25">
        <f>ROUND($AY$6*BB5/$AZ$5,2)</f>
        <v>13186.49</v>
      </c>
      <c r="BC6" s="25">
        <f t="shared" ref="BC6:BH6" si="4">ROUND($AY$6*BC5/$AZ$5,2)</f>
        <v>2994.68</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1134.4100000000001</v>
      </c>
      <c r="BM6" s="25">
        <f t="shared" si="5"/>
        <v>0</v>
      </c>
      <c r="BN6" s="25">
        <f t="shared" si="5"/>
        <v>0</v>
      </c>
      <c r="BO6" s="25">
        <f t="shared" si="5"/>
        <v>0</v>
      </c>
      <c r="BP6" s="25">
        <f t="shared" si="5"/>
        <v>0</v>
      </c>
      <c r="BQ6" s="25">
        <f t="shared" si="5"/>
        <v>86.44</v>
      </c>
      <c r="BR6" s="25">
        <f t="shared" si="5"/>
        <v>1047.97</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3294</v>
      </c>
      <c r="J9" s="49"/>
      <c r="K9" s="2490" t="s">
        <v>3296</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t="s">
        <v>2737</v>
      </c>
      <c r="L10" s="49"/>
      <c r="M10" s="2492"/>
      <c r="N10" s="49"/>
      <c r="O10" s="64"/>
      <c r="P10" s="49"/>
      <c r="Q10" s="64"/>
      <c r="R10" s="49"/>
      <c r="S10" s="64"/>
      <c r="T10" s="49"/>
      <c r="U10" s="64"/>
      <c r="V10" s="49"/>
      <c r="W10" s="64"/>
      <c r="X10" s="49"/>
      <c r="Y10" s="64"/>
      <c r="Z10" s="49"/>
      <c r="AA10" s="64"/>
      <c r="AB10" s="49"/>
      <c r="AC10" s="53"/>
      <c r="AD10" s="2031" t="s">
        <v>1672</v>
      </c>
      <c r="AE10" s="2053"/>
      <c r="AF10" s="2031" t="s">
        <v>1672</v>
      </c>
      <c r="AG10" s="2053"/>
      <c r="AH10" s="2031" t="s">
        <v>1673</v>
      </c>
      <c r="AI10" s="2053"/>
      <c r="AJ10" s="24" t="s">
        <v>1686</v>
      </c>
      <c r="AK10" s="2050"/>
      <c r="AL10" s="2031" t="s">
        <v>1674</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3338</v>
      </c>
      <c r="J11" s="69"/>
      <c r="K11" s="2491" t="s">
        <v>2737</v>
      </c>
      <c r="L11" s="69"/>
      <c r="M11" s="68"/>
      <c r="N11" s="69"/>
      <c r="O11" s="68"/>
      <c r="P11" s="69"/>
      <c r="Q11" s="68"/>
      <c r="R11" s="69"/>
      <c r="S11" s="68"/>
      <c r="T11" s="69"/>
      <c r="U11" s="68"/>
      <c r="V11" s="69"/>
      <c r="W11" s="68"/>
      <c r="X11" s="69"/>
      <c r="Y11" s="68"/>
      <c r="Z11" s="69"/>
      <c r="AA11" s="68"/>
      <c r="AB11" s="69"/>
      <c r="AC11" s="53"/>
      <c r="AD11" s="2051" t="s">
        <v>1685</v>
      </c>
      <c r="AE11" s="964"/>
      <c r="AF11" s="2051" t="s">
        <v>1685</v>
      </c>
      <c r="AG11" s="964"/>
      <c r="AH11" s="2051" t="s">
        <v>1684</v>
      </c>
      <c r="AI11" s="2052"/>
      <c r="AJ11" s="2051" t="s">
        <v>1684</v>
      </c>
      <c r="AK11" s="2050"/>
      <c r="AL11" s="962"/>
      <c r="AM11" s="964"/>
      <c r="AN11" s="962"/>
      <c r="AO11" s="964"/>
      <c r="AP11" s="1086"/>
      <c r="AQ11" s="1088"/>
      <c r="AR11" s="1086"/>
      <c r="AS11" s="1088"/>
      <c r="AT11" s="965"/>
      <c r="AU11" s="43"/>
      <c r="AV11" s="53"/>
      <c r="AW11" s="965"/>
      <c r="AX11" s="53"/>
      <c r="AY11" s="60"/>
      <c r="AZ11" s="60"/>
      <c r="BA11" s="60"/>
      <c r="BB11" s="48" t="str">
        <f>I10</f>
        <v>工业</v>
      </c>
      <c r="BC11" s="48" t="str">
        <f>K10</f>
        <v>车库</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3337</v>
      </c>
      <c r="E13" s="25">
        <f t="shared" ref="E13:E20" si="6">IF($C$3="是",ROUND($A$3*G13/$B$3,2),ROUND($A$3*(G13-AT13)/$B$3,2))</f>
        <v>17315.580000000002</v>
      </c>
      <c r="F13" s="78"/>
      <c r="G13" s="79">
        <f t="shared" ref="G13:G20" si="7">H13+AC13+AT13</f>
        <v>28950.09</v>
      </c>
      <c r="H13" s="31">
        <f t="shared" ref="H13:H20" si="8">SUMIF(I$12:AB$12,"总值",I13:AB13)</f>
        <v>25270.32</v>
      </c>
      <c r="I13" s="2489">
        <f>指标!C12</f>
        <v>20593.5</v>
      </c>
      <c r="J13" s="2489"/>
      <c r="K13" s="2489">
        <f>指标!D13</f>
        <v>4676.82</v>
      </c>
      <c r="L13" s="2489"/>
      <c r="M13" s="2489"/>
      <c r="N13" s="80"/>
      <c r="O13" s="80"/>
      <c r="P13" s="80"/>
      <c r="Q13" s="80"/>
      <c r="R13" s="80"/>
      <c r="S13" s="80"/>
      <c r="T13" s="80"/>
      <c r="U13" s="80"/>
      <c r="V13" s="80"/>
      <c r="W13" s="80"/>
      <c r="X13" s="80"/>
      <c r="Y13" s="80"/>
      <c r="Z13" s="80"/>
      <c r="AA13" s="80"/>
      <c r="AB13" s="80"/>
      <c r="AC13" s="25">
        <f t="shared" ref="AC13:AC20" si="9">SUMIF(AD$12:AS$12,"总值",AD13:AS13)</f>
        <v>1771.62</v>
      </c>
      <c r="AD13" s="2493"/>
      <c r="AE13" s="2493"/>
      <c r="AF13" s="2493"/>
      <c r="AG13" s="2493"/>
      <c r="AH13" s="2493"/>
      <c r="AI13" s="2493"/>
      <c r="AJ13" s="2493"/>
      <c r="AK13" s="2493"/>
      <c r="AL13" s="2493">
        <f>指标!C14</f>
        <v>135</v>
      </c>
      <c r="AM13" s="2493"/>
      <c r="AN13" s="2493">
        <f>指标!D14</f>
        <v>1636.62</v>
      </c>
      <c r="AO13" s="2493"/>
      <c r="AP13" s="2493"/>
      <c r="AQ13" s="2493"/>
      <c r="AR13" s="2493"/>
      <c r="AS13" s="2493"/>
      <c r="AT13" s="2494">
        <f>指标!C15+指标!D15</f>
        <v>1908.15</v>
      </c>
      <c r="AU13" s="2495"/>
      <c r="AV13" s="15">
        <f t="shared" ref="AV13:AX20" si="10">A13</f>
        <v>0</v>
      </c>
      <c r="AW13" s="15">
        <f t="shared" si="10"/>
        <v>0</v>
      </c>
      <c r="AX13" s="15">
        <f t="shared" si="10"/>
        <v>0</v>
      </c>
      <c r="AY13" s="958">
        <f t="shared" ref="AY13:AY20" si="11">ROUND($AY$6*AZ13/$AZ$5,2)</f>
        <v>17315.580000000002</v>
      </c>
      <c r="AZ13" s="25">
        <f t="shared" ref="AZ13:AZ20" si="12">BA13+BL13</f>
        <v>27041.94</v>
      </c>
      <c r="BA13" s="25">
        <f t="shared" ref="BA13:BA20" si="13">SUM(BB13:BK13)</f>
        <v>25270.32</v>
      </c>
      <c r="BB13" s="25">
        <f t="shared" ref="BB13:BB20" si="14">IF($D13="是",I13-J13,0)</f>
        <v>20593.5</v>
      </c>
      <c r="BC13" s="25">
        <f t="shared" ref="BC13:BC20" si="15">IF($D13="是",K13-L13,0)</f>
        <v>4676.82</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1771.62</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135</v>
      </c>
      <c r="BR13" s="25">
        <f t="shared" ref="BR13:BR20" si="30">IF($D13="是",AN13-AO13,0)</f>
        <v>1636.62</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1" sqref="G2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63" t="s">
        <v>169</v>
      </c>
      <c r="B2" s="3763"/>
      <c r="C2" s="3763"/>
      <c r="D2" s="1728" t="s">
        <v>170</v>
      </c>
      <c r="E2" s="102" t="s">
        <v>171</v>
      </c>
      <c r="F2" s="2824"/>
      <c r="G2" s="1096"/>
      <c r="H2" s="1097"/>
      <c r="I2" s="1098" t="s">
        <v>795</v>
      </c>
      <c r="J2" s="2824"/>
      <c r="K2" s="2824"/>
      <c r="L2" s="2824"/>
      <c r="M2" s="2824"/>
      <c r="N2" s="2824"/>
      <c r="O2" s="2824"/>
      <c r="P2" s="2824"/>
    </row>
    <row r="3" spans="1:16" ht="15.75" thickBot="1">
      <c r="A3" s="3764" t="s">
        <v>172</v>
      </c>
      <c r="B3" s="3764"/>
      <c r="C3" s="3764"/>
      <c r="D3" s="103">
        <f>'数据-基础表'!AY6</f>
        <v>17315.580000000002</v>
      </c>
      <c r="E3" s="103">
        <f>'数据-基础表'!AZ5</f>
        <v>27041.94</v>
      </c>
      <c r="F3" s="2824"/>
      <c r="G3" s="271" t="s">
        <v>796</v>
      </c>
      <c r="H3" s="266" t="s">
        <v>797</v>
      </c>
      <c r="I3" s="1729">
        <f>ROUND('数据-基础表'!B3/'数据-基础表'!A3,2)</f>
        <v>1.56</v>
      </c>
      <c r="J3" s="2824"/>
      <c r="K3" s="2824"/>
      <c r="L3" s="2824"/>
      <c r="M3" s="2824"/>
      <c r="N3" s="2824"/>
      <c r="O3" s="2824"/>
      <c r="P3" s="2824"/>
    </row>
    <row r="4" spans="1:16" ht="15">
      <c r="A4" s="3765"/>
      <c r="B4" s="3766"/>
      <c r="C4" s="3767"/>
      <c r="D4" s="104" t="s">
        <v>170</v>
      </c>
      <c r="E4" s="105" t="s">
        <v>171</v>
      </c>
      <c r="F4" s="2824"/>
      <c r="G4" s="1099"/>
      <c r="H4" s="266" t="s">
        <v>798</v>
      </c>
      <c r="I4" s="1729">
        <f>ROUND(SUMIF('数据-基础表'!I9:AS9,"地上",'数据-基础表'!I5:AS5)/'数据-基础表'!A3,2)</f>
        <v>1.2</v>
      </c>
      <c r="J4" s="2824"/>
      <c r="K4" s="2824"/>
      <c r="L4" s="2824"/>
      <c r="M4" s="2824"/>
      <c r="N4" s="2824"/>
      <c r="O4" s="2824"/>
      <c r="P4" s="2824"/>
    </row>
    <row r="5" spans="1:16">
      <c r="A5" s="106" t="s">
        <v>173</v>
      </c>
      <c r="B5" s="3768" t="s">
        <v>196</v>
      </c>
      <c r="C5" s="3768"/>
      <c r="D5" s="107">
        <f>ROUND($D$3*E5/$E$3,2)</f>
        <v>0</v>
      </c>
      <c r="E5" s="108">
        <f>SUMIF('数据-基础表'!$11:$11,"住宅",'数据-基础表'!$5:$5)</f>
        <v>0</v>
      </c>
      <c r="F5" s="2824"/>
      <c r="G5" s="271" t="s">
        <v>799</v>
      </c>
      <c r="H5" s="266" t="s">
        <v>797</v>
      </c>
      <c r="I5" s="1729">
        <f>ROUND(E31/D31,2)</f>
        <v>1.56</v>
      </c>
      <c r="J5" s="2824"/>
      <c r="K5" s="2824"/>
      <c r="L5" s="2824"/>
      <c r="M5" s="2824"/>
      <c r="N5" s="2824"/>
      <c r="O5" s="2824"/>
      <c r="P5" s="2824"/>
    </row>
    <row r="6" spans="1:16" ht="15" thickBot="1">
      <c r="A6" s="109"/>
      <c r="B6" s="3768" t="s">
        <v>174</v>
      </c>
      <c r="C6" s="3768"/>
      <c r="D6" s="107">
        <f>ROUND($D$3*E6/$E$3,2)</f>
        <v>17315.580000000002</v>
      </c>
      <c r="E6" s="108">
        <f>E3-E5</f>
        <v>27041.94</v>
      </c>
      <c r="F6" s="2824"/>
      <c r="G6" s="1099"/>
      <c r="H6" s="266" t="s">
        <v>798</v>
      </c>
      <c r="I6" s="1729">
        <f>ROUND(F31/D31,2)</f>
        <v>1.2</v>
      </c>
      <c r="J6" s="2824"/>
      <c r="K6" s="2824"/>
      <c r="L6" s="2824"/>
      <c r="M6" s="2824"/>
      <c r="N6" s="2824"/>
      <c r="O6" s="2824"/>
      <c r="P6" s="2824"/>
    </row>
    <row r="7" spans="1:16" ht="15">
      <c r="A7" s="3760"/>
      <c r="B7" s="3761"/>
      <c r="C7" s="3762"/>
      <c r="D7" s="104" t="s">
        <v>170</v>
      </c>
      <c r="E7" s="110" t="s">
        <v>197</v>
      </c>
      <c r="F7" s="2824"/>
      <c r="G7" s="1055" t="s">
        <v>1180</v>
      </c>
      <c r="H7" s="1056"/>
      <c r="I7" s="1630"/>
      <c r="J7" s="2824"/>
      <c r="K7" s="2824"/>
      <c r="L7" s="2824"/>
      <c r="M7" s="2824"/>
      <c r="N7" s="2824"/>
      <c r="O7" s="2824"/>
      <c r="P7" s="2824"/>
    </row>
    <row r="8" spans="1:16">
      <c r="A8" s="106" t="s">
        <v>175</v>
      </c>
      <c r="B8" s="111" t="s">
        <v>176</v>
      </c>
      <c r="C8" s="107" t="s">
        <v>177</v>
      </c>
      <c r="D8" s="107">
        <f t="shared" ref="D8:D15" si="0">ROUND($D$3*E8/$E$3,2)</f>
        <v>13186.49</v>
      </c>
      <c r="E8" s="112">
        <f>SUMIF('数据-基础表'!BB10:BK10,"地上",'数据-基础表'!BB5:BK5)</f>
        <v>20593.5</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1682</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1689</v>
      </c>
      <c r="D13" s="107">
        <f t="shared" si="0"/>
        <v>2994.68</v>
      </c>
      <c r="E13" s="112">
        <f>SUMPRODUCT(('数据-基础表'!BB10:BK10="地下")*('数据-基础表'!BB11:BK11="车库")*('数据-基础表'!BB5:BK5))</f>
        <v>4676.82</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16181.17</v>
      </c>
      <c r="E16" s="116">
        <f>SUM(E8:E15)</f>
        <v>25270.32</v>
      </c>
      <c r="F16" s="2824"/>
      <c r="G16" s="2825"/>
      <c r="H16" s="930" t="s">
        <v>185</v>
      </c>
      <c r="I16" s="931"/>
      <c r="J16" s="1737"/>
      <c r="K16" s="3754" t="s">
        <v>1847</v>
      </c>
      <c r="L16" s="3755"/>
      <c r="M16" s="3755"/>
      <c r="N16" s="3755"/>
      <c r="O16" s="3755"/>
      <c r="P16" s="3756"/>
    </row>
    <row r="17" spans="1:19" ht="15">
      <c r="A17" s="117" t="s">
        <v>182</v>
      </c>
      <c r="B17" s="118" t="s">
        <v>183</v>
      </c>
      <c r="C17" s="2015" t="s">
        <v>1668</v>
      </c>
      <c r="D17" s="104" t="s">
        <v>170</v>
      </c>
      <c r="E17" s="120" t="s">
        <v>171</v>
      </c>
      <c r="F17" s="121"/>
      <c r="G17" s="1225"/>
      <c r="H17" s="932" t="s">
        <v>184</v>
      </c>
      <c r="I17" s="933" t="s">
        <v>1667</v>
      </c>
      <c r="J17" s="1737"/>
      <c r="K17" s="3757" t="s">
        <v>1848</v>
      </c>
      <c r="L17" s="3758"/>
      <c r="M17" s="3759"/>
      <c r="N17" s="3757" t="s">
        <v>1849</v>
      </c>
      <c r="O17" s="3758"/>
      <c r="P17" s="3759"/>
      <c r="R17" s="2016" t="s">
        <v>1666</v>
      </c>
      <c r="S17" s="137"/>
    </row>
    <row r="18" spans="1:19" ht="15">
      <c r="A18" s="113"/>
      <c r="B18" s="124"/>
      <c r="C18" s="125"/>
      <c r="D18" s="2246"/>
      <c r="E18" s="126" t="s">
        <v>186</v>
      </c>
      <c r="F18" s="127" t="s">
        <v>187</v>
      </c>
      <c r="G18" s="1226" t="s">
        <v>188</v>
      </c>
      <c r="H18" s="934" t="s">
        <v>189</v>
      </c>
      <c r="I18" s="935" t="s">
        <v>190</v>
      </c>
      <c r="J18" s="1737"/>
      <c r="K18" s="2211" t="s">
        <v>1850</v>
      </c>
      <c r="L18" s="2212" t="s">
        <v>1851</v>
      </c>
      <c r="M18" s="2213" t="s">
        <v>1852</v>
      </c>
      <c r="N18" s="2211" t="s">
        <v>1850</v>
      </c>
      <c r="O18" s="2212" t="s">
        <v>1851</v>
      </c>
      <c r="P18" s="2213" t="s">
        <v>1852</v>
      </c>
      <c r="R18" s="2017" t="s">
        <v>1664</v>
      </c>
      <c r="S18" s="2017" t="s">
        <v>1665</v>
      </c>
    </row>
    <row r="19" spans="1:19">
      <c r="A19" s="129"/>
      <c r="B19" s="111" t="s">
        <v>191</v>
      </c>
      <c r="C19" s="2496" t="s">
        <v>3339</v>
      </c>
      <c r="D19" s="107">
        <f t="shared" ref="D19:D26" si="1">ROUND($D$3*E19/$E$3,2)</f>
        <v>13186.49</v>
      </c>
      <c r="E19" s="130">
        <f t="shared" ref="E19:E26" si="2">SUM(F19:G19)</f>
        <v>20593.5</v>
      </c>
      <c r="F19" s="2826">
        <f>'数据-基础表'!I5</f>
        <v>20593.5</v>
      </c>
      <c r="G19" s="2827"/>
      <c r="H19" s="936">
        <f>ROUND($D$3*I19/$E$3,2)</f>
        <v>924.46</v>
      </c>
      <c r="I19" s="112">
        <f>IF($I$17="自定义",P19,M19)</f>
        <v>1443.74</v>
      </c>
      <c r="J19" s="1737"/>
      <c r="K19" s="2214">
        <f t="shared" ref="K19:K26" si="3">ROUND(E$28*E19/E$27,2)</f>
        <v>1443.74</v>
      </c>
      <c r="L19" s="266">
        <f t="shared" ref="L19:L26" si="4">ROUND(IF(COUNTIF(C19,"*住宅*")&gt;0,E$29*E19/E$32,0),2)</f>
        <v>0</v>
      </c>
      <c r="M19" s="2215">
        <f>K19+L19</f>
        <v>1443.74</v>
      </c>
      <c r="N19" s="2216"/>
      <c r="O19" s="2217"/>
      <c r="P19" s="2218">
        <f>N19+O19</f>
        <v>0</v>
      </c>
      <c r="R19" s="266">
        <f t="shared" ref="R19:S26" si="5">D19+H19</f>
        <v>14110.95</v>
      </c>
      <c r="S19" s="2018">
        <f t="shared" si="5"/>
        <v>22037.24</v>
      </c>
    </row>
    <row r="20" spans="1:19">
      <c r="A20" s="133"/>
      <c r="B20" s="111" t="s">
        <v>192</v>
      </c>
      <c r="C20" s="2496" t="s">
        <v>3340</v>
      </c>
      <c r="D20" s="107">
        <f t="shared" si="1"/>
        <v>2994.68</v>
      </c>
      <c r="E20" s="130">
        <f t="shared" si="2"/>
        <v>4676.82</v>
      </c>
      <c r="F20" s="2826"/>
      <c r="G20" s="2827">
        <f>'数据-基础表'!K5</f>
        <v>4676.82</v>
      </c>
      <c r="H20" s="936">
        <f t="shared" ref="H20:H26" si="6">ROUND($D$3*I20/$E$3,2)</f>
        <v>209.95</v>
      </c>
      <c r="I20" s="112">
        <f t="shared" ref="I20:I26" si="7">IF($I$17="自定义",P20,M20)</f>
        <v>327.88</v>
      </c>
      <c r="J20" s="1737"/>
      <c r="K20" s="2214">
        <f t="shared" si="3"/>
        <v>327.88</v>
      </c>
      <c r="L20" s="266">
        <f t="shared" si="4"/>
        <v>0</v>
      </c>
      <c r="M20" s="2215">
        <f t="shared" ref="M20:M26" si="8">K20+L20</f>
        <v>327.88</v>
      </c>
      <c r="N20" s="2216"/>
      <c r="O20" s="2217"/>
      <c r="P20" s="2218">
        <f t="shared" ref="P20:P26" si="9">N20+O20</f>
        <v>0</v>
      </c>
      <c r="R20" s="266">
        <f t="shared" si="5"/>
        <v>3204.6299999999997</v>
      </c>
      <c r="S20" s="2018">
        <f t="shared" si="5"/>
        <v>5004.7</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5"/>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5"/>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5"/>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5"/>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16181.17</v>
      </c>
      <c r="E27" s="136">
        <f>IF(SUM(E19:E26)='数据-基础表'!BA5,SUM(E19:E26),IF(F27="地上面积有误","面积有误","地下面积有误"))</f>
        <v>25270.32</v>
      </c>
      <c r="F27" s="130">
        <f>IF(SUM(F19:F26)=E8,SUM(F19:F26),"地上面积有误")</f>
        <v>20593.5</v>
      </c>
      <c r="G27" s="108">
        <f>SUM(G19:G26)</f>
        <v>4676.82</v>
      </c>
      <c r="H27" s="937">
        <f>SUM(H19:H26)</f>
        <v>1134.4100000000001</v>
      </c>
      <c r="I27" s="938">
        <f>SUM(I19:I26)</f>
        <v>1771.62</v>
      </c>
      <c r="J27" s="1737"/>
      <c r="K27" s="2223">
        <f t="shared" ref="K27:P27" si="10">SUM(K19:K26)</f>
        <v>1771.62</v>
      </c>
      <c r="L27" s="2224">
        <f t="shared" si="10"/>
        <v>0</v>
      </c>
      <c r="M27" s="2225">
        <f t="shared" si="10"/>
        <v>1771.62</v>
      </c>
      <c r="N27" s="2223">
        <f t="shared" si="10"/>
        <v>0</v>
      </c>
      <c r="O27" s="2224">
        <f t="shared" si="10"/>
        <v>0</v>
      </c>
      <c r="P27" s="2226">
        <f t="shared" si="10"/>
        <v>0</v>
      </c>
      <c r="R27" s="2022">
        <f>IF(SUM(R19:R26)=$D$3,SUM(R19:R26),SUM(R19:R26)&amp;"误差"&amp;ROUND(SUM(R19:R26)-$D$3,2))</f>
        <v>17315.580000000002</v>
      </c>
      <c r="S27" s="266">
        <f>IF(SUM(S19:S26)=$E$3,SUM(S19:S26),SUM(S19:S26)&amp;"误差"&amp;ROUND(SUM(S19:S26)-E3,2))</f>
        <v>27041.940000000002</v>
      </c>
    </row>
    <row r="28" spans="1:19">
      <c r="A28" s="133"/>
      <c r="B28" s="111" t="s">
        <v>193</v>
      </c>
      <c r="C28" s="131" t="s">
        <v>194</v>
      </c>
      <c r="D28" s="107">
        <f>ROUND($D$3*E28/$E$3,2)</f>
        <v>1134.4100000000001</v>
      </c>
      <c r="E28" s="130">
        <f>SUM(F28:G28)</f>
        <v>1771.62</v>
      </c>
      <c r="F28" s="137">
        <f>'数据-基础表'!BQ5+'数据-基础表'!BS5</f>
        <v>135</v>
      </c>
      <c r="G28" s="138">
        <f>'数据-基础表'!BR5+'数据-基础表'!BT5</f>
        <v>1636.62</v>
      </c>
      <c r="H28" s="2824"/>
      <c r="I28" s="2824"/>
      <c r="J28" s="2824"/>
      <c r="K28" s="2824"/>
      <c r="L28" s="2824"/>
      <c r="M28" s="2824"/>
      <c r="N28" s="2824"/>
      <c r="O28" s="2824"/>
      <c r="P28" s="2824"/>
    </row>
    <row r="29" spans="1:19">
      <c r="A29" s="133"/>
      <c r="B29" s="111" t="s">
        <v>193</v>
      </c>
      <c r="C29" s="2030" t="s">
        <v>1675</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1134.4100000000001</v>
      </c>
      <c r="E30" s="130">
        <f>SUM(E28:E29)</f>
        <v>1771.62</v>
      </c>
      <c r="F30" s="130">
        <f>SUM(F28:F29)</f>
        <v>135</v>
      </c>
      <c r="G30" s="108">
        <f>SUM(G28:G29)</f>
        <v>1636.62</v>
      </c>
      <c r="H30" s="2824"/>
      <c r="I30" s="2824"/>
      <c r="J30" s="2824"/>
      <c r="K30" s="2824"/>
      <c r="L30" s="2824"/>
      <c r="M30" s="2824"/>
      <c r="N30" s="2824"/>
      <c r="O30" s="2824"/>
      <c r="P30" s="2824"/>
    </row>
    <row r="31" spans="1:19" ht="32.25" customHeight="1" thickBot="1">
      <c r="A31" s="1227"/>
      <c r="B31" s="1228" t="s">
        <v>195</v>
      </c>
      <c r="C31" s="2047" t="s">
        <v>1677</v>
      </c>
      <c r="D31" s="1229">
        <f>D27+D30</f>
        <v>17315.580000000002</v>
      </c>
      <c r="E31" s="1229">
        <f>E27+E30</f>
        <v>27041.94</v>
      </c>
      <c r="F31" s="1230">
        <f>F27+F30</f>
        <v>20728.5</v>
      </c>
      <c r="G31" s="1231">
        <f>G27+G30</f>
        <v>6313.44</v>
      </c>
      <c r="H31" s="2824"/>
      <c r="I31" s="2824"/>
      <c r="J31" s="2824"/>
      <c r="K31" s="2824"/>
      <c r="L31" s="2824"/>
      <c r="M31" s="2824"/>
      <c r="N31" s="2824"/>
      <c r="O31" s="2824"/>
      <c r="P31" s="2824"/>
    </row>
    <row r="32" spans="1:19">
      <c r="A32" s="1737"/>
      <c r="B32" s="2059" t="s">
        <v>1676</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4"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45040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7" t="s">
        <v>1853</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1678</v>
      </c>
      <c r="AI5" s="164" t="s">
        <v>1647</v>
      </c>
      <c r="AJ5" s="164" t="s">
        <v>224</v>
      </c>
      <c r="AK5" s="152" t="s">
        <v>225</v>
      </c>
      <c r="AL5" s="152" t="s">
        <v>226</v>
      </c>
      <c r="AM5" s="165" t="s">
        <v>227</v>
      </c>
      <c r="AN5" s="2081" t="s">
        <v>1725</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研发楼</v>
      </c>
      <c r="B6" s="2054" t="str">
        <f>IF(A6=0,"","经营性")</f>
        <v>经营性</v>
      </c>
      <c r="C6" s="166" t="s">
        <v>905</v>
      </c>
      <c r="D6" s="2025">
        <f>SUMIF(项目基本情况!C$15:I$15,C6,项目基本情况!C$18:I$18)</f>
        <v>20</v>
      </c>
      <c r="E6" s="2026">
        <f>IF(B6="","",SUMIF(项目基本情况!C$15:I$15,C6,项目基本情况!C$17:I$17))</f>
        <v>51718</v>
      </c>
      <c r="F6" s="167">
        <f>SUMIF(项目基本情况!C$15:I$15,C6,项目基本情况!C$19:I$19)</f>
        <v>18.29</v>
      </c>
      <c r="G6" s="168">
        <f t="shared" ref="G6:G13" si="0">IF(ISERROR(ROUND(POWER(1+H6,D6-F6)*(POWER(1+H6,F6)-1)/(POWER(1+H6,D6)-1),3)),0,ROUND(POWER(1+H6,D6-F6)*(POWER(1+H6,F6)-1)/(POWER(1+H6,D6)-1),3))</f>
        <v>0.94499999999999995</v>
      </c>
      <c r="H6" s="2497">
        <v>4.4999999999999998E-2</v>
      </c>
      <c r="I6" s="2497">
        <v>0.05</v>
      </c>
      <c r="J6" s="169">
        <v>0.08</v>
      </c>
      <c r="K6" s="172">
        <f>SUMIF('数据-汇总表'!C$19:C$33,'数据-取费表'!A6,'数据-汇总表'!E$19:E$33)</f>
        <v>20593.5</v>
      </c>
      <c r="L6" s="2498">
        <v>4000</v>
      </c>
      <c r="M6" s="170">
        <f t="shared" ref="M6:M14" si="1">ROUND(K6*L6/10000,0)</f>
        <v>8237</v>
      </c>
      <c r="N6" s="2499">
        <v>0</v>
      </c>
      <c r="O6" s="170">
        <f>IF($N$5="成新度","——",ROUND(M6*N6,0))</f>
        <v>0</v>
      </c>
      <c r="P6" s="171">
        <f>IF($N$5="成新度","——",M6-O6)</f>
        <v>8237</v>
      </c>
      <c r="Q6" s="2500">
        <v>0.1</v>
      </c>
      <c r="R6" s="172">
        <f>SUMIF('数据-汇总表'!C$19:C$33,A6,'数据-汇总表'!R$19:R$33)</f>
        <v>14110.95</v>
      </c>
      <c r="S6" s="128">
        <f>IF('数据-汇总表'!$I$17="按面积比例",SUMIF('数据-汇总表'!C$19:C$33,A6,'数据-汇总表'!K$19:K$33),SUMIF('数据-汇总表'!C$19:C$33,A6,'数据-汇总表'!N$19:N$33))</f>
        <v>1443.74</v>
      </c>
      <c r="T6" s="1951">
        <f>IF($T$4="按面积比例",IF(ISERROR(ROUND($M$14*S6/S$16,0)),"0",ROUND($M$14*S6/S$16,0)),"需自行计算录入")</f>
        <v>505</v>
      </c>
      <c r="U6" s="173">
        <v>2.5</v>
      </c>
      <c r="V6" s="174">
        <v>1.4999999999999999E-2</v>
      </c>
      <c r="W6" s="174">
        <v>0.05</v>
      </c>
      <c r="X6" s="2038"/>
      <c r="Y6" s="175">
        <v>1</v>
      </c>
      <c r="Z6" s="176"/>
      <c r="AA6" s="169"/>
      <c r="AB6" s="169"/>
      <c r="AC6" s="2041"/>
      <c r="AD6" s="177"/>
      <c r="AE6" s="934">
        <f ca="1">IF(AN6="",0,SUMIF(INDIRECT("'"&amp;AN6&amp;"'"&amp;"!E:E"),$AE$5,INDIRECT("'"&amp;AN6&amp;"'"&amp;"!F:F")))</f>
        <v>16.79</v>
      </c>
      <c r="AF6" s="134"/>
      <c r="AG6" s="1111">
        <f>IF(AF6="",0,AE6-AF6)</f>
        <v>0</v>
      </c>
      <c r="AH6" s="134"/>
      <c r="AI6" s="180">
        <v>365</v>
      </c>
      <c r="AJ6" s="181"/>
      <c r="AK6" s="182">
        <v>2E-3</v>
      </c>
      <c r="AL6" s="183">
        <v>1E-3</v>
      </c>
      <c r="AM6" s="2509">
        <v>5.0000000000000001E-3</v>
      </c>
      <c r="AN6" s="2082" t="s">
        <v>3343</v>
      </c>
      <c r="AO6" s="2834"/>
      <c r="AP6" s="1102">
        <f>ROUND(1-1/(1+H6)^F6,3)</f>
        <v>0.55300000000000005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905</v>
      </c>
      <c r="D7" s="2025">
        <f>SUMIF(项目基本情况!C$15:I$15,C7,项目基本情况!C$18:I$18)</f>
        <v>20</v>
      </c>
      <c r="E7" s="2026">
        <f>IF(B7="","",SUMIF(项目基本情况!C$15:I$15,C7,项目基本情况!C$17:I$17))</f>
        <v>51718</v>
      </c>
      <c r="F7" s="167">
        <f>SUMIF(项目基本情况!C$15:I$15,C7,项目基本情况!C$19:I$19)</f>
        <v>18.29</v>
      </c>
      <c r="G7" s="168">
        <f t="shared" si="0"/>
        <v>0.94199999999999995</v>
      </c>
      <c r="H7" s="2497">
        <v>0.04</v>
      </c>
      <c r="I7" s="2497">
        <v>4.4999999999999998E-2</v>
      </c>
      <c r="J7" s="169">
        <f>J6</f>
        <v>0.08</v>
      </c>
      <c r="K7" s="172">
        <f>SUMIF('数据-汇总表'!C$19:C$33,'数据-取费表'!A7,'数据-汇总表'!E$19:E$33)</f>
        <v>4676.82</v>
      </c>
      <c r="L7" s="2498">
        <v>3500</v>
      </c>
      <c r="M7" s="170">
        <f t="shared" si="1"/>
        <v>1637</v>
      </c>
      <c r="N7" s="2499">
        <f>N6</f>
        <v>0</v>
      </c>
      <c r="O7" s="170">
        <f t="shared" ref="O7:O14" si="3">IF($N$5="成新度","——",ROUND(M7*N7,0))</f>
        <v>0</v>
      </c>
      <c r="P7" s="171">
        <f t="shared" ref="P7:P14" si="4">IF($N$5="成新度","——",M7-O7)</f>
        <v>1637</v>
      </c>
      <c r="Q7" s="2500">
        <v>0.05</v>
      </c>
      <c r="R7" s="172">
        <f>SUMIF('数据-汇总表'!C$19:C$33,A7,'数据-汇总表'!R$19:R$33)</f>
        <v>3204.6299999999997</v>
      </c>
      <c r="S7" s="128">
        <f>IF('数据-汇总表'!$I$17="按面积比例",SUMIF('数据-汇总表'!C$19:C$33,A7,'数据-汇总表'!K$19:K$33),SUMIF('数据-汇总表'!C$19:C$33,A7,'数据-汇总表'!N$19:N$33))</f>
        <v>327.88</v>
      </c>
      <c r="T7" s="1951">
        <f t="shared" ref="T7:T13" si="5">IF($T$4="按面积比例",IF(ISERROR(ROUND($M$14*S7/S$16,0)),"0",ROUND($M$14*S7/S$16,0)),"需自行计算录入")</f>
        <v>115</v>
      </c>
      <c r="U7" s="173">
        <v>300</v>
      </c>
      <c r="V7" s="174">
        <f>V6</f>
        <v>1.4999999999999999E-2</v>
      </c>
      <c r="W7" s="174">
        <f>W6</f>
        <v>0.05</v>
      </c>
      <c r="X7" s="2038"/>
      <c r="Y7" s="175">
        <f>Y6</f>
        <v>1</v>
      </c>
      <c r="Z7" s="176"/>
      <c r="AA7" s="169"/>
      <c r="AB7" s="169"/>
      <c r="AC7" s="2041"/>
      <c r="AD7" s="177"/>
      <c r="AE7" s="934">
        <f t="shared" ref="AE7:AE13" ca="1" si="6">IF(AN7="",0,SUMIF(INDIRECT("'"&amp;AN7&amp;"'"&amp;"!E:E"),$AE$5,INDIRECT("'"&amp;AN7&amp;"'"&amp;"!F:F")))</f>
        <v>16.79</v>
      </c>
      <c r="AF7" s="134"/>
      <c r="AG7" s="1111">
        <f t="shared" ref="AG7:AG13" si="7">IF(AF7="",0,AE7-AF7)</f>
        <v>0</v>
      </c>
      <c r="AH7" s="134">
        <f>指标!F13</f>
        <v>121</v>
      </c>
      <c r="AI7" s="180">
        <v>12</v>
      </c>
      <c r="AJ7" s="181"/>
      <c r="AK7" s="182">
        <f>AK6</f>
        <v>2E-3</v>
      </c>
      <c r="AL7" s="182">
        <f>AL6</f>
        <v>1E-3</v>
      </c>
      <c r="AM7" s="182">
        <f>AM6</f>
        <v>5.0000000000000001E-3</v>
      </c>
      <c r="AN7" s="2082" t="s">
        <v>3344</v>
      </c>
      <c r="AO7" s="2834"/>
      <c r="AP7" s="1102">
        <f t="shared" ref="AP7:AP13" si="8">ROUND(1-1/(1+H7)^F7,3)</f>
        <v>0.51200000000000001</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13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1669</v>
      </c>
      <c r="B14" s="2023" t="s">
        <v>1213</v>
      </c>
      <c r="C14" s="2024" t="s">
        <v>1669</v>
      </c>
      <c r="D14" s="2025"/>
      <c r="E14" s="2026"/>
      <c r="F14" s="167"/>
      <c r="G14" s="168"/>
      <c r="H14" s="2027"/>
      <c r="I14" s="2027"/>
      <c r="J14" s="2027"/>
      <c r="K14" s="172">
        <f>SUMIF('数据-汇总表'!C$19:C$33,'数据-取费表'!A14,'数据-汇总表'!E$19:E$33)</f>
        <v>1771.62</v>
      </c>
      <c r="L14" s="186">
        <f>L7</f>
        <v>3500</v>
      </c>
      <c r="M14" s="170">
        <f t="shared" si="1"/>
        <v>620</v>
      </c>
      <c r="N14" s="187">
        <f>N6</f>
        <v>0</v>
      </c>
      <c r="O14" s="170">
        <f t="shared" si="3"/>
        <v>0</v>
      </c>
      <c r="P14" s="171">
        <f t="shared" si="4"/>
        <v>620</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1671</v>
      </c>
      <c r="B15" s="2023" t="s">
        <v>1213</v>
      </c>
      <c r="C15" s="2024" t="s">
        <v>1670</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0.94399999999999995</v>
      </c>
      <c r="H16" s="194">
        <f>ROUND(SUMPRODUCT(H6:H13,K6:K13)/SUMPRODUCT((H6:H13&gt;0)*(K6:K13)),3)</f>
        <v>4.3999999999999997E-2</v>
      </c>
      <c r="I16" s="195"/>
      <c r="J16" s="195"/>
      <c r="K16" s="196">
        <f>SUM(K6:K15)</f>
        <v>27041.94</v>
      </c>
      <c r="L16" s="197">
        <f>ROUND(M16*10000/SUM(K6:K14),0)</f>
        <v>3881</v>
      </c>
      <c r="M16" s="197">
        <f>SUM(M6:M14)</f>
        <v>10494</v>
      </c>
      <c r="N16" s="198">
        <f>ROUND(SUMPRODUCT(M6:M14,N6:N14)/M16,3)</f>
        <v>0</v>
      </c>
      <c r="O16" s="197">
        <f>SUM(O6:O14)</f>
        <v>0</v>
      </c>
      <c r="P16" s="197">
        <f>SUM(P6:P14)</f>
        <v>10494</v>
      </c>
      <c r="Q16" s="199">
        <f>ROUND(SUMPRODUCT(Q6:Q13,K6:K13)/SUMPRODUCT((Q6:Q13&gt;0)*(K6:K13)),2)</f>
        <v>0.09</v>
      </c>
      <c r="R16" s="2028">
        <f>SUM(R6:R13)</f>
        <v>17315.580000000002</v>
      </c>
      <c r="S16" s="200">
        <f>SUM(S6:S13)</f>
        <v>1771.62</v>
      </c>
      <c r="T16" s="201">
        <f>IF(SUMIF(T6:T13,"&lt;9E307")=M14,SUMIF(T6:T13,"&lt;9E307"),"有误，请检查")</f>
        <v>620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0.54500000000000004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1.5</v>
      </c>
      <c r="C20" s="2846" t="s">
        <v>1690</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f>ROUND(U6*(1+3%)^F6,1)</f>
        <v>4.3</v>
      </c>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1.5</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t="s">
        <v>3422</v>
      </c>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1692</v>
      </c>
      <c r="B27" s="218">
        <v>60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1693</v>
      </c>
      <c r="B28" s="220">
        <v>100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1691</v>
      </c>
      <c r="B29" s="223">
        <f>ROUND(B28*K16/10000,0)</f>
        <v>270</v>
      </c>
      <c r="C29" s="2848" t="s">
        <v>1694</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150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0.03</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150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1.4999999999999999E-2</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0.01</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1799</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8" t="s">
        <v>3345</v>
      </c>
      <c r="B40" s="2128">
        <f ca="1">IF(A40="利息：取LPR",存贷款利率!E2,存贷款利率!E2+C40)</f>
        <v>4.1499999999999995E-2</v>
      </c>
      <c r="C40" s="3019">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2164</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2165</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2166</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2167</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2168</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2169</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2170</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2171</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2172</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2173</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2174</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5" sqref="I25"/>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769" t="s">
        <v>1198</v>
      </c>
      <c r="B1" s="3770"/>
      <c r="C1" s="3770"/>
      <c r="D1" s="3770"/>
      <c r="E1" s="3770"/>
      <c r="F1" s="3770"/>
      <c r="G1" s="3770"/>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2179</v>
      </c>
      <c r="D3" s="2869"/>
      <c r="E3" s="2870" t="s">
        <v>1201</v>
      </c>
      <c r="F3" s="2871" t="s">
        <v>1189</v>
      </c>
      <c r="G3" s="3673" t="s">
        <v>3347</v>
      </c>
      <c r="H3" s="2865"/>
      <c r="I3" s="2865"/>
      <c r="J3" s="2865"/>
      <c r="K3" s="2865"/>
      <c r="L3" s="2865"/>
      <c r="M3" s="2865"/>
      <c r="N3" s="2865"/>
      <c r="O3" s="2865"/>
      <c r="P3" s="2865"/>
      <c r="Q3" s="2865"/>
      <c r="R3" s="2865"/>
    </row>
    <row r="4" spans="1:18" ht="27.75">
      <c r="A4" s="2870"/>
      <c r="B4" s="2872" t="s">
        <v>1202</v>
      </c>
      <c r="C4" s="2873" t="s">
        <v>2180</v>
      </c>
      <c r="D4" s="2869"/>
      <c r="E4" s="2874"/>
      <c r="F4" s="2875" t="s">
        <v>1203</v>
      </c>
      <c r="G4" s="3674" t="s">
        <v>3348</v>
      </c>
      <c r="H4" s="2865"/>
      <c r="I4" s="2865"/>
      <c r="J4" s="2865"/>
      <c r="K4" s="2865"/>
      <c r="L4" s="2865"/>
      <c r="M4" s="2865"/>
      <c r="N4" s="2865"/>
      <c r="O4" s="2865"/>
      <c r="P4" s="2865"/>
      <c r="Q4" s="2865"/>
      <c r="R4" s="2865"/>
    </row>
    <row r="5" spans="1:18" ht="41.25">
      <c r="A5" s="2870"/>
      <c r="B5" s="2872" t="s">
        <v>1204</v>
      </c>
      <c r="C5" s="2873" t="s">
        <v>2181</v>
      </c>
      <c r="D5" s="2869"/>
      <c r="E5" s="2874"/>
      <c r="F5" s="2872" t="s">
        <v>1827</v>
      </c>
      <c r="G5" s="3675" t="s">
        <v>3351</v>
      </c>
      <c r="H5" s="2865"/>
      <c r="I5" s="2865"/>
      <c r="J5" s="2865"/>
      <c r="K5" s="2865"/>
      <c r="L5" s="2865"/>
      <c r="M5" s="2865"/>
      <c r="N5" s="2865"/>
      <c r="O5" s="2865"/>
      <c r="P5" s="2865"/>
      <c r="Q5" s="2865"/>
      <c r="R5" s="2865"/>
    </row>
    <row r="6" spans="1:18" ht="40.5">
      <c r="A6" s="2870"/>
      <c r="B6" s="2872" t="s">
        <v>1190</v>
      </c>
      <c r="C6" s="2876" t="s">
        <v>2177</v>
      </c>
      <c r="D6" s="2869"/>
      <c r="E6" s="2874"/>
      <c r="F6" s="2872" t="s">
        <v>1828</v>
      </c>
      <c r="G6" s="3675" t="s">
        <v>3349</v>
      </c>
      <c r="H6" s="2865"/>
      <c r="I6" s="2865"/>
      <c r="J6" s="2865"/>
      <c r="K6" s="2865"/>
      <c r="L6" s="2865"/>
      <c r="M6" s="2865"/>
      <c r="N6" s="2865"/>
      <c r="O6" s="2865"/>
      <c r="P6" s="2865"/>
      <c r="Q6" s="2865"/>
      <c r="R6" s="2865"/>
    </row>
    <row r="7" spans="1:18" ht="27.75" thickBot="1">
      <c r="A7" s="2870"/>
      <c r="B7" s="2872" t="s">
        <v>1827</v>
      </c>
      <c r="C7" s="2876" t="s">
        <v>2178</v>
      </c>
      <c r="D7" s="2877"/>
      <c r="E7" s="2878"/>
      <c r="F7" s="2879" t="s">
        <v>1205</v>
      </c>
      <c r="G7" s="3676" t="s">
        <v>3352</v>
      </c>
      <c r="H7" s="2865"/>
      <c r="I7" s="2865"/>
      <c r="J7" s="2865"/>
      <c r="K7" s="2865"/>
      <c r="L7" s="2865"/>
      <c r="M7" s="2865"/>
      <c r="N7" s="2865"/>
      <c r="O7" s="2865"/>
      <c r="P7" s="2865"/>
      <c r="Q7" s="2865"/>
      <c r="R7" s="2865"/>
    </row>
    <row r="8" spans="1:18">
      <c r="A8" s="2870"/>
      <c r="B8" s="2872" t="s">
        <v>1828</v>
      </c>
      <c r="C8" s="2876" t="s">
        <v>2175</v>
      </c>
      <c r="D8" s="2877"/>
      <c r="E8" s="2877"/>
      <c r="F8" s="2880"/>
      <c r="G8" s="2880"/>
      <c r="H8" s="2865"/>
      <c r="I8" s="2865"/>
      <c r="J8" s="2865"/>
      <c r="K8" s="2865"/>
      <c r="L8" s="2865"/>
      <c r="M8" s="2865"/>
      <c r="N8" s="2865"/>
      <c r="O8" s="2865"/>
      <c r="P8" s="2865"/>
      <c r="Q8" s="2865"/>
      <c r="R8" s="2865"/>
    </row>
    <row r="9" spans="1:18" ht="27">
      <c r="A9" s="2870"/>
      <c r="B9" s="2872" t="s">
        <v>1191</v>
      </c>
      <c r="C9" s="2873" t="s">
        <v>2176</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40.5">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较好</v>
      </c>
    </row>
    <row r="16" spans="1:18" ht="27">
      <c r="A16" s="2910"/>
      <c r="B16" s="2911" t="s">
        <v>1202</v>
      </c>
      <c r="C16" s="2912" t="str">
        <f>C4</f>
        <v>估价对象位于XX商圈，周边商业氛围成熟，人流量大，商业繁华度好</v>
      </c>
      <c r="D16" s="2869"/>
      <c r="E16" s="2913"/>
      <c r="F16" s="2914" t="s">
        <v>1203</v>
      </c>
      <c r="G16" s="2915" t="str">
        <f>G4</f>
        <v>较好</v>
      </c>
    </row>
    <row r="17" spans="1:7" ht="40.5">
      <c r="A17" s="2910"/>
      <c r="B17" s="2911" t="s">
        <v>1204</v>
      </c>
      <c r="C17" s="2912" t="str">
        <f>C5</f>
        <v>估价对象位于XX商圈，周边办公楼项目较多，入驻率高，办公集聚程度较好</v>
      </c>
      <c r="D17" s="2877"/>
      <c r="E17" s="2913"/>
      <c r="F17" s="2914" t="s">
        <v>1209</v>
      </c>
      <c r="G17" s="2916"/>
    </row>
    <row r="18" spans="1:7" ht="40.5">
      <c r="A18" s="2910"/>
      <c r="B18" s="2914" t="s">
        <v>1190</v>
      </c>
      <c r="C18" s="2915" t="str">
        <f>C6</f>
        <v>估价对象周边道路状况、公共交通通达情况、停车便捷程度，综合评价交通便捷度较好</v>
      </c>
      <c r="D18" s="2877"/>
      <c r="E18" s="2913"/>
      <c r="F18" s="2914" t="s">
        <v>1205</v>
      </c>
      <c r="G18" s="2915" t="str">
        <f>G7</f>
        <v>较好</v>
      </c>
    </row>
    <row r="19" spans="1:7" ht="14.25">
      <c r="A19" s="2910"/>
      <c r="B19" s="2914" t="s">
        <v>1194</v>
      </c>
      <c r="C19" s="2916"/>
      <c r="D19" s="2869"/>
      <c r="E19" s="2913"/>
      <c r="F19" s="2872" t="s">
        <v>1827</v>
      </c>
      <c r="G19" s="2915" t="str">
        <f>G5</f>
        <v>一般</v>
      </c>
    </row>
    <row r="20" spans="1:7" ht="27">
      <c r="A20" s="2910"/>
      <c r="B20" s="2914" t="s">
        <v>1195</v>
      </c>
      <c r="C20" s="2912" t="str">
        <f>C9</f>
        <v>区域自然环境：；人文环境；综合评价环境状况一般</v>
      </c>
      <c r="D20" s="2877"/>
      <c r="E20" s="2913"/>
      <c r="F20" s="2872" t="s">
        <v>1828</v>
      </c>
      <c r="G20" s="2915" t="str">
        <f>G6</f>
        <v>七通</v>
      </c>
    </row>
    <row r="21" spans="1:7" ht="27">
      <c r="A21" s="2910"/>
      <c r="B21" s="2872" t="s">
        <v>1827</v>
      </c>
      <c r="C21" s="2915" t="str">
        <f>C7</f>
        <v>估价对象所在区域公共配套设施齐备情况</v>
      </c>
      <c r="D21" s="2869"/>
      <c r="E21" s="2913"/>
      <c r="F21" s="2914" t="s">
        <v>1196</v>
      </c>
      <c r="G21" s="2917"/>
    </row>
    <row r="22" spans="1:7" ht="14.25">
      <c r="A22" s="2910"/>
      <c r="B22" s="2872" t="s">
        <v>1828</v>
      </c>
      <c r="C22" s="2915" t="str">
        <f>C8</f>
        <v>估价对象所在区域基础设施水平</v>
      </c>
      <c r="D22" s="2869"/>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6" customWidth="1"/>
    <col min="2" max="16384" width="14.625" style="2926"/>
  </cols>
  <sheetData>
    <row r="1" spans="1:10" ht="16.5">
      <c r="A1" s="2925" t="s">
        <v>2116</v>
      </c>
      <c r="B1" s="2925">
        <f>SUM(B14:B23)</f>
        <v>0</v>
      </c>
      <c r="C1" s="2934"/>
      <c r="D1" s="2934"/>
      <c r="E1" s="2934"/>
      <c r="F1" s="2934"/>
      <c r="G1" s="2935"/>
      <c r="H1" s="2935"/>
      <c r="I1" s="2935"/>
      <c r="J1" s="2935"/>
    </row>
    <row r="2" spans="1:10" ht="16.5">
      <c r="A2" s="2925" t="s">
        <v>2117</v>
      </c>
      <c r="B2" s="2925">
        <f>SUM(C14:C23)</f>
        <v>0</v>
      </c>
      <c r="C2" s="2934"/>
      <c r="D2" s="2934"/>
      <c r="E2" s="2934"/>
      <c r="F2" s="2934"/>
      <c r="G2" s="2935"/>
      <c r="H2" s="2935"/>
      <c r="I2" s="2935"/>
      <c r="J2" s="2935"/>
    </row>
    <row r="3" spans="1:10" ht="16.5">
      <c r="A3" s="2925" t="s">
        <v>2118</v>
      </c>
      <c r="B3" s="2927">
        <f>项目基本情况!D3</f>
        <v>45040</v>
      </c>
      <c r="C3" s="2934"/>
      <c r="D3" s="2934"/>
      <c r="E3" s="2934"/>
      <c r="F3" s="2934"/>
      <c r="G3" s="2935"/>
      <c r="H3" s="2935"/>
      <c r="I3" s="2935"/>
      <c r="J3" s="2935"/>
    </row>
    <row r="4" spans="1:10" ht="33">
      <c r="A4" s="2925" t="s">
        <v>2119</v>
      </c>
      <c r="B4" s="2925" t="s">
        <v>2120</v>
      </c>
      <c r="C4" s="2925" t="s">
        <v>2121</v>
      </c>
      <c r="D4" s="2925" t="s">
        <v>2122</v>
      </c>
      <c r="E4" s="2934"/>
      <c r="F4" s="2934"/>
      <c r="G4" s="2935"/>
      <c r="H4" s="2935"/>
      <c r="I4" s="2935"/>
      <c r="J4" s="2935"/>
    </row>
    <row r="5" spans="1:10" ht="16.5">
      <c r="A5" s="2925" t="s">
        <v>2123</v>
      </c>
      <c r="B5" s="2925">
        <f>SUM(D14:D23)</f>
        <v>0</v>
      </c>
      <c r="C5" s="2925" t="e">
        <f>ROUND(B5*10000/$B$1,0)</f>
        <v>#DIV/0!</v>
      </c>
      <c r="D5" s="2925" t="e">
        <f>ROUND(B5*10000/$B$2,0)</f>
        <v>#DIV/0!</v>
      </c>
      <c r="E5" s="2934"/>
      <c r="F5" s="2934"/>
      <c r="G5" s="2935"/>
      <c r="H5" s="2935"/>
      <c r="I5" s="2935"/>
      <c r="J5" s="2935"/>
    </row>
    <row r="6" spans="1:10" ht="16.5">
      <c r="A6" s="2925" t="s">
        <v>2124</v>
      </c>
      <c r="B6" s="2925">
        <f>SUM(G14:G23)</f>
        <v>0</v>
      </c>
      <c r="C6" s="2925" t="e">
        <f>ROUND(B6*10000/$B$1,0)</f>
        <v>#DIV/0!</v>
      </c>
      <c r="D6" s="2925" t="e">
        <f>ROUND(B6*10000/$B$2,0)</f>
        <v>#DIV/0!</v>
      </c>
      <c r="E6" s="2934"/>
      <c r="F6" s="2934"/>
      <c r="G6" s="2935"/>
      <c r="H6" s="2935"/>
      <c r="I6" s="2935"/>
      <c r="J6" s="2935"/>
    </row>
    <row r="7" spans="1:10" ht="16.5">
      <c r="A7" s="2925" t="s">
        <v>2125</v>
      </c>
      <c r="B7" s="2925">
        <f>SUM(H14:H23)</f>
        <v>0</v>
      </c>
      <c r="C7" s="2925" t="e">
        <f>ROUND(B7*10000/$B$1,0)</f>
        <v>#DIV/0!</v>
      </c>
      <c r="D7" s="2925" t="e">
        <f>ROUND(B7*10000/$B$2,0)</f>
        <v>#DIV/0!</v>
      </c>
      <c r="E7" s="2934"/>
      <c r="F7" s="2934"/>
      <c r="G7" s="2935"/>
      <c r="H7" s="2935"/>
      <c r="I7" s="2935"/>
      <c r="J7" s="2935"/>
    </row>
    <row r="8" spans="1:10" ht="16.5">
      <c r="A8" s="2925" t="s">
        <v>2126</v>
      </c>
      <c r="B8" s="2925">
        <f>SUM(I14:I23)</f>
        <v>0</v>
      </c>
      <c r="C8" s="2925" t="e">
        <f>ROUND(B8*10000/$B$1,0)</f>
        <v>#DIV/0!</v>
      </c>
      <c r="D8" s="2925" t="e">
        <f>ROUND(B8*10000/$B$2,0)</f>
        <v>#DIV/0!</v>
      </c>
      <c r="E8" s="2934"/>
      <c r="F8" s="2934"/>
      <c r="G8" s="2935"/>
      <c r="H8" s="2935"/>
      <c r="I8" s="2935"/>
      <c r="J8" s="2935"/>
    </row>
    <row r="9" spans="1:10" ht="16.5">
      <c r="A9" s="2925" t="s">
        <v>2127</v>
      </c>
      <c r="B9" s="2933"/>
      <c r="C9" s="2934"/>
      <c r="D9" s="2934"/>
      <c r="E9" s="2934"/>
      <c r="F9" s="2934"/>
      <c r="G9" s="2935"/>
      <c r="H9" s="2935"/>
      <c r="I9" s="2935"/>
      <c r="J9" s="2935"/>
    </row>
    <row r="10" spans="1:10" ht="16.5">
      <c r="A10" s="2925" t="s">
        <v>2128</v>
      </c>
      <c r="B10" s="2933"/>
      <c r="C10" s="2934"/>
      <c r="D10" s="2934"/>
      <c r="E10" s="2934"/>
      <c r="F10" s="2934"/>
      <c r="G10" s="2935"/>
      <c r="H10" s="2935"/>
      <c r="I10" s="2935"/>
      <c r="J10" s="2935"/>
    </row>
    <row r="11" spans="1:10" ht="16.5">
      <c r="A11" s="2925" t="s">
        <v>2145</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2144</v>
      </c>
      <c r="B13" s="2929" t="s">
        <v>2116</v>
      </c>
      <c r="C13" s="2929" t="s">
        <v>2117</v>
      </c>
      <c r="D13" s="2929" t="s">
        <v>2129</v>
      </c>
      <c r="E13" s="2925" t="s">
        <v>2143</v>
      </c>
      <c r="F13" s="2925" t="s">
        <v>2122</v>
      </c>
      <c r="G13" s="2929" t="s">
        <v>2130</v>
      </c>
      <c r="H13" s="2929" t="s">
        <v>2131</v>
      </c>
      <c r="I13" s="2929" t="s">
        <v>2132</v>
      </c>
      <c r="J13" s="2935"/>
    </row>
    <row r="14" spans="1:10" ht="16.5">
      <c r="A14" s="2930" t="s">
        <v>2142</v>
      </c>
      <c r="B14" s="2931"/>
      <c r="C14" s="2931"/>
      <c r="D14" s="2931"/>
      <c r="E14" s="2931" t="e">
        <f>ROUND(D14*10000/B14,0)</f>
        <v>#DIV/0!</v>
      </c>
      <c r="F14" s="2931" t="e">
        <f>ROUND(D14*10000/C14,0)</f>
        <v>#DIV/0!</v>
      </c>
      <c r="G14" s="2931"/>
      <c r="H14" s="2931"/>
      <c r="I14" s="2931"/>
      <c r="J14" s="2935"/>
    </row>
    <row r="15" spans="1:10" ht="16.5">
      <c r="A15" s="2930" t="s">
        <v>2133</v>
      </c>
      <c r="B15" s="2932"/>
      <c r="C15" s="2932"/>
      <c r="D15" s="2932"/>
      <c r="E15" s="2931" t="e">
        <f t="shared" ref="E15:E23" si="0">ROUND(D15*10000/B15,0)</f>
        <v>#DIV/0!</v>
      </c>
      <c r="F15" s="2931" t="e">
        <f t="shared" ref="F15:F23" si="1">ROUND(D15*10000/C15,0)</f>
        <v>#DIV/0!</v>
      </c>
      <c r="G15" s="2513"/>
      <c r="H15" s="2513"/>
      <c r="I15" s="2932"/>
      <c r="J15" s="2935"/>
    </row>
    <row r="16" spans="1:10" ht="16.5">
      <c r="A16" s="2930" t="s">
        <v>2134</v>
      </c>
      <c r="B16" s="2932"/>
      <c r="C16" s="2932"/>
      <c r="D16" s="2932"/>
      <c r="E16" s="2931" t="e">
        <f t="shared" si="0"/>
        <v>#DIV/0!</v>
      </c>
      <c r="F16" s="2931" t="e">
        <f t="shared" si="1"/>
        <v>#DIV/0!</v>
      </c>
      <c r="G16" s="2513"/>
      <c r="H16" s="2513"/>
      <c r="I16" s="2932"/>
      <c r="J16" s="2935"/>
    </row>
    <row r="17" spans="1:10" ht="16.5">
      <c r="A17" s="2930" t="s">
        <v>2135</v>
      </c>
      <c r="B17" s="2932"/>
      <c r="C17" s="2932"/>
      <c r="D17" s="2932"/>
      <c r="E17" s="2931" t="e">
        <f t="shared" si="0"/>
        <v>#DIV/0!</v>
      </c>
      <c r="F17" s="2931" t="e">
        <f t="shared" si="1"/>
        <v>#DIV/0!</v>
      </c>
      <c r="G17" s="2513"/>
      <c r="H17" s="2513"/>
      <c r="I17" s="2932"/>
      <c r="J17" s="2935"/>
    </row>
    <row r="18" spans="1:10" ht="16.5">
      <c r="A18" s="2930" t="s">
        <v>2136</v>
      </c>
      <c r="B18" s="2932"/>
      <c r="C18" s="2932"/>
      <c r="D18" s="2932"/>
      <c r="E18" s="2931" t="e">
        <f t="shared" si="0"/>
        <v>#DIV/0!</v>
      </c>
      <c r="F18" s="2931" t="e">
        <f t="shared" si="1"/>
        <v>#DIV/0!</v>
      </c>
      <c r="G18" s="2932"/>
      <c r="H18" s="2932"/>
      <c r="I18" s="2932"/>
      <c r="J18" s="2935"/>
    </row>
    <row r="19" spans="1:10" ht="16.5">
      <c r="A19" s="2930" t="s">
        <v>2137</v>
      </c>
      <c r="B19" s="2932"/>
      <c r="C19" s="2932"/>
      <c r="D19" s="2932"/>
      <c r="E19" s="2931" t="e">
        <f t="shared" si="0"/>
        <v>#DIV/0!</v>
      </c>
      <c r="F19" s="2931" t="e">
        <f t="shared" si="1"/>
        <v>#DIV/0!</v>
      </c>
      <c r="G19" s="2932"/>
      <c r="H19" s="2932"/>
      <c r="I19" s="2932"/>
      <c r="J19" s="2935"/>
    </row>
    <row r="20" spans="1:10" ht="16.5">
      <c r="A20" s="2930" t="s">
        <v>2138</v>
      </c>
      <c r="B20" s="2932"/>
      <c r="C20" s="2932"/>
      <c r="D20" s="2932"/>
      <c r="E20" s="2931" t="e">
        <f t="shared" si="0"/>
        <v>#DIV/0!</v>
      </c>
      <c r="F20" s="2931" t="e">
        <f t="shared" si="1"/>
        <v>#DIV/0!</v>
      </c>
      <c r="G20" s="2932"/>
      <c r="H20" s="2932"/>
      <c r="I20" s="2932"/>
      <c r="J20" s="2935"/>
    </row>
    <row r="21" spans="1:10" ht="16.5">
      <c r="A21" s="2930" t="s">
        <v>2139</v>
      </c>
      <c r="B21" s="2932"/>
      <c r="C21" s="2932"/>
      <c r="D21" s="2932"/>
      <c r="E21" s="2931" t="e">
        <f t="shared" si="0"/>
        <v>#DIV/0!</v>
      </c>
      <c r="F21" s="2931" t="e">
        <f t="shared" si="1"/>
        <v>#DIV/0!</v>
      </c>
      <c r="G21" s="2932"/>
      <c r="H21" s="2932"/>
      <c r="I21" s="2932"/>
      <c r="J21" s="2935"/>
    </row>
    <row r="22" spans="1:10" ht="16.5">
      <c r="A22" s="2930" t="s">
        <v>2140</v>
      </c>
      <c r="B22" s="2932"/>
      <c r="C22" s="2932"/>
      <c r="D22" s="2932"/>
      <c r="E22" s="2931" t="e">
        <f t="shared" si="0"/>
        <v>#DIV/0!</v>
      </c>
      <c r="F22" s="2931" t="e">
        <f t="shared" si="1"/>
        <v>#DIV/0!</v>
      </c>
      <c r="G22" s="2932"/>
      <c r="H22" s="2932"/>
      <c r="I22" s="2932"/>
      <c r="J22" s="2935"/>
    </row>
    <row r="23" spans="1:10" ht="16.5">
      <c r="A23" s="2930" t="s">
        <v>2141</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C21" sqref="C2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1571</v>
      </c>
      <c r="B1" s="1563"/>
      <c r="C1" s="1591" t="s">
        <v>1572</v>
      </c>
      <c r="D1" s="1592" t="s">
        <v>3361</v>
      </c>
      <c r="E1" s="1591" t="s">
        <v>1573</v>
      </c>
      <c r="F1" s="1593" t="s">
        <v>3362</v>
      </c>
      <c r="G1" s="302"/>
      <c r="H1" s="302"/>
      <c r="I1" s="302"/>
      <c r="J1" s="1751"/>
      <c r="K1" s="1751"/>
      <c r="L1" s="1751"/>
      <c r="M1" s="1751"/>
      <c r="N1" s="1751"/>
      <c r="O1" s="1751"/>
      <c r="P1" s="1751"/>
      <c r="Q1" s="1751"/>
      <c r="R1" s="1751"/>
      <c r="S1" s="1751"/>
      <c r="T1" s="1751"/>
      <c r="U1" s="1751"/>
      <c r="V1" s="1751"/>
    </row>
    <row r="2" spans="1:22" ht="21.75" customHeight="1" thickBot="1">
      <c r="A2" s="3815" t="str">
        <f>项目基本情况!K2</f>
        <v>北京市国家网络安全产业园区（通州）东部出让国有建设用地使用权</v>
      </c>
      <c r="B2" s="3816"/>
      <c r="C2" s="3817"/>
      <c r="D2" s="3817"/>
      <c r="E2" s="3817"/>
      <c r="F2" s="3817"/>
      <c r="G2" s="3816"/>
      <c r="H2" s="3816"/>
      <c r="I2" s="3818"/>
      <c r="J2" s="1752"/>
      <c r="K2" s="1751"/>
      <c r="L2" s="1751"/>
      <c r="M2" s="1751"/>
      <c r="N2" s="1751"/>
      <c r="O2" s="1751"/>
      <c r="P2" s="1751"/>
      <c r="Q2" s="1751"/>
      <c r="R2" s="1751"/>
      <c r="S2" s="1751"/>
      <c r="T2" s="1751"/>
      <c r="U2" s="1751"/>
      <c r="V2" s="1751"/>
    </row>
    <row r="3" spans="1:22" ht="14.25">
      <c r="A3" s="3808" t="s">
        <v>264</v>
      </c>
      <c r="B3" s="3809"/>
      <c r="C3" s="3809"/>
      <c r="D3" s="3809"/>
      <c r="E3" s="3809"/>
      <c r="F3" s="3809"/>
      <c r="G3" s="3809"/>
      <c r="H3" s="3809"/>
      <c r="I3" s="3809"/>
      <c r="J3" s="1752"/>
      <c r="K3" s="1751"/>
      <c r="L3" s="1751"/>
      <c r="M3" s="1751"/>
      <c r="N3" s="1751"/>
      <c r="O3" s="1751"/>
      <c r="P3" s="1751"/>
      <c r="Q3" s="1751"/>
      <c r="R3" s="1751"/>
      <c r="S3" s="1751"/>
      <c r="T3" s="1751"/>
      <c r="U3" s="1751"/>
      <c r="V3" s="1751"/>
    </row>
    <row r="4" spans="1:22" ht="14.25">
      <c r="A4" s="249" t="s">
        <v>265</v>
      </c>
      <c r="B4" s="250" t="s">
        <v>266</v>
      </c>
      <c r="C4" s="251" t="s">
        <v>3421</v>
      </c>
      <c r="D4" s="251" t="s">
        <v>3360</v>
      </c>
      <c r="E4" s="3774" t="s">
        <v>267</v>
      </c>
      <c r="F4" s="3775"/>
      <c r="G4" s="3775"/>
      <c r="H4" s="3775"/>
      <c r="I4" s="3810"/>
      <c r="J4" s="1752"/>
      <c r="K4" s="1751"/>
      <c r="L4" s="2936"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73" t="s">
        <v>268</v>
      </c>
      <c r="B5" s="3802">
        <v>25</v>
      </c>
      <c r="C5" s="3800"/>
      <c r="D5" s="3804"/>
      <c r="E5" s="252" t="s">
        <v>269</v>
      </c>
      <c r="F5" s="253"/>
      <c r="G5" s="253"/>
      <c r="H5" s="253"/>
      <c r="I5" s="254"/>
      <c r="J5" s="1752"/>
      <c r="K5" s="1751"/>
      <c r="L5" s="1751"/>
      <c r="M5" s="1751"/>
      <c r="N5" s="1751"/>
      <c r="O5" s="1751"/>
      <c r="P5" s="1751"/>
      <c r="Q5" s="1751"/>
      <c r="R5" s="1751"/>
      <c r="S5" s="1751"/>
      <c r="T5" s="1751"/>
      <c r="U5" s="1751"/>
      <c r="V5" s="1751"/>
    </row>
    <row r="6" spans="1:22" ht="14.25">
      <c r="A6" s="3773"/>
      <c r="B6" s="3802"/>
      <c r="C6" s="3803"/>
      <c r="D6" s="3804"/>
      <c r="E6" s="252" t="s">
        <v>270</v>
      </c>
      <c r="F6" s="253"/>
      <c r="G6" s="253"/>
      <c r="H6" s="253"/>
      <c r="I6" s="254"/>
      <c r="J6" s="1752"/>
      <c r="K6" s="1751"/>
      <c r="L6" s="1751"/>
      <c r="M6" s="1751"/>
      <c r="N6" s="1751"/>
      <c r="O6" s="1751"/>
      <c r="P6" s="1751"/>
      <c r="Q6" s="1751"/>
      <c r="R6" s="1751"/>
      <c r="S6" s="1751"/>
      <c r="T6" s="1751"/>
      <c r="U6" s="1751"/>
      <c r="V6" s="1751"/>
    </row>
    <row r="7" spans="1:22" ht="14.25">
      <c r="A7" s="3773"/>
      <c r="B7" s="3802"/>
      <c r="C7" s="3801"/>
      <c r="D7" s="3804"/>
      <c r="E7" s="252" t="s">
        <v>271</v>
      </c>
      <c r="F7" s="253"/>
      <c r="G7" s="253"/>
      <c r="H7" s="253"/>
      <c r="I7" s="254"/>
      <c r="J7" s="1752"/>
      <c r="K7" s="1751"/>
      <c r="L7" s="1751"/>
      <c r="M7" s="1751"/>
      <c r="N7" s="1751"/>
      <c r="O7" s="1751"/>
      <c r="P7" s="1751"/>
      <c r="Q7" s="1751"/>
      <c r="R7" s="1751"/>
      <c r="S7" s="1751"/>
      <c r="T7" s="1751"/>
      <c r="U7" s="1751"/>
      <c r="V7" s="1751"/>
    </row>
    <row r="8" spans="1:22" ht="14.25">
      <c r="A8" s="3773" t="s">
        <v>272</v>
      </c>
      <c r="B8" s="3802">
        <v>15</v>
      </c>
      <c r="C8" s="3800"/>
      <c r="D8" s="3804"/>
      <c r="E8" s="252" t="s">
        <v>273</v>
      </c>
      <c r="F8" s="253"/>
      <c r="G8" s="253"/>
      <c r="H8" s="253"/>
      <c r="I8" s="254"/>
      <c r="J8" s="1752"/>
      <c r="K8" s="1751"/>
      <c r="L8" s="1751"/>
      <c r="M8" s="1751"/>
      <c r="N8" s="1751"/>
      <c r="O8" s="1751"/>
      <c r="P8" s="1751"/>
      <c r="Q8" s="1751"/>
      <c r="R8" s="1751"/>
      <c r="S8" s="1751"/>
      <c r="T8" s="1751"/>
      <c r="U8" s="1751"/>
      <c r="V8" s="1751"/>
    </row>
    <row r="9" spans="1:22" ht="14.25">
      <c r="A9" s="3773"/>
      <c r="B9" s="3802"/>
      <c r="C9" s="3801"/>
      <c r="D9" s="3804"/>
      <c r="E9" s="252" t="s">
        <v>274</v>
      </c>
      <c r="F9" s="253"/>
      <c r="G9" s="253"/>
      <c r="H9" s="253"/>
      <c r="I9" s="254"/>
      <c r="J9" s="1752"/>
      <c r="K9" s="1751"/>
      <c r="L9" s="1751"/>
      <c r="M9" s="1751"/>
      <c r="N9" s="1751"/>
      <c r="O9" s="1751"/>
      <c r="P9" s="1751"/>
      <c r="Q9" s="1751"/>
      <c r="R9" s="1751"/>
      <c r="S9" s="1751"/>
      <c r="T9" s="1751"/>
      <c r="U9" s="1751"/>
      <c r="V9" s="1751"/>
    </row>
    <row r="10" spans="1:22" ht="14.25">
      <c r="A10" s="3773" t="s">
        <v>275</v>
      </c>
      <c r="B10" s="3802">
        <v>15</v>
      </c>
      <c r="C10" s="3800"/>
      <c r="D10" s="3804"/>
      <c r="E10" s="252" t="s">
        <v>276</v>
      </c>
      <c r="F10" s="253"/>
      <c r="G10" s="253"/>
      <c r="H10" s="253"/>
      <c r="I10" s="254"/>
      <c r="J10" s="1752"/>
      <c r="K10" s="1751"/>
      <c r="L10" s="1751"/>
      <c r="M10" s="1751"/>
      <c r="N10" s="1751"/>
      <c r="O10" s="1751"/>
      <c r="P10" s="1751"/>
      <c r="Q10" s="1751"/>
      <c r="R10" s="1751"/>
      <c r="S10" s="1751"/>
      <c r="T10" s="1751"/>
      <c r="U10" s="1751"/>
      <c r="V10" s="1751"/>
    </row>
    <row r="11" spans="1:22" ht="14.25">
      <c r="A11" s="3773"/>
      <c r="B11" s="3802"/>
      <c r="C11" s="3801"/>
      <c r="D11" s="3804"/>
      <c r="E11" s="252" t="s">
        <v>277</v>
      </c>
      <c r="F11" s="253"/>
      <c r="G11" s="253"/>
      <c r="H11" s="253"/>
      <c r="I11" s="254"/>
      <c r="J11" s="1752"/>
      <c r="K11" s="1751"/>
      <c r="L11" s="1751"/>
      <c r="M11" s="1751"/>
      <c r="N11" s="1751"/>
      <c r="O11" s="1751"/>
      <c r="P11" s="1751"/>
      <c r="Q11" s="1751"/>
      <c r="R11" s="1751"/>
      <c r="S11" s="1751"/>
      <c r="T11" s="1751"/>
      <c r="U11" s="1751"/>
      <c r="V11" s="1751"/>
    </row>
    <row r="12" spans="1:22" ht="14.25">
      <c r="A12" s="3773" t="s">
        <v>278</v>
      </c>
      <c r="B12" s="3802">
        <v>15</v>
      </c>
      <c r="C12" s="3800"/>
      <c r="D12" s="3804"/>
      <c r="E12" s="252" t="s">
        <v>279</v>
      </c>
      <c r="F12" s="253"/>
      <c r="G12" s="253"/>
      <c r="H12" s="253"/>
      <c r="I12" s="254"/>
      <c r="J12" s="1752"/>
      <c r="K12" s="1751"/>
      <c r="L12" s="1751"/>
      <c r="M12" s="1751"/>
      <c r="N12" s="1751"/>
      <c r="O12" s="1751"/>
      <c r="P12" s="1751"/>
      <c r="Q12" s="1751"/>
      <c r="R12" s="1751"/>
      <c r="S12" s="1751"/>
      <c r="T12" s="1751"/>
      <c r="U12" s="1751"/>
      <c r="V12" s="1751"/>
    </row>
    <row r="13" spans="1:22" ht="14.25">
      <c r="A13" s="3773"/>
      <c r="B13" s="3802"/>
      <c r="C13" s="3801"/>
      <c r="D13" s="3804"/>
      <c r="E13" s="252" t="s">
        <v>280</v>
      </c>
      <c r="F13" s="253"/>
      <c r="G13" s="253"/>
      <c r="H13" s="253"/>
      <c r="I13" s="254"/>
      <c r="J13" s="1752"/>
      <c r="K13" s="1751"/>
      <c r="L13" s="1751"/>
      <c r="M13" s="1751"/>
      <c r="N13" s="1751"/>
      <c r="O13" s="1751"/>
      <c r="P13" s="1751"/>
      <c r="Q13" s="1751"/>
      <c r="R13" s="1751"/>
      <c r="S13" s="1751"/>
      <c r="T13" s="1751"/>
      <c r="U13" s="1751"/>
      <c r="V13" s="1751"/>
    </row>
    <row r="14" spans="1:22" ht="14.25">
      <c r="A14" s="3773" t="s">
        <v>281</v>
      </c>
      <c r="B14" s="3802">
        <v>30</v>
      </c>
      <c r="C14" s="3800">
        <v>5</v>
      </c>
      <c r="D14" s="3804">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73"/>
      <c r="B15" s="3802"/>
      <c r="C15" s="3803"/>
      <c r="D15" s="3804"/>
      <c r="E15" s="252" t="s">
        <v>283</v>
      </c>
      <c r="F15" s="253"/>
      <c r="G15" s="253"/>
      <c r="H15" s="253"/>
      <c r="I15" s="254"/>
      <c r="J15" s="1752"/>
      <c r="K15" s="1751"/>
      <c r="L15" s="1751"/>
      <c r="M15" s="1751"/>
      <c r="N15" s="1751"/>
      <c r="O15" s="1751"/>
      <c r="P15" s="1751"/>
      <c r="Q15" s="1751"/>
      <c r="R15" s="1751"/>
      <c r="S15" s="1751"/>
      <c r="T15" s="1751"/>
      <c r="U15" s="1751"/>
      <c r="V15" s="1751"/>
    </row>
    <row r="16" spans="1:22" ht="14.25">
      <c r="A16" s="3773"/>
      <c r="B16" s="3802"/>
      <c r="C16" s="3801"/>
      <c r="D16" s="3804"/>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05" t="s">
        <v>2249</v>
      </c>
      <c r="F18" s="3806"/>
      <c r="G18" s="3806"/>
      <c r="H18" s="3806"/>
      <c r="I18" s="3806"/>
      <c r="J18" s="1751"/>
      <c r="K18" s="3677" t="s">
        <v>3363</v>
      </c>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3606</v>
      </c>
      <c r="D19" s="262">
        <f ca="1">SUMIF(INDIRECT("'"&amp;D4&amp;"'"&amp;"!A:A"),结果表!B19,INDIRECT("'"&amp;D4&amp;"'"&amp;"!B:B"))</f>
        <v>3502</v>
      </c>
      <c r="E19" s="259" t="s">
        <v>289</v>
      </c>
      <c r="F19" s="260" t="s">
        <v>288</v>
      </c>
      <c r="G19" s="263">
        <f ca="1">ROUND(C19*$C$18+D19*$D$18,0)</f>
        <v>3554</v>
      </c>
      <c r="H19" s="264" t="s">
        <v>290</v>
      </c>
      <c r="I19" s="302"/>
      <c r="J19" s="1751"/>
      <c r="K19" s="3678">
        <f>资料!B19</f>
        <v>4064.34</v>
      </c>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1333</v>
      </c>
      <c r="D20" s="268">
        <f ca="1">SUMIF(INDIRECT("'"&amp;D4&amp;"'"&amp;"!A:A"),结果表!B20,INDIRECT("'"&amp;D4&amp;"'"&amp;"!B:B"))</f>
        <v>1295</v>
      </c>
      <c r="E20" s="265"/>
      <c r="F20" s="266" t="s">
        <v>291</v>
      </c>
      <c r="G20" s="269">
        <f ca="1">ROUND(C20*$C$18+D20*$D$18,0)</f>
        <v>1314</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2083</v>
      </c>
      <c r="D21" s="144">
        <f ca="1">SUMIF(INDIRECT("'"&amp;D4&amp;"'"&amp;"!A:A"),结果表!B21,INDIRECT("'"&amp;D4&amp;"'"&amp;"!B:B"))</f>
        <v>2022</v>
      </c>
      <c r="E21" s="265"/>
      <c r="F21" s="271" t="s">
        <v>293</v>
      </c>
      <c r="G21" s="273">
        <f ca="1">ROUND(C21*$C$18+D21*$D$18,0)</f>
        <v>2053</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2.9697315819531722E-2</v>
      </c>
      <c r="E22" s="275"/>
      <c r="F22" s="276"/>
      <c r="G22" s="277">
        <f ca="1">ROUND(G19/('数据-汇总表'!D3/666.67),0)</f>
        <v>137</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79"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80"/>
      <c r="B25" s="1190" t="s">
        <v>297</v>
      </c>
      <c r="C25" s="281">
        <f>IF(B30=0,0,C30)</f>
        <v>0</v>
      </c>
      <c r="D25" s="282"/>
      <c r="E25" s="302"/>
      <c r="F25" s="302"/>
      <c r="G25" s="302"/>
      <c r="H25" s="302"/>
      <c r="I25" s="302"/>
      <c r="J25" s="1751"/>
      <c r="K25" s="1124" t="str">
        <f ca="1">项目基本情况!A17&amp;"国有建设用地使用权价格："&amp;O38&amp;"万元"</f>
        <v>出让国有建设用地使用权价格：3554万元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大写金额：人民币叁仟伍佰伍拾肆万元整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单位面积地价：2052元/平方米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楼面地价：1314元/平方米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抵押价格：3554万元</v>
      </c>
      <c r="L29" s="1121"/>
      <c r="M29" s="1121"/>
      <c r="N29" s="1121"/>
      <c r="O29" s="1120"/>
      <c r="P29" s="1751"/>
      <c r="V29" s="1751"/>
    </row>
    <row r="30" spans="1:26" ht="18.75" thickBot="1">
      <c r="A30" s="2554" t="s">
        <v>302</v>
      </c>
      <c r="B30" s="300"/>
      <c r="C30" s="300"/>
      <c r="D30" s="301"/>
      <c r="E30" s="2745" t="s">
        <v>2250</v>
      </c>
      <c r="F30" s="302"/>
      <c r="G30" s="302"/>
      <c r="H30" s="302"/>
      <c r="I30" s="302"/>
      <c r="J30" s="1751"/>
      <c r="K30" s="1127" t="str">
        <f ca="1">IF(K29="——","——","大写金额：人民币"&amp;NUMBERSTRING(INT(O39*10000),2)&amp;"元整")</f>
        <v>大写金额：人民币叁仟伍佰伍拾肆万元整</v>
      </c>
      <c r="L30" s="1121"/>
      <c r="M30" s="1121"/>
      <c r="N30" s="1121"/>
      <c r="O30" s="1120"/>
      <c r="P30" s="1751"/>
      <c r="V30" s="1751"/>
    </row>
    <row r="31" spans="1:26" ht="24" customHeight="1" thickBot="1">
      <c r="A31" s="3807" t="s">
        <v>2251</v>
      </c>
      <c r="B31" s="3807"/>
      <c r="C31" s="3807"/>
      <c r="D31" s="3807"/>
      <c r="E31" s="3807"/>
      <c r="F31" s="3807"/>
      <c r="G31" s="3807"/>
      <c r="H31" s="3807"/>
      <c r="I31" s="3807"/>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3554</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1314</v>
      </c>
      <c r="D33" s="1240" t="s">
        <v>1224</v>
      </c>
      <c r="E33" s="3779"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2052</v>
      </c>
      <c r="D34" s="1242" t="s">
        <v>1224</v>
      </c>
      <c r="E34" s="3823"/>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137</v>
      </c>
      <c r="D35" s="1245" t="s">
        <v>1226</v>
      </c>
      <c r="E35" s="3824"/>
      <c r="F35" s="292" t="s">
        <v>308</v>
      </c>
      <c r="G35" s="944"/>
      <c r="H35" s="943" t="s">
        <v>309</v>
      </c>
      <c r="I35" s="302"/>
      <c r="J35" s="1751"/>
      <c r="K35" s="3797" t="s">
        <v>316</v>
      </c>
      <c r="L35" s="3797" t="s">
        <v>317</v>
      </c>
      <c r="M35" s="1133" t="s">
        <v>318</v>
      </c>
      <c r="N35" s="3797" t="s">
        <v>319</v>
      </c>
      <c r="O35" s="3797" t="s">
        <v>320</v>
      </c>
      <c r="P35" s="1751"/>
      <c r="V35" s="1751"/>
    </row>
    <row r="36" spans="1:26" ht="16.5" customHeight="1">
      <c r="A36" s="294" t="s">
        <v>310</v>
      </c>
      <c r="B36" s="295" t="s">
        <v>299</v>
      </c>
      <c r="C36" s="296" t="s">
        <v>311</v>
      </c>
      <c r="D36" s="296" t="s">
        <v>312</v>
      </c>
      <c r="E36" s="297" t="s">
        <v>313</v>
      </c>
      <c r="F36" s="302"/>
      <c r="G36" s="302"/>
      <c r="H36" s="302"/>
      <c r="I36" s="302"/>
      <c r="J36" s="1753"/>
      <c r="K36" s="3798"/>
      <c r="L36" s="3798"/>
      <c r="M36" s="1135" t="s">
        <v>321</v>
      </c>
      <c r="N36" s="3798"/>
      <c r="O36" s="3798"/>
      <c r="P36" s="1751"/>
      <c r="V36" s="1751"/>
    </row>
    <row r="37" spans="1:26" ht="16.5" customHeight="1" thickBot="1">
      <c r="A37" s="1129" t="s">
        <v>314</v>
      </c>
      <c r="B37" s="298"/>
      <c r="C37" s="285"/>
      <c r="D37" s="285"/>
      <c r="E37" s="286"/>
      <c r="F37" s="302"/>
      <c r="G37" s="302"/>
      <c r="H37" s="302"/>
      <c r="I37" s="302"/>
      <c r="J37" s="1753"/>
      <c r="K37" s="3799"/>
      <c r="L37" s="3799"/>
      <c r="M37" s="1136"/>
      <c r="N37" s="3799"/>
      <c r="O37" s="3799"/>
      <c r="P37" s="1751"/>
      <c r="V37" s="1751"/>
    </row>
    <row r="38" spans="1:26" ht="16.5" customHeight="1" thickBot="1">
      <c r="A38" s="1129" t="s">
        <v>315</v>
      </c>
      <c r="B38" s="298"/>
      <c r="C38" s="285"/>
      <c r="D38" s="285"/>
      <c r="E38" s="286"/>
      <c r="F38" s="302"/>
      <c r="G38" s="302"/>
      <c r="H38" s="302"/>
      <c r="I38" s="302"/>
      <c r="J38" s="1753"/>
      <c r="K38" s="1137">
        <f>'数据-汇总表'!D3</f>
        <v>17315.580000000002</v>
      </c>
      <c r="L38" s="1138">
        <f>'数据-汇总表'!E3</f>
        <v>27041.94</v>
      </c>
      <c r="M38" s="1138">
        <f ca="1">C34</f>
        <v>2052</v>
      </c>
      <c r="N38" s="1138">
        <f ca="1">C33</f>
        <v>1314</v>
      </c>
      <c r="O38" s="1139">
        <f ca="1">C32</f>
        <v>3554</v>
      </c>
      <c r="P38" s="1751"/>
      <c r="V38" s="1751"/>
    </row>
    <row r="39" spans="1:26" ht="16.5" customHeight="1" thickBot="1">
      <c r="A39" s="1134"/>
      <c r="B39" s="299"/>
      <c r="C39" s="300"/>
      <c r="D39" s="300"/>
      <c r="E39" s="301"/>
      <c r="F39" s="302"/>
      <c r="G39" s="302"/>
      <c r="H39" s="302"/>
      <c r="I39" s="302"/>
      <c r="J39" s="1753"/>
      <c r="K39" s="3837" t="str">
        <f>MID(A44,3,LEN(A44)-2)</f>
        <v>抵押价格</v>
      </c>
      <c r="L39" s="3838"/>
      <c r="M39" s="3838"/>
      <c r="N39" s="3839"/>
      <c r="O39" s="1247">
        <f ca="1">C44</f>
        <v>3554</v>
      </c>
      <c r="P39" s="1751"/>
      <c r="V39" s="1751"/>
    </row>
    <row r="40" spans="1:26" ht="19.5" thickBot="1">
      <c r="A40" s="100" t="s">
        <v>810</v>
      </c>
      <c r="B40" s="302"/>
      <c r="C40" s="302"/>
      <c r="D40" s="302"/>
      <c r="E40" s="302"/>
      <c r="F40" s="302"/>
      <c r="G40" s="302"/>
      <c r="H40" s="302"/>
      <c r="I40" s="302"/>
      <c r="J40" s="1753"/>
      <c r="K40" s="3837" t="str">
        <f>MID(A45,3,LEN(A45)-2)</f>
        <v/>
      </c>
      <c r="L40" s="3838"/>
      <c r="M40" s="3838"/>
      <c r="N40" s="3839"/>
      <c r="O40" s="1247" t="str">
        <f>C45</f>
        <v>——</v>
      </c>
      <c r="P40" s="1751"/>
      <c r="V40" s="1751"/>
    </row>
    <row r="41" spans="1:26" ht="16.5" thickBot="1">
      <c r="A41" s="303" t="s">
        <v>322</v>
      </c>
      <c r="B41" s="304"/>
      <c r="C41" s="305" t="s">
        <v>323</v>
      </c>
      <c r="D41" s="306" t="s">
        <v>324</v>
      </c>
      <c r="E41" s="306" t="s">
        <v>325</v>
      </c>
      <c r="F41" s="307" t="s">
        <v>326</v>
      </c>
      <c r="G41" s="302"/>
      <c r="H41" s="302"/>
      <c r="I41" s="302"/>
      <c r="J41" s="1753"/>
      <c r="K41" s="3837" t="str">
        <f>MID(A46,3,LEN(A46)-2)</f>
        <v/>
      </c>
      <c r="L41" s="3838"/>
      <c r="M41" s="3838"/>
      <c r="N41" s="3839"/>
      <c r="O41" s="1247" t="str">
        <f>C46</f>
        <v>——</v>
      </c>
      <c r="P41" s="1751"/>
      <c r="V41" s="1751"/>
    </row>
    <row r="42" spans="1:26" ht="29.25">
      <c r="A42" s="3781" t="s">
        <v>1583</v>
      </c>
      <c r="B42" s="3782"/>
      <c r="C42" s="255">
        <f ca="1">C32</f>
        <v>3554</v>
      </c>
      <c r="D42" s="308">
        <f ca="1">C33</f>
        <v>1314</v>
      </c>
      <c r="E42" s="308">
        <f ca="1">C34</f>
        <v>2052</v>
      </c>
      <c r="F42" s="309">
        <f ca="1">C35</f>
        <v>137</v>
      </c>
      <c r="G42" s="302"/>
      <c r="H42" s="302"/>
      <c r="I42" s="310"/>
      <c r="J42" s="1753"/>
      <c r="K42" s="1140" t="s">
        <v>327</v>
      </c>
      <c r="L42" s="1770" t="s">
        <v>328</v>
      </c>
      <c r="M42" s="1141" t="s">
        <v>329</v>
      </c>
      <c r="N42" s="1771" t="s">
        <v>330</v>
      </c>
      <c r="O42" s="1772" t="s">
        <v>331</v>
      </c>
      <c r="P42" s="1751"/>
      <c r="V42" s="1751"/>
    </row>
    <row r="43" spans="1:26" ht="18">
      <c r="A43" s="3792" t="s">
        <v>2010</v>
      </c>
      <c r="B43" s="3793"/>
      <c r="C43" s="255">
        <f>IF(H33="正常操作",G33+G34+G35,G34+G35)</f>
        <v>0</v>
      </c>
      <c r="D43" s="308" t="s">
        <v>17</v>
      </c>
      <c r="E43" s="308" t="s">
        <v>18</v>
      </c>
      <c r="F43" s="309" t="s">
        <v>18</v>
      </c>
      <c r="G43" s="2345" t="s">
        <v>877</v>
      </c>
      <c r="H43" s="302"/>
      <c r="I43" s="310"/>
      <c r="J43" s="1753"/>
      <c r="K43" s="1142" t="str">
        <f>C4</f>
        <v>比较法-工业</v>
      </c>
      <c r="L43" s="1143">
        <f ca="1">IF(L42="估价结果/万元",C19,C20)</f>
        <v>3606</v>
      </c>
      <c r="M43" s="1144">
        <f>C18</f>
        <v>0.5</v>
      </c>
      <c r="N43" s="1145">
        <f ca="1">IF(N42="测算结果/万元",G19,G20)</f>
        <v>3554</v>
      </c>
      <c r="O43" s="1146">
        <f ca="1">IF(O42="最终结果/万元",C32,C33)</f>
        <v>3554</v>
      </c>
      <c r="P43" s="1751"/>
      <c r="V43" s="1751"/>
    </row>
    <row r="44" spans="1:26" ht="30.75" thickBot="1">
      <c r="A44" s="3781" t="str">
        <f>IF(OR(项目基本情况!E8="抵押价格",项目基本情况!E8="已注销及未注销"),"3.抵押价格","——")</f>
        <v>3.抵押价格</v>
      </c>
      <c r="B44" s="3782"/>
      <c r="C44" s="255">
        <f ca="1">IF(A44="——","——",C42-C43)</f>
        <v>3554</v>
      </c>
      <c r="D44" s="308">
        <f ca="1">ROUND(C44*10000/'数据-汇总表'!E3,0)</f>
        <v>1314</v>
      </c>
      <c r="E44" s="308">
        <f ca="1">ROUND(C44*10000/'数据-汇总表'!D3,0)</f>
        <v>2052</v>
      </c>
      <c r="F44" s="309">
        <f ca="1">ROUND(C44/('数据-汇总表'!D3/666.67),0)</f>
        <v>137</v>
      </c>
      <c r="G44" s="302"/>
      <c r="H44" s="302"/>
      <c r="I44" s="310"/>
      <c r="J44" s="1753"/>
      <c r="K44" s="1147" t="str">
        <f>D4</f>
        <v>剩余法-待开发</v>
      </c>
      <c r="L44" s="1148">
        <f ca="1">IF(L42="估价结果/万元",D19,D20)</f>
        <v>3502</v>
      </c>
      <c r="M44" s="1149">
        <f>D18</f>
        <v>0.5</v>
      </c>
      <c r="N44" s="1150"/>
      <c r="O44" s="1151"/>
      <c r="P44" s="1751"/>
      <c r="V44" s="1751"/>
    </row>
    <row r="45" spans="1:26" ht="15">
      <c r="A45" s="3787" t="str">
        <f>IF(项目基本情况!E8="已注销及未注销","4.抵押担保权已注销时的抵押价格",IF(项目基本情况!E8="已注销","3.抵押担保权已注销时的抵押价格","——"))</f>
        <v>——</v>
      </c>
      <c r="B45" s="3788"/>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83" t="str">
        <f>IF(项目基本情况!E9="抵押净值",IF(A45="——","4.抵押净值","5.抵押净值"),"——")</f>
        <v>——</v>
      </c>
      <c r="B46" s="3784"/>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31" t="s">
        <v>340</v>
      </c>
      <c r="B63" s="3832"/>
      <c r="C63" s="3833"/>
      <c r="D63" s="332">
        <f ca="1">ROUND(C42*F63,0)</f>
        <v>3554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789" t="s">
        <v>344</v>
      </c>
      <c r="B64" s="3790"/>
      <c r="C64" s="3790"/>
      <c r="D64" s="3790"/>
      <c r="E64" s="3790"/>
      <c r="F64" s="3790"/>
      <c r="G64" s="3791"/>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785" t="s">
        <v>352</v>
      </c>
      <c r="B66" s="3786"/>
      <c r="C66" s="3786"/>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7"/>
      <c r="K66" s="1160">
        <v>1</v>
      </c>
      <c r="L66" s="3846" t="s">
        <v>351</v>
      </c>
      <c r="M66" s="3847"/>
      <c r="N66" s="2109"/>
      <c r="O66" s="2110"/>
      <c r="P66" s="2111"/>
      <c r="Q66" s="1751"/>
      <c r="R66" s="1751"/>
      <c r="S66" s="1751"/>
      <c r="T66" s="1751"/>
      <c r="U66" s="1751"/>
      <c r="V66" s="1751"/>
    </row>
    <row r="67" spans="1:22" ht="25.5" customHeight="1">
      <c r="A67" s="343" t="s">
        <v>355</v>
      </c>
      <c r="B67" s="3776" t="s">
        <v>356</v>
      </c>
      <c r="C67" s="3776"/>
      <c r="D67" s="344">
        <v>0</v>
      </c>
      <c r="E67" s="39" t="s">
        <v>357</v>
      </c>
      <c r="F67" s="60" t="s">
        <v>15</v>
      </c>
      <c r="G67" s="3834"/>
      <c r="H67" s="2748" t="s">
        <v>2252</v>
      </c>
      <c r="I67" s="2750"/>
      <c r="J67" s="1758"/>
      <c r="K67" s="1730">
        <v>2</v>
      </c>
      <c r="L67" s="3840" t="s">
        <v>354</v>
      </c>
      <c r="M67" s="3840"/>
      <c r="N67" s="1194">
        <f>'数据-取费表'!B2</f>
        <v>45040</v>
      </c>
      <c r="O67" s="1194"/>
      <c r="P67" s="1194"/>
      <c r="Q67" s="1751"/>
      <c r="R67" s="1751"/>
      <c r="S67" s="1751"/>
      <c r="T67" s="1751"/>
      <c r="U67" s="1751"/>
      <c r="V67" s="1751"/>
    </row>
    <row r="68" spans="1:22" ht="25.5" customHeight="1">
      <c r="A68" s="345"/>
      <c r="B68" s="3776" t="s">
        <v>359</v>
      </c>
      <c r="C68" s="3776"/>
      <c r="D68" s="346"/>
      <c r="E68" s="75"/>
      <c r="F68" s="347"/>
      <c r="G68" s="3835"/>
      <c r="H68" s="2749" t="s">
        <v>2253</v>
      </c>
      <c r="I68" s="2750"/>
      <c r="J68" s="1758"/>
      <c r="K68" s="1730">
        <v>3</v>
      </c>
      <c r="L68" s="3840" t="s">
        <v>358</v>
      </c>
      <c r="M68" s="3840"/>
      <c r="N68" s="1162">
        <f ca="1">C42</f>
        <v>3554</v>
      </c>
      <c r="O68" s="1162"/>
      <c r="P68" s="1162"/>
      <c r="Q68" s="1751"/>
      <c r="R68" s="1751"/>
      <c r="S68" s="1751"/>
      <c r="T68" s="1751"/>
      <c r="U68" s="1751"/>
      <c r="V68" s="1751"/>
    </row>
    <row r="69" spans="1:22" ht="23.45" customHeight="1">
      <c r="A69" s="348"/>
      <c r="B69" s="3776" t="s">
        <v>360</v>
      </c>
      <c r="C69" s="3776"/>
      <c r="D69" s="349"/>
      <c r="E69" s="71"/>
      <c r="F69" s="347"/>
      <c r="G69" s="3836"/>
      <c r="H69" s="2749" t="s">
        <v>2254</v>
      </c>
      <c r="I69" s="2750"/>
      <c r="J69" s="1758"/>
      <c r="K69" s="1163">
        <v>4</v>
      </c>
      <c r="L69" s="3850" t="s">
        <v>2155</v>
      </c>
      <c r="M69" s="3851"/>
      <c r="N69" s="1164">
        <f ca="1">C44</f>
        <v>3554</v>
      </c>
      <c r="O69" s="1164"/>
      <c r="P69" s="1164"/>
      <c r="Q69" s="1751"/>
      <c r="R69" s="1751"/>
      <c r="S69" s="1751"/>
      <c r="T69" s="1751"/>
      <c r="U69" s="1751"/>
      <c r="V69" s="1751"/>
    </row>
    <row r="70" spans="1:22" ht="24" customHeight="1">
      <c r="A70" s="350" t="s">
        <v>361</v>
      </c>
      <c r="B70" s="3776" t="s">
        <v>362</v>
      </c>
      <c r="C70" s="3776"/>
      <c r="D70" s="349">
        <f ca="1">ROUND(D63*'数据-取费表'!B41/(1+'数据-取费表'!C42),0)</f>
        <v>186</v>
      </c>
      <c r="E70" s="15" t="s">
        <v>363</v>
      </c>
      <c r="F70" s="351">
        <f>'数据-取费表'!B41</f>
        <v>5.5000000000000007E-2</v>
      </c>
      <c r="G70" s="352"/>
      <c r="H70" s="302"/>
      <c r="I70" s="1161"/>
      <c r="J70" s="1758"/>
      <c r="K70" s="2521"/>
      <c r="L70" s="2522"/>
      <c r="M70" s="2522"/>
      <c r="N70" s="2523" t="s">
        <v>2159</v>
      </c>
      <c r="O70" s="2522"/>
      <c r="P70" s="2524"/>
      <c r="Q70" s="1751"/>
      <c r="R70" s="1751"/>
      <c r="S70" s="1751"/>
      <c r="T70" s="1751"/>
      <c r="U70" s="1751"/>
      <c r="V70" s="1751"/>
    </row>
    <row r="71" spans="1:22" ht="12" customHeight="1">
      <c r="A71" s="350" t="s">
        <v>369</v>
      </c>
      <c r="B71" s="3777" t="s">
        <v>2281</v>
      </c>
      <c r="C71" s="3778"/>
      <c r="D71" s="349">
        <f ca="1">ROUND(D63*'数据-取费表'!B41/(1+'数据-取费表'!C42),0)</f>
        <v>186</v>
      </c>
      <c r="E71" s="15" t="s">
        <v>363</v>
      </c>
      <c r="F71" s="351">
        <f>'数据-取费表'!B41</f>
        <v>5.5000000000000007E-2</v>
      </c>
      <c r="G71" s="352"/>
      <c r="H71" s="302"/>
      <c r="I71" s="1161"/>
      <c r="J71" s="1758"/>
      <c r="K71" s="2520" t="s">
        <v>364</v>
      </c>
      <c r="L71" s="3852" t="s">
        <v>365</v>
      </c>
      <c r="M71" s="3852"/>
      <c r="N71" s="2520" t="s">
        <v>366</v>
      </c>
      <c r="O71" s="2520" t="s">
        <v>367</v>
      </c>
      <c r="P71" s="2520" t="s">
        <v>368</v>
      </c>
      <c r="Q71" s="1751"/>
      <c r="R71" s="1751"/>
      <c r="S71" s="1751"/>
      <c r="T71" s="1751"/>
      <c r="U71" s="1751"/>
      <c r="V71" s="1751"/>
    </row>
    <row r="72" spans="1:22" ht="12" customHeight="1">
      <c r="A72" s="350" t="s">
        <v>371</v>
      </c>
      <c r="B72" s="3777" t="s">
        <v>2282</v>
      </c>
      <c r="C72" s="3778"/>
      <c r="D72" s="349">
        <f ca="1">C86</f>
        <v>186</v>
      </c>
      <c r="E72" s="71" t="s">
        <v>372</v>
      </c>
      <c r="F72" s="351">
        <f>'数据-取费表'!B41</f>
        <v>5.5000000000000007E-2</v>
      </c>
      <c r="G72" s="352"/>
      <c r="H72" s="1167"/>
      <c r="I72" s="1161"/>
      <c r="J72" s="1758"/>
      <c r="K72" s="1730">
        <v>1</v>
      </c>
      <c r="L72" s="3827" t="s">
        <v>370</v>
      </c>
      <c r="M72" s="3827"/>
      <c r="N72" s="1165" t="b">
        <f>D66</f>
        <v>0</v>
      </c>
      <c r="O72" s="1635" t="str">
        <f>E66</f>
        <v>销售额×税（费）率</v>
      </c>
      <c r="P72" s="1166">
        <f>F66</f>
        <v>5.5000000000000007E-2</v>
      </c>
      <c r="Q72" s="1751"/>
      <c r="R72" s="1751"/>
      <c r="S72" s="1751"/>
      <c r="T72" s="1751"/>
      <c r="U72" s="1751"/>
      <c r="V72" s="1751"/>
    </row>
    <row r="73" spans="1:22" ht="24" customHeight="1">
      <c r="A73" s="3822" t="s">
        <v>374</v>
      </c>
      <c r="B73" s="3786"/>
      <c r="C73" s="3786"/>
      <c r="D73" s="353">
        <f ca="1">IF(H73="个人住宅",0,ROUND(D63*I73,0))</f>
        <v>2</v>
      </c>
      <c r="E73" s="15" t="s">
        <v>375</v>
      </c>
      <c r="F73" s="351" t="str">
        <f>IF(H73="正常",I73,"免征")</f>
        <v>免征</v>
      </c>
      <c r="G73" s="352"/>
      <c r="H73" s="184"/>
      <c r="I73" s="351">
        <f>'数据-取费表'!B49</f>
        <v>5.0000000000000001E-4</v>
      </c>
      <c r="J73" s="1758"/>
      <c r="K73" s="1730">
        <v>2</v>
      </c>
      <c r="L73" s="3827" t="s">
        <v>373</v>
      </c>
      <c r="M73" s="3827"/>
      <c r="N73" s="1165">
        <f t="shared" ref="N73:P74" ca="1" si="0">D73</f>
        <v>2</v>
      </c>
      <c r="O73" s="1635" t="str">
        <f t="shared" si="0"/>
        <v>销售额×税（费）率</v>
      </c>
      <c r="P73" s="1166" t="str">
        <f t="shared" si="0"/>
        <v>免征</v>
      </c>
      <c r="Q73" s="1751"/>
      <c r="R73" s="1751"/>
      <c r="S73" s="1751"/>
      <c r="T73" s="1751"/>
      <c r="U73" s="1751"/>
      <c r="V73" s="1751"/>
    </row>
    <row r="74" spans="1:22" ht="24.75">
      <c r="A74" s="3822" t="s">
        <v>377</v>
      </c>
      <c r="B74" s="3786"/>
      <c r="C74" s="3786"/>
      <c r="D74" s="353">
        <f ca="1">IF(H74="个人住宅",D75,D76)</f>
        <v>2015</v>
      </c>
      <c r="E74" s="15" t="s">
        <v>378</v>
      </c>
      <c r="F74" s="351" t="str">
        <f>IF(H74="正常",F76,"免征")</f>
        <v>免征</v>
      </c>
      <c r="G74" s="945" t="s">
        <v>379</v>
      </c>
      <c r="H74" s="354"/>
      <c r="I74" s="40"/>
      <c r="J74" s="1758"/>
      <c r="K74" s="1730">
        <v>3</v>
      </c>
      <c r="L74" s="3827" t="s">
        <v>376</v>
      </c>
      <c r="M74" s="3827"/>
      <c r="N74" s="1165">
        <f t="shared" ca="1" si="0"/>
        <v>2015</v>
      </c>
      <c r="O74" s="1635" t="str">
        <f t="shared" si="0"/>
        <v>增值额×税（费）率</v>
      </c>
      <c r="P74" s="1168" t="str">
        <f t="shared" si="0"/>
        <v>免征</v>
      </c>
      <c r="Q74" s="1751"/>
      <c r="R74" s="1751"/>
      <c r="S74" s="1751"/>
      <c r="T74" s="1751"/>
      <c r="U74" s="1751"/>
      <c r="V74" s="1751"/>
    </row>
    <row r="75" spans="1:22" ht="12.75">
      <c r="A75" s="350" t="s">
        <v>380</v>
      </c>
      <c r="B75" s="3774" t="s">
        <v>381</v>
      </c>
      <c r="C75" s="3810"/>
      <c r="D75" s="355">
        <v>0</v>
      </c>
      <c r="E75" s="39" t="s">
        <v>382</v>
      </c>
      <c r="F75" s="356"/>
      <c r="G75" s="352"/>
      <c r="H75" s="40"/>
      <c r="I75" s="40"/>
      <c r="J75" s="1758"/>
      <c r="K75" s="2514">
        <f>IF(H77="非个人房产","",4)</f>
        <v>4</v>
      </c>
      <c r="L75" s="3827" t="str">
        <f>IF(H77="非个人房产","——","个人所得税")</f>
        <v>个人所得税</v>
      </c>
      <c r="M75" s="3827"/>
      <c r="N75" s="1169">
        <f>D77</f>
        <v>0</v>
      </c>
      <c r="O75" s="1636" t="str">
        <f>E77</f>
        <v>差额计税</v>
      </c>
      <c r="P75" s="1170">
        <f>F77</f>
        <v>0.01</v>
      </c>
      <c r="Q75" s="1751"/>
      <c r="R75" s="1751"/>
      <c r="S75" s="1751"/>
      <c r="T75" s="1751"/>
      <c r="U75" s="1751"/>
      <c r="V75" s="1751"/>
    </row>
    <row r="76" spans="1:22" ht="24.75">
      <c r="A76" s="350" t="s">
        <v>361</v>
      </c>
      <c r="B76" s="3774" t="s">
        <v>384</v>
      </c>
      <c r="C76" s="3775"/>
      <c r="D76" s="353">
        <f ca="1">IF(H76="转让取得",C99,C115)</f>
        <v>2015</v>
      </c>
      <c r="E76" s="15" t="s">
        <v>385</v>
      </c>
      <c r="F76" s="51" t="s">
        <v>15</v>
      </c>
      <c r="G76" s="352"/>
      <c r="H76" s="354"/>
      <c r="I76" s="40"/>
      <c r="J76" s="1758"/>
      <c r="K76" s="2514" t="str">
        <f>IF(项目基本情况!K6="上海银行",IF(K75="",4,K75+1),"")</f>
        <v/>
      </c>
      <c r="L76" s="3842" t="str">
        <f>IF(项目基本情况!K6="上海银行","其他处置费用","")</f>
        <v/>
      </c>
      <c r="M76" s="3843"/>
      <c r="N76" s="1165" t="str">
        <f>IF(项目基本情况!K6="上海银行",N89,"")</f>
        <v/>
      </c>
      <c r="O76" s="3844" t="str">
        <f>IF(项目基本情况!K6="上海银行","包含处置中涉及的律师、诉讼、拍卖、评估等费用","")</f>
        <v/>
      </c>
      <c r="P76" s="3845"/>
      <c r="Q76" s="1751"/>
      <c r="R76" s="1751"/>
      <c r="S76" s="1751"/>
      <c r="T76" s="1751"/>
      <c r="U76" s="1751"/>
      <c r="V76" s="1751"/>
    </row>
    <row r="77" spans="1:22" ht="24.75" thickBot="1">
      <c r="A77" s="3829" t="s">
        <v>387</v>
      </c>
      <c r="B77" s="3830"/>
      <c r="C77" s="3830"/>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2255</v>
      </c>
      <c r="J77" s="1758"/>
      <c r="K77" s="3828">
        <f>IF(AND(K75="",K76=""),4,IF(项目基本情况!K6="上海银行",K76+1,K75+1))</f>
        <v>5</v>
      </c>
      <c r="L77" s="3827" t="s">
        <v>2156</v>
      </c>
      <c r="M77" s="2519" t="s">
        <v>383</v>
      </c>
      <c r="N77" s="1171"/>
      <c r="O77" s="1172">
        <f ca="1">SUMIF(N72:N76,"&lt;9e307")</f>
        <v>2017</v>
      </c>
      <c r="P77" s="1173"/>
      <c r="Q77" s="2517">
        <f ca="1">O77/N69</f>
        <v>0.56752954417557677</v>
      </c>
      <c r="R77" s="1751"/>
      <c r="S77" s="1751"/>
      <c r="T77" s="1751"/>
      <c r="U77" s="1751"/>
      <c r="V77" s="1751"/>
    </row>
    <row r="78" spans="1:22" ht="12" customHeight="1">
      <c r="A78" s="1174"/>
      <c r="B78" s="302"/>
      <c r="C78" s="302"/>
      <c r="D78" s="302"/>
      <c r="E78" s="40"/>
      <c r="F78" s="40"/>
      <c r="G78" s="40"/>
      <c r="H78" s="965"/>
      <c r="I78" s="302"/>
      <c r="J78" s="1758"/>
      <c r="K78" s="3828"/>
      <c r="L78" s="3827"/>
      <c r="M78" s="2519" t="s">
        <v>386</v>
      </c>
      <c r="N78" s="1171"/>
      <c r="O78" s="1172" t="str">
        <f ca="1">NUMBERSTRING(INT(O77*10000),2)&amp;"元整"</f>
        <v>贰仟零壹拾柒万元整</v>
      </c>
      <c r="P78" s="1173"/>
      <c r="Q78" s="1751"/>
      <c r="R78" s="1751"/>
      <c r="S78" s="1751"/>
      <c r="T78" s="1751"/>
      <c r="U78" s="1751"/>
      <c r="V78" s="1751"/>
    </row>
    <row r="79" spans="1:22" ht="13.5" thickBot="1">
      <c r="A79" s="3794" t="s">
        <v>388</v>
      </c>
      <c r="B79" s="3794"/>
      <c r="C79" s="3794"/>
      <c r="D79" s="3794"/>
      <c r="E79" s="3794"/>
      <c r="F79" s="40"/>
      <c r="G79" s="40"/>
      <c r="H79" s="965"/>
      <c r="I79" s="302"/>
      <c r="J79" s="1758"/>
      <c r="K79" s="3848">
        <f>K77+1</f>
        <v>6</v>
      </c>
      <c r="L79" s="3827" t="s">
        <v>2157</v>
      </c>
      <c r="M79" s="2519" t="s">
        <v>383</v>
      </c>
      <c r="N79" s="1171"/>
      <c r="O79" s="1172">
        <f ca="1">N69-O77</f>
        <v>1537</v>
      </c>
      <c r="P79" s="1173"/>
      <c r="Q79" s="1751"/>
      <c r="R79" s="1751"/>
      <c r="S79" s="1751"/>
      <c r="T79" s="1751"/>
      <c r="U79" s="1751"/>
      <c r="V79" s="1751"/>
    </row>
    <row r="80" spans="1:22" ht="12.75">
      <c r="A80" s="3795" t="s">
        <v>389</v>
      </c>
      <c r="B80" s="3796"/>
      <c r="C80" s="956"/>
      <c r="D80" s="956" t="s">
        <v>390</v>
      </c>
      <c r="E80" s="357" t="s">
        <v>391</v>
      </c>
      <c r="F80" s="40"/>
      <c r="G80" s="40"/>
      <c r="H80" s="965"/>
      <c r="I80" s="302"/>
      <c r="J80" s="1751"/>
      <c r="K80" s="3849"/>
      <c r="L80" s="3827"/>
      <c r="M80" s="2519" t="s">
        <v>386</v>
      </c>
      <c r="N80" s="1171"/>
      <c r="O80" s="1172" t="str">
        <f ca="1">NUMBERSTRING(INT(O79*10000),2)&amp;"元整"</f>
        <v>壹仟伍佰叁拾柒万元整</v>
      </c>
      <c r="P80" s="1173"/>
      <c r="Q80" s="1751"/>
      <c r="R80" s="1751"/>
      <c r="S80" s="1751"/>
      <c r="T80" s="1751"/>
      <c r="U80" s="1751"/>
      <c r="V80" s="1751"/>
    </row>
    <row r="81" spans="1:26" ht="13.5" thickBot="1">
      <c r="A81" s="368" t="s">
        <v>1352</v>
      </c>
      <c r="B81" s="358" t="s">
        <v>392</v>
      </c>
      <c r="C81" s="359">
        <f ca="1">ROUND((C82+C83)/(1+'数据-取费表'!C42),0)</f>
        <v>3385</v>
      </c>
      <c r="D81" s="360"/>
      <c r="E81" s="361"/>
      <c r="F81" s="40"/>
      <c r="G81" s="40"/>
      <c r="H81" s="965"/>
      <c r="I81" s="302"/>
      <c r="J81" s="1751"/>
      <c r="K81" s="2514">
        <f>K79+1</f>
        <v>7</v>
      </c>
      <c r="L81" s="3825" t="s">
        <v>2158</v>
      </c>
      <c r="M81" s="3826"/>
      <c r="N81" s="1175"/>
      <c r="O81" s="1176">
        <f ca="1">ROUND(O79*10000/'数据-汇总表'!E3,0)</f>
        <v>568</v>
      </c>
      <c r="P81" s="1177"/>
      <c r="Q81" s="1751"/>
      <c r="R81" s="1751"/>
      <c r="S81" s="1751"/>
      <c r="T81" s="1751"/>
      <c r="U81" s="1751"/>
      <c r="V81" s="1751"/>
    </row>
    <row r="82" spans="1:26" ht="13.5" thickTop="1">
      <c r="A82" s="362" t="s">
        <v>1353</v>
      </c>
      <c r="B82" s="363" t="s">
        <v>393</v>
      </c>
      <c r="C82" s="364">
        <f ca="1">D63</f>
        <v>3554</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41" t="s">
        <v>2146</v>
      </c>
      <c r="L83" s="2525" t="s">
        <v>2147</v>
      </c>
      <c r="M83" s="2515">
        <f ca="1">IF(N69&gt;10000,N69*0.5%,IF(AND(N69&gt;1000,N69&lt;=10000),N69*1%,IF(AND(N69&gt;100,N69&lt;=1000),N69*3%,IF(AND(N69&gt;10,N69&lt;=100),N69*5%,N69*8%))))</f>
        <v>35.54</v>
      </c>
      <c r="N83" s="51">
        <f ca="1">ROUND(M83,1)</f>
        <v>35.5</v>
      </c>
      <c r="O83" s="2518"/>
      <c r="P83" s="1751"/>
      <c r="Q83" s="1751"/>
      <c r="R83" s="1751"/>
      <c r="S83" s="1751"/>
      <c r="T83" s="1751"/>
      <c r="U83" s="1751"/>
      <c r="V83" s="1751"/>
    </row>
    <row r="84" spans="1:26" ht="12.75">
      <c r="A84" s="368" t="s">
        <v>1355</v>
      </c>
      <c r="B84" s="369" t="s">
        <v>395</v>
      </c>
      <c r="C84" s="370"/>
      <c r="D84" s="371" t="s">
        <v>13</v>
      </c>
      <c r="E84" s="2541" t="s">
        <v>2198</v>
      </c>
      <c r="F84" s="40"/>
      <c r="G84" s="40"/>
      <c r="H84" s="965"/>
      <c r="I84" s="302"/>
      <c r="J84" s="1751"/>
      <c r="K84" s="3841"/>
      <c r="L84" s="2525" t="s">
        <v>2148</v>
      </c>
      <c r="M84" s="2515">
        <f ca="1">IF(N69&gt;2000,N69*0.5%,IF(AND(N69&gt;1000,N69&lt;=2000),N69*0.6%,IF(AND(N69&gt;500,N69&lt;=1000),N69*0.7%,IF(AND(N69&gt;200,N69&lt;=500),N69*0.8%,IF(AND(N69&gt;100,N69&lt;=200),N69*0.9%,IF(AND(N69&gt;50,N69&lt;=100),N69*1%,IF(AND(N69&gt;20,N69&lt;=50),N69*1.5%,IF(AND(N69&gt;10,N69&lt;=20),N69*2%,IF(AND(N69&gt;1,N69&lt;=10),N69*2.5%)))))))))</f>
        <v>17.77</v>
      </c>
      <c r="N84" s="51">
        <f ca="1">ROUND(M84,1)</f>
        <v>17.8</v>
      </c>
      <c r="O84" s="1751" t="s">
        <v>2149</v>
      </c>
      <c r="P84" s="1751"/>
      <c r="Q84" s="1751"/>
      <c r="R84" s="1751"/>
      <c r="S84" s="1751"/>
      <c r="T84" s="1751"/>
      <c r="U84" s="1751"/>
      <c r="V84" s="1751"/>
    </row>
    <row r="85" spans="1:26" ht="12.75">
      <c r="A85" s="368" t="s">
        <v>1356</v>
      </c>
      <c r="B85" s="369" t="s">
        <v>396</v>
      </c>
      <c r="C85" s="372">
        <f ca="1">C81-C84</f>
        <v>3385</v>
      </c>
      <c r="D85" s="365" t="s">
        <v>13</v>
      </c>
      <c r="E85" s="366"/>
      <c r="F85" s="40"/>
      <c r="G85" s="40"/>
      <c r="H85" s="965"/>
      <c r="I85" s="302"/>
      <c r="J85" s="1751"/>
      <c r="K85" s="3841"/>
      <c r="L85" s="2525" t="s">
        <v>2150</v>
      </c>
      <c r="M85" s="2515">
        <f ca="1">IF(N69&gt;1000,N69*0.1%,IF(AND(N69&gt;500,N69&lt;=1000),N69*0.5%,IF(AND(N69&gt;50,N69&lt;=500),N69*1%,IF(AND(N69&gt;1,N69&lt;=50),N69*1.5%))))</f>
        <v>3.5540000000000003</v>
      </c>
      <c r="N85" s="51">
        <f ca="1">ROUND(M85,1)</f>
        <v>3.6</v>
      </c>
      <c r="O85" s="1751" t="s">
        <v>2149</v>
      </c>
      <c r="P85" s="1751"/>
      <c r="Q85" s="1751"/>
      <c r="R85" s="1751"/>
      <c r="S85" s="1751"/>
      <c r="T85" s="1751"/>
      <c r="U85" s="1751"/>
      <c r="V85" s="1751"/>
    </row>
    <row r="86" spans="1:26" ht="13.5" thickBot="1">
      <c r="A86" s="373" t="s">
        <v>1357</v>
      </c>
      <c r="B86" s="374" t="s">
        <v>397</v>
      </c>
      <c r="C86" s="375">
        <f ca="1">IF(C85&lt;=0,0,ROUND(C85*D86,0))</f>
        <v>186</v>
      </c>
      <c r="D86" s="376">
        <f>'数据-取费表'!B41</f>
        <v>5.5000000000000007E-2</v>
      </c>
      <c r="E86" s="377"/>
      <c r="F86" s="40"/>
      <c r="G86" s="40"/>
      <c r="H86" s="965"/>
      <c r="I86" s="302"/>
      <c r="J86" s="1751"/>
      <c r="K86" s="3841"/>
      <c r="L86" s="2525" t="s">
        <v>2151</v>
      </c>
      <c r="M86" s="2515">
        <f ca="1">N69*0.5%</f>
        <v>17.77</v>
      </c>
      <c r="N86" s="51">
        <f ca="1">IF(M86&gt;0.5,0.5,ROUND(M86,0))</f>
        <v>0.5</v>
      </c>
      <c r="O86" s="1751" t="s">
        <v>2152</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41"/>
      <c r="L87" s="2525" t="s">
        <v>2153</v>
      </c>
      <c r="M87" s="2515">
        <f ca="1">IF(N69&gt;=10000,(8.25+(N69-10000)*0.01%),IF(AND(N69&gt;=8000,N69&lt;10000),(7.85+(N69-8000)*0.02%),IF(AND(N69&gt;=5000,N69&lt;8000),(6.65+(N69-5000)*0.04%),IF(AND(N69&gt;=2000,N69&lt;5000),(4.25+(PN69-2000)*0.08%),IF(AND(N69&gt;=1000,N69&lt;2000),(2.75+(N69-1000)*0.15%),IF(AND(N69&gt;=100,N69&lt;1000),(0.5+(N69-100)*0.25%),IF(AND(N69&gt;0,N69&lt;100),N69*0.5%)))))))</f>
        <v>2.65</v>
      </c>
      <c r="N87" s="51">
        <f ca="1">ROUND(M87*0.9,1)</f>
        <v>2.4</v>
      </c>
      <c r="O87" s="2518"/>
      <c r="P87" s="1751"/>
      <c r="Q87" s="1751"/>
      <c r="R87" s="1751"/>
      <c r="S87" s="1751"/>
      <c r="T87" s="1751"/>
      <c r="U87" s="1751"/>
      <c r="V87" s="1751"/>
      <c r="W87" s="283"/>
      <c r="X87" s="283"/>
      <c r="Y87" s="283"/>
      <c r="Z87" s="283"/>
    </row>
    <row r="88" spans="1:26" s="1183" customFormat="1" ht="15" thickBot="1">
      <c r="A88" s="3820" t="s">
        <v>398</v>
      </c>
      <c r="B88" s="3821"/>
      <c r="C88" s="3821"/>
      <c r="D88" s="3821"/>
      <c r="E88" s="3821"/>
      <c r="F88" s="3821"/>
      <c r="G88" s="3821"/>
      <c r="H88" s="3821"/>
      <c r="I88" s="1184"/>
      <c r="J88" s="1759"/>
      <c r="K88" s="3841"/>
      <c r="L88" s="2525" t="s">
        <v>2154</v>
      </c>
      <c r="M88" s="2515">
        <f ca="1">IF(N69&gt;10000,N69*0.5%,IF(AND(N69&gt;5000,N69&lt;=10000),N69*1%,IF(AND(N69&gt;1000,N69&lt;=5000),N69*2%,IF(AND(N69&gt;200,N69&lt;=1000),N69*3%,N69*5%))))</f>
        <v>71.08</v>
      </c>
      <c r="N88" s="51">
        <f ca="1">ROUND(M88,1)</f>
        <v>71.099999999999994</v>
      </c>
      <c r="O88" s="2518"/>
      <c r="P88" s="1756"/>
      <c r="Q88" s="1756"/>
      <c r="R88" s="1756"/>
      <c r="S88" s="1756"/>
      <c r="T88" s="1756"/>
      <c r="U88" s="1756"/>
      <c r="V88" s="1756"/>
      <c r="W88" s="1760"/>
      <c r="X88" s="1760"/>
      <c r="Y88" s="1760"/>
      <c r="Z88" s="1760"/>
    </row>
    <row r="89" spans="1:26" s="1183" customFormat="1" ht="14.25">
      <c r="A89" s="3795" t="s">
        <v>389</v>
      </c>
      <c r="B89" s="3796"/>
      <c r="C89" s="956"/>
      <c r="D89" s="956" t="s">
        <v>390</v>
      </c>
      <c r="E89" s="378" t="s">
        <v>399</v>
      </c>
      <c r="F89" s="379"/>
      <c r="G89" s="379"/>
      <c r="H89" s="380"/>
      <c r="I89" s="1185"/>
      <c r="J89" s="1761"/>
      <c r="K89" s="3841"/>
      <c r="L89" s="2525" t="s">
        <v>16</v>
      </c>
      <c r="M89" s="2516"/>
      <c r="N89" s="51">
        <f ca="1">ROUND(SUM(N83:N88),0)</f>
        <v>131</v>
      </c>
      <c r="O89" s="2526">
        <f ca="1">N89/N69</f>
        <v>3.6859876195835681E-2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3385</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17</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777" t="s">
        <v>407</v>
      </c>
      <c r="F94" s="3776"/>
      <c r="G94" s="3776"/>
      <c r="H94" s="3819"/>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17</v>
      </c>
      <c r="D96" s="393">
        <f>'数据-取费表'!B43</f>
        <v>5.000000000000001E-3</v>
      </c>
      <c r="E96" s="3811" t="s">
        <v>1778</v>
      </c>
      <c r="F96" s="3812"/>
      <c r="G96" s="3812"/>
      <c r="H96" s="3813"/>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3368</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198.11764705882354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2015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20" t="s">
        <v>414</v>
      </c>
      <c r="B101" s="3821"/>
      <c r="C101" s="3821"/>
      <c r="D101" s="3821"/>
      <c r="E101" s="3821"/>
      <c r="F101" s="3821"/>
      <c r="G101" s="3821"/>
      <c r="H101" s="3821"/>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795" t="s">
        <v>389</v>
      </c>
      <c r="B102" s="3796"/>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3385</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17</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3" t="s">
        <v>2275</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771" t="s">
        <v>2247</v>
      </c>
      <c r="H108" s="3772"/>
      <c r="I108" s="2611"/>
      <c r="J108" s="1756"/>
      <c r="K108" s="2983" t="s">
        <v>2276</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14" t="s">
        <v>422</v>
      </c>
      <c r="F109" s="3812"/>
      <c r="G109" s="381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4">
        <v>0</v>
      </c>
      <c r="E110" s="3814" t="s">
        <v>424</v>
      </c>
      <c r="F110" s="3812"/>
      <c r="G110" s="3812"/>
      <c r="H110" s="3813"/>
      <c r="I110" s="9"/>
      <c r="J110" s="1756"/>
      <c r="K110" s="2984" t="s">
        <v>2277</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17</v>
      </c>
      <c r="D111" s="393">
        <f>'数据-取费表'!B43</f>
        <v>5.000000000000001E-3</v>
      </c>
      <c r="E111" s="3811" t="s">
        <v>1778</v>
      </c>
      <c r="F111" s="3812"/>
      <c r="G111" s="3812"/>
      <c r="H111" s="3813"/>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14" t="s">
        <v>1797</v>
      </c>
      <c r="F112" s="3812"/>
      <c r="G112" s="3812"/>
      <c r="H112" s="3813"/>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3368</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198.11764705882354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2015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topLeftCell="A4" zoomScale="80" zoomScaleNormal="50" zoomScaleSheetLayoutView="80" workbookViewId="0">
      <selection activeCell="M58" sqref="M58"/>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6.25" style="1198" customWidth="1"/>
    <col min="8" max="8" width="12.25" style="1198" customWidth="1"/>
    <col min="9" max="9" width="17.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478">
        <f>F62</f>
        <v>3606</v>
      </c>
      <c r="C2" s="2962"/>
      <c r="D2" s="2962"/>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c r="A3" s="1238" t="s">
        <v>1218</v>
      </c>
      <c r="B3" s="480">
        <f>ROUND(B2*10000/'数据-汇总表'!E3,0)</f>
        <v>1333</v>
      </c>
      <c r="C3" s="2961"/>
      <c r="D3" s="2961"/>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f>IF(B43="单位面积地价",C45,ROUND(B2*10000/'数据-汇总表'!D3,0))</f>
        <v>2083</v>
      </c>
      <c r="C4" s="2961"/>
      <c r="D4" s="2961"/>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f>ROUND(B2/('数据-汇总表'!D3/666.67),0)</f>
        <v>139</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2953"/>
      <c r="AC5" s="1784"/>
    </row>
    <row r="6" spans="1:29" ht="15">
      <c r="A6" s="482" t="s">
        <v>470</v>
      </c>
      <c r="B6" s="483"/>
      <c r="C6" s="3884" t="s">
        <v>471</v>
      </c>
      <c r="D6" s="3885"/>
      <c r="E6" s="3886" t="s">
        <v>472</v>
      </c>
      <c r="F6" s="3887"/>
      <c r="G6" s="3884" t="s">
        <v>473</v>
      </c>
      <c r="H6" s="3885"/>
      <c r="I6" s="3884" t="s">
        <v>474</v>
      </c>
      <c r="J6" s="3885"/>
      <c r="K6" s="484" t="s">
        <v>475</v>
      </c>
      <c r="L6" s="1855"/>
      <c r="M6" s="1856"/>
      <c r="N6" s="1856"/>
      <c r="O6" s="1856"/>
      <c r="P6" s="3888" t="s">
        <v>476</v>
      </c>
      <c r="Q6" s="3889"/>
      <c r="R6" s="3870" t="s">
        <v>472</v>
      </c>
      <c r="S6" s="3871"/>
      <c r="T6" s="3870" t="s">
        <v>473</v>
      </c>
      <c r="U6" s="3871"/>
      <c r="V6" s="3896" t="s">
        <v>474</v>
      </c>
      <c r="W6" s="3896"/>
      <c r="X6" s="1380"/>
      <c r="Y6" s="3870" t="s">
        <v>476</v>
      </c>
      <c r="Z6" s="3871"/>
      <c r="AA6" s="3881" t="s">
        <v>472</v>
      </c>
      <c r="AB6" s="3882" t="s">
        <v>473</v>
      </c>
      <c r="AC6" s="3881" t="s">
        <v>474</v>
      </c>
    </row>
    <row r="7" spans="1:29" ht="51.75" customHeight="1">
      <c r="A7" s="485"/>
      <c r="B7" s="486"/>
      <c r="C7" s="3874" t="s">
        <v>2187</v>
      </c>
      <c r="D7" s="3875"/>
      <c r="E7" s="3897" t="str">
        <f>土地案例!A2</f>
        <v>北京市房山区韩村河镇FS17-0101-0003地块M4工业研发用地项目</v>
      </c>
      <c r="F7" s="3898"/>
      <c r="G7" s="3874" t="str">
        <f>土地案例!A3</f>
        <v>北京市永乐经济开发区TZ10-0300-6009地块</v>
      </c>
      <c r="H7" s="3875"/>
      <c r="I7" s="3874" t="str">
        <f>土地案例!A4</f>
        <v>北京市通州区西集镇TZ07-0102-0060地块</v>
      </c>
      <c r="J7" s="3875"/>
      <c r="K7" s="484"/>
      <c r="L7" s="1855"/>
      <c r="M7" s="1856"/>
      <c r="N7" s="1856"/>
      <c r="O7" s="1856"/>
      <c r="P7" s="3890"/>
      <c r="Q7" s="3891"/>
      <c r="R7" s="3872"/>
      <c r="S7" s="3873"/>
      <c r="T7" s="3872"/>
      <c r="U7" s="3873"/>
      <c r="V7" s="3896"/>
      <c r="W7" s="3896"/>
      <c r="X7" s="1380"/>
      <c r="Y7" s="3872"/>
      <c r="Z7" s="3873"/>
      <c r="AA7" s="3882"/>
      <c r="AB7" s="3882"/>
      <c r="AC7" s="3882"/>
    </row>
    <row r="8" spans="1:29" ht="15.75" thickBot="1">
      <c r="A8" s="487"/>
      <c r="B8" s="488"/>
      <c r="C8" s="3876" t="s">
        <v>2191</v>
      </c>
      <c r="D8" s="3877"/>
      <c r="E8" s="3879" t="s">
        <v>2191</v>
      </c>
      <c r="F8" s="3880"/>
      <c r="G8" s="3876" t="s">
        <v>2191</v>
      </c>
      <c r="H8" s="3877"/>
      <c r="I8" s="3876" t="s">
        <v>2191</v>
      </c>
      <c r="J8" s="3877"/>
      <c r="K8" s="484" t="s">
        <v>477</v>
      </c>
      <c r="L8" s="1855"/>
      <c r="M8" s="1856"/>
      <c r="N8" s="1856"/>
      <c r="O8" s="1856"/>
      <c r="P8" s="3892"/>
      <c r="Q8" s="3893"/>
      <c r="R8" s="3872"/>
      <c r="S8" s="3873"/>
      <c r="T8" s="3894"/>
      <c r="U8" s="3895"/>
      <c r="V8" s="3896"/>
      <c r="W8" s="3896"/>
      <c r="X8" s="1380"/>
      <c r="Y8" s="3894"/>
      <c r="Z8" s="3895"/>
      <c r="AA8" s="3883"/>
      <c r="AB8" s="3883"/>
      <c r="AC8" s="3883"/>
    </row>
    <row r="9" spans="1:29" s="1118" customFormat="1" ht="15.75" thickBot="1">
      <c r="A9" s="2391"/>
      <c r="B9" s="2398" t="s">
        <v>478</v>
      </c>
      <c r="C9" s="489">
        <f>'数据-取费表'!B2</f>
        <v>45040</v>
      </c>
      <c r="D9" s="490">
        <v>100</v>
      </c>
      <c r="E9" s="491">
        <f>土地案例!K2</f>
        <v>44937.000497685185</v>
      </c>
      <c r="F9" s="492">
        <f>SUMIF(66:66,YEAR(E9)&amp;"-"&amp;INT((MONTH(E9)+2)/3),67:67)</f>
        <v>99</v>
      </c>
      <c r="G9" s="493">
        <f>土地案例!K3</f>
        <v>44481.000497685185</v>
      </c>
      <c r="H9" s="490">
        <f>SUMIF(66:66,YEAR(G9)&amp;"-"&amp;INT((MONTH(G9)+2)/3),67:67)</f>
        <v>94</v>
      </c>
      <c r="I9" s="493">
        <f>土地案例!K4</f>
        <v>44376.000497685185</v>
      </c>
      <c r="J9" s="490">
        <f>SUMIF(66:66,YEAR(I9)&amp;"-"&amp;INT((MONTH(I9)+2)/3),67:67)</f>
        <v>92</v>
      </c>
      <c r="K9" s="494"/>
      <c r="L9" s="1857"/>
      <c r="M9" s="1858"/>
      <c r="N9" s="1858"/>
      <c r="O9" s="1858"/>
      <c r="P9" s="3868" t="s">
        <v>479</v>
      </c>
      <c r="Q9" s="3878"/>
      <c r="R9" s="1381" t="s">
        <v>5</v>
      </c>
      <c r="S9" s="1382">
        <f t="shared" ref="S9:S17" si="0">F9</f>
        <v>99</v>
      </c>
      <c r="T9" s="1381" t="s">
        <v>5</v>
      </c>
      <c r="U9" s="1382">
        <f t="shared" ref="U9:U17" si="1">H9</f>
        <v>94</v>
      </c>
      <c r="V9" s="1381" t="s">
        <v>5</v>
      </c>
      <c r="W9" s="1382">
        <f t="shared" ref="W9:W17" si="2">J9</f>
        <v>92</v>
      </c>
      <c r="X9" s="1383"/>
      <c r="Y9" s="3868" t="s">
        <v>479</v>
      </c>
      <c r="Z9" s="3869"/>
      <c r="AA9" s="1384">
        <f>D9/F9</f>
        <v>1.0101010101010102</v>
      </c>
      <c r="AB9" s="1384">
        <f>D9/H9</f>
        <v>1.0638297872340425</v>
      </c>
      <c r="AC9" s="1384">
        <f>D9/J9</f>
        <v>1.0869565217391304</v>
      </c>
    </row>
    <row r="10" spans="1:29" s="1118" customFormat="1" ht="15.75" thickBot="1">
      <c r="A10" s="2392"/>
      <c r="B10" s="2399"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7"/>
      <c r="M10" s="1858"/>
      <c r="N10" s="1858"/>
      <c r="O10" s="1858"/>
      <c r="P10" s="3868" t="s">
        <v>482</v>
      </c>
      <c r="Q10" s="3869"/>
      <c r="R10" s="1381" t="s">
        <v>5</v>
      </c>
      <c r="S10" s="1382">
        <f t="shared" si="0"/>
        <v>100</v>
      </c>
      <c r="T10" s="1381" t="s">
        <v>5</v>
      </c>
      <c r="U10" s="1382">
        <f t="shared" si="1"/>
        <v>100</v>
      </c>
      <c r="V10" s="1381" t="s">
        <v>5</v>
      </c>
      <c r="W10" s="1382">
        <f t="shared" si="2"/>
        <v>100</v>
      </c>
      <c r="X10" s="1383"/>
      <c r="Y10" s="3868" t="s">
        <v>482</v>
      </c>
      <c r="Z10" s="3869"/>
      <c r="AA10" s="1384">
        <f t="shared" ref="AA10:AA42" si="3">D10/F10</f>
        <v>1</v>
      </c>
      <c r="AB10" s="1384">
        <f t="shared" ref="AB10:AB42" si="4">D10/H10</f>
        <v>1</v>
      </c>
      <c r="AC10" s="1384">
        <f t="shared" ref="AC10:AC42" si="5">D10/J10</f>
        <v>1</v>
      </c>
    </row>
    <row r="11" spans="1:29" s="1118" customFormat="1" ht="15">
      <c r="A11" s="2393"/>
      <c r="B11" s="2400" t="s">
        <v>2036</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7"/>
      <c r="M11" s="1858"/>
      <c r="N11" s="1858"/>
      <c r="O11" s="1859"/>
      <c r="P11" s="3903"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29" s="1199" customFormat="1" ht="27">
      <c r="A12" s="2394"/>
      <c r="B12" s="2399" t="s">
        <v>2037</v>
      </c>
      <c r="C12" s="498"/>
      <c r="D12" s="246">
        <v>100</v>
      </c>
      <c r="E12" s="498"/>
      <c r="F12" s="246">
        <f>ROUND(100/'数据-取费表'!G16,0)</f>
        <v>106</v>
      </c>
      <c r="G12" s="498"/>
      <c r="H12" s="246">
        <f>ROUND(100/'数据-取费表'!G16,0)</f>
        <v>106</v>
      </c>
      <c r="I12" s="498"/>
      <c r="J12" s="246">
        <f>ROUND(100/'数据-取费表'!G16,0)</f>
        <v>106</v>
      </c>
      <c r="K12" s="501"/>
      <c r="L12" s="1860"/>
      <c r="M12" s="1899"/>
      <c r="N12" s="1899"/>
      <c r="O12" s="1861"/>
      <c r="P12" s="3903"/>
      <c r="Q12" s="1050" t="str">
        <f t="shared" si="6"/>
        <v>土地使用年限（年）</v>
      </c>
      <c r="R12" s="1381" t="s">
        <v>5</v>
      </c>
      <c r="S12" s="1382">
        <f t="shared" si="0"/>
        <v>106</v>
      </c>
      <c r="T12" s="1381" t="s">
        <v>5</v>
      </c>
      <c r="U12" s="1382">
        <f t="shared" si="1"/>
        <v>106</v>
      </c>
      <c r="V12" s="1381" t="s">
        <v>5</v>
      </c>
      <c r="W12" s="1382">
        <f t="shared" si="2"/>
        <v>106</v>
      </c>
      <c r="X12" s="1383"/>
      <c r="Y12" s="3802"/>
      <c r="Z12" s="1049" t="str">
        <f t="shared" si="7"/>
        <v>土地使用年限（年）</v>
      </c>
      <c r="AA12" s="1384">
        <f t="shared" si="3"/>
        <v>0.94339622641509435</v>
      </c>
      <c r="AB12" s="1384">
        <f t="shared" si="4"/>
        <v>0.94339622641509435</v>
      </c>
      <c r="AC12" s="1384">
        <f t="shared" si="5"/>
        <v>0.94339622641509435</v>
      </c>
    </row>
    <row r="13" spans="1:29" ht="15.75" thickBot="1">
      <c r="A13" s="2395"/>
      <c r="B13" s="2399" t="s">
        <v>2038</v>
      </c>
      <c r="C13" s="503"/>
      <c r="D13" s="246">
        <v>100</v>
      </c>
      <c r="E13" s="503"/>
      <c r="F13" s="246">
        <f>LOOKUP(E13,76:76,77:77)-LOOKUP(C13,76:76,77:77)+100</f>
        <v>100</v>
      </c>
      <c r="G13" s="504"/>
      <c r="H13" s="246">
        <f>LOOKUP(G13,76:76,77:77)-LOOKUP(C13,76:76,77:77)+100</f>
        <v>100</v>
      </c>
      <c r="I13" s="503"/>
      <c r="J13" s="246">
        <f>LOOKUP(I13,76:76,77:77)-LOOKUP(C13,76:76,77:77)+100</f>
        <v>100</v>
      </c>
      <c r="K13" s="505"/>
      <c r="L13" s="1862"/>
      <c r="M13" s="1856"/>
      <c r="N13" s="1856"/>
      <c r="O13" s="1863"/>
      <c r="P13" s="3903"/>
      <c r="Q13" s="1050" t="str">
        <f t="shared" si="6"/>
        <v>容积率</v>
      </c>
      <c r="R13" s="1381" t="s">
        <v>5</v>
      </c>
      <c r="S13" s="1382">
        <f t="shared" si="0"/>
        <v>100</v>
      </c>
      <c r="T13" s="1381" t="s">
        <v>5</v>
      </c>
      <c r="U13" s="1382">
        <f t="shared" si="1"/>
        <v>100</v>
      </c>
      <c r="V13" s="1381" t="s">
        <v>5</v>
      </c>
      <c r="W13" s="1382">
        <f t="shared" si="2"/>
        <v>100</v>
      </c>
      <c r="X13" s="1383"/>
      <c r="Y13" s="3802"/>
      <c r="Z13" s="1049" t="str">
        <f t="shared" si="7"/>
        <v>容积率</v>
      </c>
      <c r="AA13" s="1384">
        <f t="shared" si="3"/>
        <v>1</v>
      </c>
      <c r="AB13" s="1384">
        <f t="shared" si="4"/>
        <v>1</v>
      </c>
      <c r="AC13" s="1384">
        <f t="shared" si="5"/>
        <v>1</v>
      </c>
    </row>
    <row r="14" spans="1:29" s="1118" customFormat="1" ht="15" hidden="1">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3"/>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D14/F14</f>
        <v>1</v>
      </c>
      <c r="AB14" s="1384">
        <f>D14/H14</f>
        <v>1</v>
      </c>
      <c r="AC14" s="1384">
        <f>D14/J14</f>
        <v>1</v>
      </c>
    </row>
    <row r="15" spans="1:29" ht="15" hidden="1">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3"/>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 t="shared" si="3"/>
        <v>1</v>
      </c>
      <c r="AB15" s="1384">
        <f t="shared" si="4"/>
        <v>1</v>
      </c>
      <c r="AC15" s="1384">
        <f t="shared" si="5"/>
        <v>1</v>
      </c>
    </row>
    <row r="16" spans="1:29" ht="15.75" hidden="1"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3"/>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 t="shared" si="3"/>
        <v>1</v>
      </c>
      <c r="AB16" s="1384">
        <f t="shared" si="4"/>
        <v>1</v>
      </c>
      <c r="AC16" s="1384">
        <f t="shared" si="5"/>
        <v>1</v>
      </c>
    </row>
    <row r="17" spans="1:29" ht="15">
      <c r="A17" s="2389" t="s">
        <v>2034</v>
      </c>
      <c r="B17" s="159" t="s">
        <v>546</v>
      </c>
      <c r="C17" s="884" t="str">
        <f>估价对象房地状况!G15</f>
        <v>较好</v>
      </c>
      <c r="D17" s="519">
        <v>100</v>
      </c>
      <c r="E17" s="532" t="s">
        <v>3350</v>
      </c>
      <c r="F17" s="519">
        <f>SUMIF(84:84,E18,85:85)-SUMIF(84:84,C18,85:85)+100</f>
        <v>95</v>
      </c>
      <c r="G17" s="520" t="s">
        <v>3346</v>
      </c>
      <c r="H17" s="519">
        <f>SUMIF(84:84,G18,85:85)-SUMIF(84:84,C18,85:85)+100</f>
        <v>100</v>
      </c>
      <c r="I17" s="520" t="s">
        <v>3346</v>
      </c>
      <c r="J17" s="519">
        <f>SUMIF(84:84,I18,85:85)-SUMIF(84:84,C18,85:85)+100</f>
        <v>100</v>
      </c>
      <c r="K17" s="505">
        <v>5</v>
      </c>
      <c r="L17" s="1864"/>
      <c r="M17" s="1856"/>
      <c r="N17" s="1856"/>
      <c r="O17" s="1863"/>
      <c r="P17" s="3899" t="s">
        <v>489</v>
      </c>
      <c r="Q17" s="1385" t="str">
        <f t="shared" si="6"/>
        <v>产业集聚程度</v>
      </c>
      <c r="R17" s="1386" t="s">
        <v>5</v>
      </c>
      <c r="S17" s="1387">
        <f t="shared" si="0"/>
        <v>95</v>
      </c>
      <c r="T17" s="1386" t="s">
        <v>5</v>
      </c>
      <c r="U17" s="1387">
        <f t="shared" si="1"/>
        <v>100</v>
      </c>
      <c r="V17" s="1386" t="s">
        <v>5</v>
      </c>
      <c r="W17" s="1387">
        <f t="shared" si="2"/>
        <v>100</v>
      </c>
      <c r="X17" s="1380"/>
      <c r="Y17" s="3899" t="s">
        <v>489</v>
      </c>
      <c r="Z17" s="1388" t="str">
        <f t="shared" si="7"/>
        <v>产业集聚程度</v>
      </c>
      <c r="AA17" s="1389">
        <f t="shared" si="3"/>
        <v>1.0526315789473684</v>
      </c>
      <c r="AB17" s="1389">
        <f t="shared" si="4"/>
        <v>1</v>
      </c>
      <c r="AC17" s="1389">
        <f t="shared" si="5"/>
        <v>1</v>
      </c>
    </row>
    <row r="18" spans="1:29" ht="15">
      <c r="A18" s="502"/>
      <c r="B18" s="832"/>
      <c r="C18" s="546" t="s">
        <v>3346</v>
      </c>
      <c r="D18" s="525"/>
      <c r="E18" s="524" t="s">
        <v>3350</v>
      </c>
      <c r="F18" s="525"/>
      <c r="G18" s="524" t="s">
        <v>3346</v>
      </c>
      <c r="H18" s="529"/>
      <c r="I18" s="524" t="s">
        <v>3346</v>
      </c>
      <c r="J18" s="525"/>
      <c r="K18" s="501"/>
      <c r="L18" s="1864"/>
      <c r="M18" s="1856"/>
      <c r="N18" s="1856"/>
      <c r="O18" s="1863"/>
      <c r="P18" s="3900"/>
      <c r="Q18" s="1385"/>
      <c r="R18" s="1386"/>
      <c r="S18" s="1387"/>
      <c r="T18" s="1386"/>
      <c r="U18" s="1387"/>
      <c r="V18" s="1386"/>
      <c r="W18" s="1387"/>
      <c r="X18" s="1380"/>
      <c r="Y18" s="3900"/>
      <c r="Z18" s="1388"/>
      <c r="AA18" s="1389">
        <v>1</v>
      </c>
      <c r="AB18" s="1389">
        <v>1</v>
      </c>
      <c r="AC18" s="1389">
        <v>1</v>
      </c>
    </row>
    <row r="19" spans="1:29" ht="15">
      <c r="A19" s="502"/>
      <c r="B19" s="834" t="s">
        <v>492</v>
      </c>
      <c r="C19" s="835" t="str">
        <f>估价对象房地状况!G16</f>
        <v>较好</v>
      </c>
      <c r="D19" s="529">
        <v>100</v>
      </c>
      <c r="E19" s="532" t="s">
        <v>3346</v>
      </c>
      <c r="F19" s="535">
        <f>SUMIF(86:86,E20,87:87)-SUMIF(86:86,C20,87:87)+100</f>
        <v>100</v>
      </c>
      <c r="G19" s="532" t="s">
        <v>3346</v>
      </c>
      <c r="H19" s="535">
        <f>SUMIF(86:86,G20,87:87)-SUMIF(86:86,C20,87:87)+100</f>
        <v>100</v>
      </c>
      <c r="I19" s="532" t="s">
        <v>3346</v>
      </c>
      <c r="J19" s="529">
        <f>SUMIF(86:86,I20,87:87)-SUMIF(86:86,C20,87:87)+100</f>
        <v>100</v>
      </c>
      <c r="K19" s="505">
        <v>2</v>
      </c>
      <c r="L19" s="1864"/>
      <c r="M19" s="1856"/>
      <c r="N19" s="1856"/>
      <c r="O19" s="1863"/>
      <c r="P19" s="3900"/>
      <c r="Q19" s="1385" t="str">
        <f>B19</f>
        <v>交通便捷度</v>
      </c>
      <c r="R19" s="1386" t="s">
        <v>5</v>
      </c>
      <c r="S19" s="1387">
        <f>F19</f>
        <v>100</v>
      </c>
      <c r="T19" s="1386" t="s">
        <v>5</v>
      </c>
      <c r="U19" s="1387">
        <f>H19</f>
        <v>100</v>
      </c>
      <c r="V19" s="1386" t="s">
        <v>5</v>
      </c>
      <c r="W19" s="1387">
        <f>J19</f>
        <v>100</v>
      </c>
      <c r="X19" s="1380"/>
      <c r="Y19" s="3900"/>
      <c r="Z19" s="1388" t="str">
        <f>Q19</f>
        <v>交通便捷度</v>
      </c>
      <c r="AA19" s="1389">
        <f t="shared" si="3"/>
        <v>1</v>
      </c>
      <c r="AB19" s="1389">
        <f t="shared" si="4"/>
        <v>1</v>
      </c>
      <c r="AC19" s="1389">
        <f t="shared" si="5"/>
        <v>1</v>
      </c>
    </row>
    <row r="20" spans="1:29" ht="15">
      <c r="A20" s="502"/>
      <c r="B20" s="885"/>
      <c r="C20" s="546" t="s">
        <v>3346</v>
      </c>
      <c r="D20" s="525"/>
      <c r="E20" s="526" t="s">
        <v>3346</v>
      </c>
      <c r="F20" s="525"/>
      <c r="G20" s="526" t="s">
        <v>3346</v>
      </c>
      <c r="H20" s="525"/>
      <c r="I20" s="526" t="s">
        <v>3346</v>
      </c>
      <c r="J20" s="525"/>
      <c r="K20" s="501"/>
      <c r="L20" s="1864"/>
      <c r="M20" s="1856"/>
      <c r="N20" s="1856"/>
      <c r="O20" s="1863"/>
      <c r="P20" s="3900"/>
      <c r="Q20" s="1385"/>
      <c r="R20" s="1386"/>
      <c r="S20" s="1387"/>
      <c r="T20" s="1386"/>
      <c r="U20" s="1387"/>
      <c r="V20" s="1386"/>
      <c r="W20" s="1387"/>
      <c r="X20" s="1380"/>
      <c r="Y20" s="3900"/>
      <c r="Z20" s="1388"/>
      <c r="AA20" s="1389">
        <v>1</v>
      </c>
      <c r="AB20" s="1389">
        <v>1</v>
      </c>
      <c r="AC20" s="1389">
        <v>1</v>
      </c>
    </row>
    <row r="21" spans="1:29" ht="27">
      <c r="A21" s="485"/>
      <c r="B21" s="834" t="s">
        <v>493</v>
      </c>
      <c r="C21" s="835">
        <f>估价对象房地状况!G17</f>
        <v>0</v>
      </c>
      <c r="D21" s="529">
        <v>100</v>
      </c>
      <c r="E21" s="532">
        <v>0</v>
      </c>
      <c r="F21" s="533">
        <f>SUMIF(88:88,E22,89:89)-SUMIF(88:88,C22,89:89)+100</f>
        <v>100</v>
      </c>
      <c r="G21" s="532">
        <v>0</v>
      </c>
      <c r="H21" s="533">
        <f>SUMIF(88:88,G22,89:89)-SUMIF(88:88,C22,89:89)+100</f>
        <v>100</v>
      </c>
      <c r="I21" s="532">
        <v>0</v>
      </c>
      <c r="J21" s="533">
        <f>SUMIF(88:88,I22,89:89)-SUMIF(88:88,C22,89:89)+100</f>
        <v>100</v>
      </c>
      <c r="K21" s="969">
        <v>2</v>
      </c>
      <c r="L21" s="1864"/>
      <c r="M21" s="1856"/>
      <c r="N21" s="1856"/>
      <c r="O21" s="1863"/>
      <c r="P21" s="3900"/>
      <c r="Q21" s="1385" t="str">
        <f t="shared" ref="Q21:Q35" si="8">B21</f>
        <v>区域土地利用方向</v>
      </c>
      <c r="R21" s="1386" t="s">
        <v>5</v>
      </c>
      <c r="S21" s="1387">
        <f>F21</f>
        <v>100</v>
      </c>
      <c r="T21" s="1386" t="s">
        <v>5</v>
      </c>
      <c r="U21" s="1387">
        <f>H21</f>
        <v>100</v>
      </c>
      <c r="V21" s="1386" t="s">
        <v>5</v>
      </c>
      <c r="W21" s="1387">
        <f>J21</f>
        <v>100</v>
      </c>
      <c r="X21" s="1380"/>
      <c r="Y21" s="3900"/>
      <c r="Z21" s="1388" t="str">
        <f>Q21</f>
        <v>区域土地利用方向</v>
      </c>
      <c r="AA21" s="1389">
        <f t="shared" si="3"/>
        <v>1</v>
      </c>
      <c r="AB21" s="1389">
        <f t="shared" si="4"/>
        <v>1</v>
      </c>
      <c r="AC21" s="1389">
        <f t="shared" si="5"/>
        <v>1</v>
      </c>
    </row>
    <row r="22" spans="1:29" ht="15">
      <c r="A22" s="485"/>
      <c r="B22" s="565"/>
      <c r="C22" s="546" t="s">
        <v>3346</v>
      </c>
      <c r="D22" s="525"/>
      <c r="E22" s="526" t="s">
        <v>3346</v>
      </c>
      <c r="F22" s="527"/>
      <c r="G22" s="526" t="s">
        <v>3346</v>
      </c>
      <c r="H22" s="527"/>
      <c r="I22" s="526" t="s">
        <v>3346</v>
      </c>
      <c r="J22" s="527"/>
      <c r="K22" s="1208"/>
      <c r="L22" s="1864"/>
      <c r="M22" s="1856"/>
      <c r="N22" s="1856"/>
      <c r="O22" s="1863"/>
      <c r="P22" s="3900"/>
      <c r="Q22" s="1385"/>
      <c r="R22" s="1386"/>
      <c r="S22" s="1387"/>
      <c r="T22" s="1386"/>
      <c r="U22" s="1387"/>
      <c r="V22" s="1386"/>
      <c r="W22" s="1387"/>
      <c r="X22" s="1380"/>
      <c r="Y22" s="3900"/>
      <c r="Z22" s="1388"/>
      <c r="AA22" s="1389"/>
      <c r="AB22" s="1389"/>
      <c r="AC22" s="1389"/>
    </row>
    <row r="23" spans="1:29" ht="15">
      <c r="A23" s="485"/>
      <c r="B23" s="885" t="s">
        <v>547</v>
      </c>
      <c r="C23" s="835" t="str">
        <f>估价对象房地状况!G18</f>
        <v>较好</v>
      </c>
      <c r="D23" s="529">
        <v>100</v>
      </c>
      <c r="E23" s="532" t="s">
        <v>3346</v>
      </c>
      <c r="F23" s="529">
        <f>SUMIF(90:90,E24,91:91)-SUMIF(90:90,C24,91:91)+100</f>
        <v>100</v>
      </c>
      <c r="G23" s="532" t="s">
        <v>3346</v>
      </c>
      <c r="H23" s="529">
        <f>SUMIF(90:90,G24,91:91)-SUMIF(90:90,C24,91:91)+100</f>
        <v>100</v>
      </c>
      <c r="I23" s="532" t="s">
        <v>3346</v>
      </c>
      <c r="J23" s="529">
        <f>SUMIF(90:90,I24,91:91)-SUMIF(90:90,C24,91:91)+100</f>
        <v>100</v>
      </c>
      <c r="K23" s="505">
        <v>2</v>
      </c>
      <c r="L23" s="1864"/>
      <c r="M23" s="1856"/>
      <c r="N23" s="1856"/>
      <c r="O23" s="1863"/>
      <c r="P23" s="3900"/>
      <c r="Q23" s="1385" t="str">
        <f t="shared" si="8"/>
        <v>环境状况</v>
      </c>
      <c r="R23" s="1386" t="s">
        <v>5</v>
      </c>
      <c r="S23" s="1387">
        <f>F23</f>
        <v>100</v>
      </c>
      <c r="T23" s="1386" t="s">
        <v>5</v>
      </c>
      <c r="U23" s="1387">
        <f>H23</f>
        <v>100</v>
      </c>
      <c r="V23" s="1386" t="s">
        <v>5</v>
      </c>
      <c r="W23" s="1387">
        <f>J23</f>
        <v>100</v>
      </c>
      <c r="X23" s="1380"/>
      <c r="Y23" s="3900"/>
      <c r="Z23" s="1388" t="str">
        <f>Q23</f>
        <v>环境状况</v>
      </c>
      <c r="AA23" s="1389">
        <f t="shared" si="3"/>
        <v>1</v>
      </c>
      <c r="AB23" s="1389">
        <f t="shared" si="4"/>
        <v>1</v>
      </c>
      <c r="AC23" s="1389">
        <f t="shared" si="5"/>
        <v>1</v>
      </c>
    </row>
    <row r="24" spans="1:29" ht="15">
      <c r="A24" s="485"/>
      <c r="B24" s="565"/>
      <c r="C24" s="546" t="s">
        <v>3346</v>
      </c>
      <c r="D24" s="525"/>
      <c r="E24" s="524" t="s">
        <v>3346</v>
      </c>
      <c r="F24" s="525"/>
      <c r="G24" s="524" t="s">
        <v>3346</v>
      </c>
      <c r="H24" s="525"/>
      <c r="I24" s="524" t="s">
        <v>3346</v>
      </c>
      <c r="J24" s="525"/>
      <c r="K24" s="501"/>
      <c r="L24" s="1864"/>
      <c r="M24" s="1856"/>
      <c r="N24" s="1856"/>
      <c r="O24" s="1863"/>
      <c r="P24" s="3900"/>
      <c r="Q24" s="1385"/>
      <c r="R24" s="1386"/>
      <c r="S24" s="1387"/>
      <c r="T24" s="1386"/>
      <c r="U24" s="1387"/>
      <c r="V24" s="1386"/>
      <c r="W24" s="1387"/>
      <c r="X24" s="1380"/>
      <c r="Y24" s="3900"/>
      <c r="Z24" s="1388"/>
      <c r="AA24" s="1389">
        <v>1</v>
      </c>
      <c r="AB24" s="1389">
        <v>1</v>
      </c>
      <c r="AC24" s="1389">
        <v>1</v>
      </c>
    </row>
    <row r="25" spans="1:29" s="1118" customFormat="1" ht="15">
      <c r="A25" s="547"/>
      <c r="B25" s="2200" t="s">
        <v>1829</v>
      </c>
      <c r="C25" s="835" t="str">
        <f>估价对象房地状况!G19</f>
        <v>一般</v>
      </c>
      <c r="D25" s="529">
        <v>100</v>
      </c>
      <c r="E25" s="532" t="s">
        <v>3350</v>
      </c>
      <c r="F25" s="529">
        <f>SUMIF(92:92,E26,93:93)-SUMIF(92:92,C26,93:93)+100</f>
        <v>100</v>
      </c>
      <c r="G25" s="532" t="s">
        <v>3350</v>
      </c>
      <c r="H25" s="529">
        <f>SUMIF(92:92,G26,93:93)-SUMIF(92:92,C26,93:93)+100</f>
        <v>100</v>
      </c>
      <c r="I25" s="532" t="s">
        <v>3350</v>
      </c>
      <c r="J25" s="529">
        <f>SUMIF(92:92,I26,93:93)-SUMIF(92:92,C26,93:93)+100</f>
        <v>100</v>
      </c>
      <c r="K25" s="505">
        <v>2</v>
      </c>
      <c r="L25" s="1857"/>
      <c r="M25" s="1858"/>
      <c r="N25" s="1858"/>
      <c r="O25" s="1859"/>
      <c r="P25" s="3900"/>
      <c r="Q25" s="1050" t="str">
        <f t="shared" si="8"/>
        <v>公共配套设施</v>
      </c>
      <c r="R25" s="1381" t="s">
        <v>5</v>
      </c>
      <c r="S25" s="1382">
        <f>F25</f>
        <v>100</v>
      </c>
      <c r="T25" s="1381" t="s">
        <v>5</v>
      </c>
      <c r="U25" s="1382">
        <f>H25</f>
        <v>100</v>
      </c>
      <c r="V25" s="1381" t="s">
        <v>5</v>
      </c>
      <c r="W25" s="1382">
        <f>J25</f>
        <v>100</v>
      </c>
      <c r="X25" s="1383"/>
      <c r="Y25" s="3900"/>
      <c r="Z25" s="1049" t="str">
        <f>Q25</f>
        <v>公共配套设施</v>
      </c>
      <c r="AA25" s="1389">
        <f>D25/F25</f>
        <v>1</v>
      </c>
      <c r="AB25" s="1389">
        <f>D25/H25</f>
        <v>1</v>
      </c>
      <c r="AC25" s="1389">
        <f>D25/J25</f>
        <v>1</v>
      </c>
    </row>
    <row r="26" spans="1:29" s="1118" customFormat="1" ht="15">
      <c r="A26" s="547"/>
      <c r="B26" s="565"/>
      <c r="C26" s="2199" t="s">
        <v>3350</v>
      </c>
      <c r="D26" s="525"/>
      <c r="E26" s="524" t="s">
        <v>3350</v>
      </c>
      <c r="F26" s="525"/>
      <c r="G26" s="524" t="s">
        <v>3350</v>
      </c>
      <c r="H26" s="525"/>
      <c r="I26" s="524" t="s">
        <v>3350</v>
      </c>
      <c r="J26" s="525"/>
      <c r="K26" s="501"/>
      <c r="L26" s="1857"/>
      <c r="M26" s="1858"/>
      <c r="N26" s="1858"/>
      <c r="O26" s="1859"/>
      <c r="P26" s="3900"/>
      <c r="Q26" s="1050"/>
      <c r="R26" s="1381"/>
      <c r="S26" s="1382"/>
      <c r="T26" s="1381"/>
      <c r="U26" s="1382"/>
      <c r="V26" s="1381"/>
      <c r="W26" s="1382"/>
      <c r="X26" s="1383"/>
      <c r="Y26" s="3900"/>
      <c r="Z26" s="1049"/>
      <c r="AA26" s="1384">
        <v>1</v>
      </c>
      <c r="AB26" s="1384">
        <v>1</v>
      </c>
      <c r="AC26" s="1384">
        <v>1</v>
      </c>
    </row>
    <row r="27" spans="1:29" s="1118" customFormat="1" ht="15">
      <c r="A27" s="547"/>
      <c r="B27" s="2200" t="s">
        <v>1830</v>
      </c>
      <c r="C27" s="835" t="str">
        <f>估价对象房地状况!G20</f>
        <v>七通</v>
      </c>
      <c r="D27" s="529">
        <v>100</v>
      </c>
      <c r="E27" s="532" t="s">
        <v>3420</v>
      </c>
      <c r="F27" s="529">
        <f>SUMIF(94:94,E28,95:95)-SUMIF(94:94,C28,95:95)+100</f>
        <v>100</v>
      </c>
      <c r="G27" s="532" t="s">
        <v>3420</v>
      </c>
      <c r="H27" s="529">
        <f>SUMIF(94:94,G28,95:95)-SUMIF(94:94,C28,95:95)+100</f>
        <v>100</v>
      </c>
      <c r="I27" s="532" t="s">
        <v>3420</v>
      </c>
      <c r="J27" s="529">
        <f>SUMIF(94:94,I28,95:95)-SUMIF(94:94,C28,95:95)+100</f>
        <v>100</v>
      </c>
      <c r="K27" s="505">
        <v>1</v>
      </c>
      <c r="L27" s="1857"/>
      <c r="M27" s="1858"/>
      <c r="N27" s="1858"/>
      <c r="O27" s="1859"/>
      <c r="P27" s="3900"/>
      <c r="Q27" s="2191" t="str">
        <f>B27</f>
        <v>基础设施水平</v>
      </c>
      <c r="R27" s="1381" t="s">
        <v>5</v>
      </c>
      <c r="S27" s="1382">
        <f>F27</f>
        <v>100</v>
      </c>
      <c r="T27" s="1381" t="s">
        <v>5</v>
      </c>
      <c r="U27" s="1382">
        <f>H27</f>
        <v>100</v>
      </c>
      <c r="V27" s="1381" t="s">
        <v>5</v>
      </c>
      <c r="W27" s="1382">
        <f>J27</f>
        <v>100</v>
      </c>
      <c r="X27" s="1383"/>
      <c r="Y27" s="3900"/>
      <c r="Z27" s="2190" t="str">
        <f>Q27</f>
        <v>基础设施水平</v>
      </c>
      <c r="AA27" s="1389">
        <f>D27/F27</f>
        <v>1</v>
      </c>
      <c r="AB27" s="1389">
        <f>D27/H27</f>
        <v>1</v>
      </c>
      <c r="AC27" s="1389">
        <f>D27/J27</f>
        <v>1</v>
      </c>
    </row>
    <row r="28" spans="1:29" s="1118" customFormat="1" ht="15">
      <c r="A28" s="547"/>
      <c r="B28" s="565"/>
      <c r="C28" s="2199" t="s">
        <v>3420</v>
      </c>
      <c r="D28" s="525"/>
      <c r="E28" s="549" t="s">
        <v>3420</v>
      </c>
      <c r="F28" s="525"/>
      <c r="G28" s="549" t="s">
        <v>3420</v>
      </c>
      <c r="H28" s="525"/>
      <c r="I28" s="549" t="s">
        <v>3420</v>
      </c>
      <c r="J28" s="525"/>
      <c r="K28" s="501"/>
      <c r="L28" s="1857"/>
      <c r="M28" s="1858"/>
      <c r="N28" s="1858"/>
      <c r="O28" s="1859"/>
      <c r="P28" s="3900"/>
      <c r="Q28" s="2191"/>
      <c r="R28" s="1381"/>
      <c r="S28" s="1382"/>
      <c r="T28" s="1381"/>
      <c r="U28" s="1382"/>
      <c r="V28" s="1381"/>
      <c r="W28" s="1382"/>
      <c r="X28" s="1383"/>
      <c r="Y28" s="3900"/>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0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0"/>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00"/>
      <c r="Q30" s="1385" t="str">
        <f t="shared" si="8"/>
        <v>毗邻道路的类型与等级</v>
      </c>
      <c r="R30" s="1386" t="s">
        <v>5</v>
      </c>
      <c r="S30" s="1387">
        <f t="shared" si="9"/>
        <v>100</v>
      </c>
      <c r="T30" s="1386" t="s">
        <v>5</v>
      </c>
      <c r="U30" s="1387">
        <f t="shared" si="10"/>
        <v>100</v>
      </c>
      <c r="V30" s="1386" t="s">
        <v>5</v>
      </c>
      <c r="W30" s="1387">
        <f t="shared" si="11"/>
        <v>100</v>
      </c>
      <c r="X30" s="1380"/>
      <c r="Y30" s="390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00"/>
      <c r="Q31" s="1385"/>
      <c r="R31" s="1386"/>
      <c r="S31" s="1387"/>
      <c r="T31" s="1386"/>
      <c r="U31" s="1387"/>
      <c r="V31" s="1386"/>
      <c r="W31" s="1387"/>
      <c r="X31" s="1380"/>
      <c r="Y31" s="3900"/>
      <c r="Z31" s="1388"/>
      <c r="AA31" s="1389">
        <v>1</v>
      </c>
      <c r="AB31" s="1389">
        <v>1</v>
      </c>
      <c r="AC31" s="1389">
        <v>1</v>
      </c>
    </row>
    <row r="32" spans="1:29" ht="15.75" thickBot="1">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00"/>
      <c r="Q32" s="1385" t="str">
        <f t="shared" si="8"/>
        <v>土地级别</v>
      </c>
      <c r="R32" s="1386" t="s">
        <v>5</v>
      </c>
      <c r="S32" s="1387">
        <f t="shared" si="9"/>
        <v>100</v>
      </c>
      <c r="T32" s="1386" t="s">
        <v>5</v>
      </c>
      <c r="U32" s="1387">
        <f t="shared" si="10"/>
        <v>100</v>
      </c>
      <c r="V32" s="1386" t="s">
        <v>5</v>
      </c>
      <c r="W32" s="1387">
        <f t="shared" si="11"/>
        <v>100</v>
      </c>
      <c r="X32" s="1380"/>
      <c r="Y32" s="3900"/>
      <c r="Z32" s="1388" t="str">
        <f t="shared" si="12"/>
        <v>土地级别</v>
      </c>
      <c r="AA32" s="1389">
        <f t="shared" si="3"/>
        <v>1</v>
      </c>
      <c r="AB32" s="1389">
        <f t="shared" si="4"/>
        <v>1</v>
      </c>
      <c r="AC32" s="1389">
        <f t="shared" si="5"/>
        <v>1</v>
      </c>
    </row>
    <row r="33" spans="1:29" ht="15" hidden="1">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00"/>
      <c r="Q33" s="1385">
        <f t="shared" si="8"/>
        <v>111</v>
      </c>
      <c r="R33" s="1386" t="s">
        <v>5</v>
      </c>
      <c r="S33" s="1387">
        <f t="shared" si="9"/>
        <v>100</v>
      </c>
      <c r="T33" s="1386" t="s">
        <v>5</v>
      </c>
      <c r="U33" s="1387">
        <f t="shared" si="10"/>
        <v>100</v>
      </c>
      <c r="V33" s="1386" t="s">
        <v>5</v>
      </c>
      <c r="W33" s="1387">
        <f t="shared" si="11"/>
        <v>100</v>
      </c>
      <c r="X33" s="1380"/>
      <c r="Y33" s="3900"/>
      <c r="Z33" s="1388">
        <f t="shared" si="12"/>
        <v>111</v>
      </c>
      <c r="AA33" s="1389">
        <f t="shared" si="3"/>
        <v>1</v>
      </c>
      <c r="AB33" s="1389">
        <f t="shared" si="4"/>
        <v>1</v>
      </c>
      <c r="AC33" s="1389">
        <f t="shared" si="5"/>
        <v>1</v>
      </c>
    </row>
    <row r="34" spans="1:29" ht="15" hidden="1">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01" t="s">
        <v>499</v>
      </c>
      <c r="Q34" s="1385">
        <f t="shared" si="8"/>
        <v>111</v>
      </c>
      <c r="R34" s="1386" t="s">
        <v>5</v>
      </c>
      <c r="S34" s="1387">
        <f t="shared" si="9"/>
        <v>100</v>
      </c>
      <c r="T34" s="1386" t="s">
        <v>5</v>
      </c>
      <c r="U34" s="1387">
        <f t="shared" si="10"/>
        <v>100</v>
      </c>
      <c r="V34" s="1386" t="s">
        <v>5</v>
      </c>
      <c r="W34" s="1387">
        <f t="shared" si="11"/>
        <v>100</v>
      </c>
      <c r="X34" s="1380"/>
      <c r="Y34" s="3902" t="s">
        <v>499</v>
      </c>
      <c r="Z34" s="1388">
        <f t="shared" si="12"/>
        <v>111</v>
      </c>
      <c r="AA34" s="1389">
        <f t="shared" si="3"/>
        <v>1</v>
      </c>
      <c r="AB34" s="1389">
        <f t="shared" si="4"/>
        <v>1</v>
      </c>
      <c r="AC34" s="1389">
        <f t="shared" si="5"/>
        <v>1</v>
      </c>
    </row>
    <row r="35" spans="1:29" s="1200" customFormat="1" ht="15.75" hidden="1"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02"/>
      <c r="Q35" s="1385">
        <f t="shared" si="8"/>
        <v>111</v>
      </c>
      <c r="R35" s="1390" t="s">
        <v>5</v>
      </c>
      <c r="S35" s="1391">
        <f t="shared" si="9"/>
        <v>100</v>
      </c>
      <c r="T35" s="1390" t="s">
        <v>5</v>
      </c>
      <c r="U35" s="1391">
        <f t="shared" si="10"/>
        <v>100</v>
      </c>
      <c r="V35" s="1390" t="s">
        <v>5</v>
      </c>
      <c r="W35" s="1391">
        <f t="shared" si="11"/>
        <v>100</v>
      </c>
      <c r="X35" s="1392"/>
      <c r="Y35" s="3902"/>
      <c r="Z35" s="1393">
        <f t="shared" si="12"/>
        <v>111</v>
      </c>
      <c r="AA35" s="1389">
        <f t="shared" si="3"/>
        <v>1</v>
      </c>
      <c r="AB35" s="1389">
        <f t="shared" si="4"/>
        <v>1</v>
      </c>
      <c r="AC35" s="1389">
        <f t="shared" si="5"/>
        <v>1</v>
      </c>
    </row>
    <row r="36" spans="1:29" ht="15">
      <c r="A36" s="2386" t="s">
        <v>2035</v>
      </c>
      <c r="B36" s="565" t="s">
        <v>501</v>
      </c>
      <c r="C36" s="566">
        <f>'数据-汇总表'!D3</f>
        <v>17315.580000000002</v>
      </c>
      <c r="D36" s="567">
        <v>100</v>
      </c>
      <c r="E36" s="566">
        <f>土地案例!J2</f>
        <v>62970.8</v>
      </c>
      <c r="F36" s="567">
        <f>LOOKUP(E36,109:109,110:110)-LOOKUP(C36,109:109,110:110)+100</f>
        <v>104</v>
      </c>
      <c r="G36" s="566">
        <f>土地案例!J3</f>
        <v>45949.97</v>
      </c>
      <c r="H36" s="567">
        <f>LOOKUP(G36,109:109,110:110)-LOOKUP(C36,109:109,110:110)+100</f>
        <v>103</v>
      </c>
      <c r="I36" s="568">
        <f>土地案例!J4</f>
        <v>20326.22</v>
      </c>
      <c r="J36" s="567">
        <f>LOOKUP(I36,109:109,110:110)-LOOKUP(C36,109:109,110:110)+100</f>
        <v>101</v>
      </c>
      <c r="K36" s="551"/>
      <c r="L36" s="1864"/>
      <c r="M36" s="1856"/>
      <c r="N36" s="1856"/>
      <c r="O36" s="1863"/>
      <c r="P36" s="3902"/>
      <c r="Q36" s="1385" t="str">
        <f>B36</f>
        <v>宗地面积</v>
      </c>
      <c r="R36" s="1386" t="s">
        <v>5</v>
      </c>
      <c r="S36" s="1387">
        <f t="shared" si="9"/>
        <v>104</v>
      </c>
      <c r="T36" s="1386" t="s">
        <v>5</v>
      </c>
      <c r="U36" s="1387">
        <f t="shared" si="10"/>
        <v>103</v>
      </c>
      <c r="V36" s="1386" t="s">
        <v>5</v>
      </c>
      <c r="W36" s="1387">
        <f t="shared" si="11"/>
        <v>101</v>
      </c>
      <c r="X36" s="1380"/>
      <c r="Y36" s="3902"/>
      <c r="Z36" s="1388" t="str">
        <f t="shared" si="12"/>
        <v>宗地面积</v>
      </c>
      <c r="AA36" s="1389">
        <f t="shared" si="3"/>
        <v>0.96153846153846156</v>
      </c>
      <c r="AB36" s="1389">
        <f t="shared" si="4"/>
        <v>0.970873786407767</v>
      </c>
      <c r="AC36" s="1389">
        <f t="shared" si="5"/>
        <v>0.99009900990099009</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02"/>
      <c r="Q37" s="1385" t="str">
        <f t="shared" ref="Q37:Q42" si="13">B37</f>
        <v>宗地形状</v>
      </c>
      <c r="R37" s="1386" t="s">
        <v>5</v>
      </c>
      <c r="S37" s="1387">
        <f t="shared" si="9"/>
        <v>100</v>
      </c>
      <c r="T37" s="1386" t="s">
        <v>5</v>
      </c>
      <c r="U37" s="1387">
        <f t="shared" si="10"/>
        <v>100</v>
      </c>
      <c r="V37" s="1386" t="s">
        <v>5</v>
      </c>
      <c r="W37" s="1387">
        <f t="shared" si="11"/>
        <v>100</v>
      </c>
      <c r="X37" s="1380"/>
      <c r="Y37" s="3902"/>
      <c r="Z37" s="1388" t="str">
        <f t="shared" si="12"/>
        <v>宗地形状</v>
      </c>
      <c r="AA37" s="1389">
        <f t="shared" si="3"/>
        <v>1</v>
      </c>
      <c r="AB37" s="1389">
        <f t="shared" si="4"/>
        <v>1</v>
      </c>
      <c r="AC37" s="1389">
        <f t="shared" si="5"/>
        <v>1</v>
      </c>
    </row>
    <row r="38" spans="1:29" s="1118" customFormat="1" ht="15">
      <c r="A38" s="570"/>
      <c r="B38" s="1650"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02"/>
      <c r="Q38" s="1385" t="str">
        <f t="shared" si="13"/>
        <v>宗地开发程度</v>
      </c>
      <c r="R38" s="1381" t="s">
        <v>5</v>
      </c>
      <c r="S38" s="1382">
        <f t="shared" si="9"/>
        <v>100</v>
      </c>
      <c r="T38" s="1381" t="s">
        <v>5</v>
      </c>
      <c r="U38" s="1382">
        <f t="shared" si="10"/>
        <v>100</v>
      </c>
      <c r="V38" s="1381" t="s">
        <v>5</v>
      </c>
      <c r="W38" s="1382">
        <f t="shared" si="11"/>
        <v>100</v>
      </c>
      <c r="X38" s="1383"/>
      <c r="Y38" s="3902"/>
      <c r="Z38" s="1049" t="str">
        <f t="shared" si="12"/>
        <v>宗地开发程度</v>
      </c>
      <c r="AA38" s="1384">
        <f t="shared" si="3"/>
        <v>1</v>
      </c>
      <c r="AB38" s="1384">
        <f t="shared" si="4"/>
        <v>1</v>
      </c>
      <c r="AC38" s="1384">
        <f t="shared" si="5"/>
        <v>1</v>
      </c>
    </row>
    <row r="39" spans="1:29" ht="15.75" thickBot="1">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02" t="s">
        <v>549</v>
      </c>
      <c r="Q39" s="1385" t="str">
        <f t="shared" si="13"/>
        <v>工程地质条件</v>
      </c>
      <c r="R39" s="1386" t="s">
        <v>5</v>
      </c>
      <c r="S39" s="1387">
        <f t="shared" si="9"/>
        <v>100</v>
      </c>
      <c r="T39" s="1386" t="s">
        <v>5</v>
      </c>
      <c r="U39" s="1387">
        <f t="shared" si="10"/>
        <v>100</v>
      </c>
      <c r="V39" s="1386" t="s">
        <v>5</v>
      </c>
      <c r="W39" s="1387">
        <f t="shared" si="11"/>
        <v>100</v>
      </c>
      <c r="X39" s="1380"/>
      <c r="Y39" s="3902" t="s">
        <v>549</v>
      </c>
      <c r="Z39" s="1388" t="str">
        <f t="shared" si="12"/>
        <v>工程地质条件</v>
      </c>
      <c r="AA39" s="1389">
        <f t="shared" si="3"/>
        <v>1</v>
      </c>
      <c r="AB39" s="1389">
        <f t="shared" si="4"/>
        <v>1</v>
      </c>
      <c r="AC39" s="1389">
        <f t="shared" si="5"/>
        <v>1</v>
      </c>
    </row>
    <row r="40" spans="1:29" ht="15" hidden="1">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02"/>
      <c r="Q40" s="1385">
        <f t="shared" si="13"/>
        <v>111</v>
      </c>
      <c r="R40" s="1386" t="s">
        <v>5</v>
      </c>
      <c r="S40" s="1387">
        <f t="shared" si="9"/>
        <v>100</v>
      </c>
      <c r="T40" s="1386" t="s">
        <v>5</v>
      </c>
      <c r="U40" s="1387">
        <f t="shared" si="10"/>
        <v>100</v>
      </c>
      <c r="V40" s="1386" t="s">
        <v>5</v>
      </c>
      <c r="W40" s="1387">
        <f t="shared" si="11"/>
        <v>100</v>
      </c>
      <c r="X40" s="1380"/>
      <c r="Y40" s="3902"/>
      <c r="Z40" s="1388">
        <f t="shared" si="12"/>
        <v>111</v>
      </c>
      <c r="AA40" s="1389">
        <f t="shared" si="3"/>
        <v>1</v>
      </c>
      <c r="AB40" s="1389">
        <f t="shared" si="4"/>
        <v>1</v>
      </c>
      <c r="AC40" s="1389">
        <f t="shared" si="5"/>
        <v>1</v>
      </c>
    </row>
    <row r="41" spans="1:29" ht="15" hidden="1">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02"/>
      <c r="Q41" s="1385">
        <f t="shared" si="13"/>
        <v>111</v>
      </c>
      <c r="R41" s="1386" t="s">
        <v>5</v>
      </c>
      <c r="S41" s="1387">
        <f t="shared" si="9"/>
        <v>100</v>
      </c>
      <c r="T41" s="1386" t="s">
        <v>5</v>
      </c>
      <c r="U41" s="1387">
        <f t="shared" si="10"/>
        <v>100</v>
      </c>
      <c r="V41" s="1386" t="s">
        <v>5</v>
      </c>
      <c r="W41" s="1387">
        <f t="shared" si="11"/>
        <v>100</v>
      </c>
      <c r="X41" s="1380"/>
      <c r="Y41" s="3902"/>
      <c r="Z41" s="1388">
        <f t="shared" si="12"/>
        <v>111</v>
      </c>
      <c r="AA41" s="1389">
        <f t="shared" si="3"/>
        <v>1</v>
      </c>
      <c r="AB41" s="1389">
        <f t="shared" si="4"/>
        <v>1</v>
      </c>
      <c r="AC41" s="1389">
        <f t="shared" si="5"/>
        <v>1</v>
      </c>
    </row>
    <row r="42" spans="1:29" s="1200" customFormat="1" ht="15.75" hidden="1"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02"/>
      <c r="Q42" s="1385">
        <f t="shared" si="13"/>
        <v>111</v>
      </c>
      <c r="R42" s="1390" t="s">
        <v>5</v>
      </c>
      <c r="S42" s="1391">
        <f t="shared" si="9"/>
        <v>100</v>
      </c>
      <c r="T42" s="1390" t="s">
        <v>5</v>
      </c>
      <c r="U42" s="1391">
        <f t="shared" si="10"/>
        <v>100</v>
      </c>
      <c r="V42" s="1390" t="s">
        <v>5</v>
      </c>
      <c r="W42" s="1391">
        <f t="shared" si="11"/>
        <v>100</v>
      </c>
      <c r="X42" s="1392"/>
      <c r="Y42" s="3902"/>
      <c r="Z42" s="1393">
        <f t="shared" si="12"/>
        <v>111</v>
      </c>
      <c r="AA42" s="1389">
        <f t="shared" si="3"/>
        <v>1</v>
      </c>
      <c r="AB42" s="1389">
        <f t="shared" si="4"/>
        <v>1</v>
      </c>
      <c r="AC42" s="1389">
        <f t="shared" si="5"/>
        <v>1</v>
      </c>
    </row>
    <row r="43" spans="1:29" ht="15">
      <c r="A43" s="577" t="s">
        <v>505</v>
      </c>
      <c r="B43" s="578" t="s">
        <v>3419</v>
      </c>
      <c r="C43" s="579" t="s">
        <v>0</v>
      </c>
      <c r="D43" s="580"/>
      <c r="E43" s="581">
        <f>土地案例!M2</f>
        <v>1536</v>
      </c>
      <c r="F43" s="582"/>
      <c r="G43" s="583">
        <f>土地案例!M3</f>
        <v>1354</v>
      </c>
      <c r="H43" s="584"/>
      <c r="I43" s="581">
        <f>土地案例!M4</f>
        <v>1955</v>
      </c>
      <c r="J43" s="584"/>
      <c r="K43" s="1201"/>
      <c r="L43" s="1866"/>
      <c r="M43" s="1856"/>
      <c r="N43" s="1856"/>
      <c r="O43" s="1867"/>
      <c r="P43" s="3903" t="str">
        <f>A43</f>
        <v>成交单价</v>
      </c>
      <c r="Q43" s="3903"/>
      <c r="R43" s="3896">
        <f>E43</f>
        <v>1536</v>
      </c>
      <c r="S43" s="3896"/>
      <c r="T43" s="3896">
        <f>G43</f>
        <v>1354</v>
      </c>
      <c r="U43" s="3896"/>
      <c r="V43" s="3896">
        <f>I43</f>
        <v>1955</v>
      </c>
      <c r="W43" s="3896"/>
      <c r="X43" s="1375"/>
      <c r="Y43" s="1394"/>
      <c r="Z43" s="1375"/>
      <c r="AA43" s="1375"/>
      <c r="AB43" s="1375"/>
      <c r="AC43" s="1375"/>
    </row>
    <row r="44" spans="1:29" ht="15.75" thickBot="1">
      <c r="A44" s="585" t="s">
        <v>1973</v>
      </c>
      <c r="B44" s="586"/>
      <c r="C44" s="587">
        <f>R45</f>
        <v>1751</v>
      </c>
      <c r="D44" s="2756" t="s">
        <v>2257</v>
      </c>
      <c r="E44" s="587">
        <f>R44</f>
        <v>1481</v>
      </c>
      <c r="F44" s="2757">
        <v>0.2</v>
      </c>
      <c r="G44" s="588">
        <f>T44</f>
        <v>1319</v>
      </c>
      <c r="H44" s="2757">
        <v>0.2</v>
      </c>
      <c r="I44" s="587">
        <f>V44</f>
        <v>1985</v>
      </c>
      <c r="J44" s="2757">
        <v>0.6</v>
      </c>
      <c r="K44" s="2758">
        <f>F44+H44+J44</f>
        <v>1</v>
      </c>
      <c r="L44" s="1866"/>
      <c r="M44" s="1856"/>
      <c r="N44" s="1856"/>
      <c r="O44" s="1867"/>
      <c r="P44" s="3903" t="str">
        <f>A44</f>
        <v>比较价格（元/平方米）</v>
      </c>
      <c r="Q44" s="3903"/>
      <c r="R44" s="3911">
        <f>ROUND(PRODUCT(R43,AA9:AA42),0)</f>
        <v>1481</v>
      </c>
      <c r="S44" s="3911"/>
      <c r="T44" s="3911">
        <f>ROUND(PRODUCT(T43,AB9:AB42),0)</f>
        <v>1319</v>
      </c>
      <c r="U44" s="3911"/>
      <c r="V44" s="3911">
        <f>ROUND(PRODUCT(V43,AC9:AC42),0)</f>
        <v>1985</v>
      </c>
      <c r="W44" s="3911"/>
      <c r="X44" s="1375"/>
      <c r="Y44" s="1375"/>
      <c r="Z44" s="1375"/>
      <c r="AA44" s="1375"/>
      <c r="AB44" s="1375"/>
      <c r="AC44" s="1375"/>
    </row>
    <row r="45" spans="1:29" ht="15.75" thickBot="1">
      <c r="A45" s="589" t="s">
        <v>2193</v>
      </c>
      <c r="B45" s="590"/>
      <c r="C45" s="591">
        <f>R45</f>
        <v>1751</v>
      </c>
      <c r="D45" s="591"/>
      <c r="E45" s="591"/>
      <c r="F45" s="591"/>
      <c r="G45" s="591"/>
      <c r="H45" s="591"/>
      <c r="I45" s="591"/>
      <c r="J45" s="591"/>
      <c r="K45" s="1202"/>
      <c r="L45" s="1866"/>
      <c r="M45" s="1856"/>
      <c r="N45" s="1856"/>
      <c r="O45" s="1867"/>
      <c r="P45" s="3908" t="str">
        <f>A45</f>
        <v>估价对象XX用房的比较价格（楼面单价，元/平方米）</v>
      </c>
      <c r="Q45" s="3909"/>
      <c r="R45" s="3910">
        <f>ROUND(IF(D44="简单平均",AVERAGE(R44:W44),R44*F44+T44*H44+V44*J44),0)</f>
        <v>1751</v>
      </c>
      <c r="S45" s="3910"/>
      <c r="T45" s="3910"/>
      <c r="U45" s="3910"/>
      <c r="V45" s="3910"/>
      <c r="W45" s="3910"/>
      <c r="X45" s="1375"/>
      <c r="Y45" s="1375"/>
      <c r="Z45" s="1375"/>
      <c r="AA45" s="1375"/>
      <c r="AB45" s="1375"/>
      <c r="AC45" s="1375"/>
    </row>
    <row r="46" spans="1:29">
      <c r="A46" s="2954"/>
      <c r="B46" s="2954"/>
      <c r="C46" s="2954"/>
      <c r="D46" s="2954"/>
      <c r="E46" s="2954"/>
      <c r="F46" s="2954"/>
      <c r="G46" s="2956"/>
      <c r="H46" s="2954"/>
      <c r="I46" s="2954"/>
      <c r="J46" s="2954"/>
      <c r="K46" s="2957"/>
      <c r="L46" s="1871"/>
      <c r="M46" s="1856"/>
      <c r="N46" s="1856"/>
      <c r="O46" s="1867"/>
      <c r="P46" s="1867"/>
      <c r="Q46" s="1867"/>
      <c r="R46" s="1867"/>
      <c r="S46" s="1867"/>
      <c r="T46" s="1867"/>
      <c r="U46" s="1867"/>
      <c r="V46" s="1867"/>
      <c r="W46" s="1867"/>
      <c r="X46" s="1867"/>
      <c r="Y46" s="1867"/>
      <c r="Z46" s="1867"/>
      <c r="AA46" s="1867"/>
      <c r="AB46" s="1867"/>
      <c r="AC46" s="1867"/>
    </row>
    <row r="47" spans="1:29">
      <c r="A47" s="2954"/>
      <c r="B47" s="2954"/>
      <c r="C47" s="2954"/>
      <c r="D47" s="2954"/>
      <c r="E47" s="2954"/>
      <c r="F47" s="2954"/>
      <c r="G47" s="2954"/>
      <c r="H47" s="2954"/>
      <c r="I47" s="2954"/>
      <c r="J47" s="2954"/>
      <c r="K47" s="2957"/>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4"/>
      <c r="B48" s="2954"/>
      <c r="C48" s="592" t="s">
        <v>506</v>
      </c>
      <c r="D48" s="593"/>
      <c r="E48" s="594">
        <f>IF(E43&lt;E44,E44/E43-1,E43/E44-1)</f>
        <v>3.7137069547602986E-2</v>
      </c>
      <c r="F48" s="595" t="str">
        <f>IF(OR(E48&gt;=0.3,E48&lt;=-0.3),"超过30%","")</f>
        <v/>
      </c>
      <c r="G48" s="594">
        <f>IF(G43&lt;G44,G44/G43-1,G43/G44-1)</f>
        <v>2.6535253980288109E-2</v>
      </c>
      <c r="H48" s="595" t="str">
        <f>IF(OR(G48&gt;=0.3,G48&lt;=-0.3),"超过30%","")</f>
        <v/>
      </c>
      <c r="I48" s="594">
        <f>IF(I43&lt;I44,I44/I43-1,I43/I44-1)</f>
        <v>1.5345268542199531E-2</v>
      </c>
      <c r="J48" s="595" t="str">
        <f>IF(OR(I48&gt;=0.3,I48&lt;=-0.3),"超过30%","")</f>
        <v/>
      </c>
      <c r="K48" s="2957"/>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4"/>
      <c r="B49" s="2954"/>
      <c r="C49" s="592" t="s">
        <v>507</v>
      </c>
      <c r="D49" s="596"/>
      <c r="E49" s="594">
        <f>IF(E44&lt;G44,G44/E44-1,E44/G44-1)</f>
        <v>0.12282031842304786</v>
      </c>
      <c r="F49" s="595" t="str">
        <f>IF(OR(E49&gt;=0.2,E49&lt;=-0.2),"超过20%","")</f>
        <v/>
      </c>
      <c r="G49" s="594">
        <f>IF(G44&lt;I44,I44/G44-1,G44/I44-1)</f>
        <v>0.50492797573919646</v>
      </c>
      <c r="H49" s="595" t="str">
        <f>IF(OR(G49&gt;=0.2,G49&lt;=-0.2),"超过20%","")</f>
        <v>超过20%</v>
      </c>
      <c r="I49" s="594">
        <f>IF(I44&lt;E44,E44/I44-1,I44/E44-1)</f>
        <v>0.34031060094530718</v>
      </c>
      <c r="J49" s="595" t="str">
        <f>IF(OR(I49&gt;=0.2,I49&lt;=-0.2),"超过20%","")</f>
        <v>超过20%</v>
      </c>
      <c r="K49" s="2957"/>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5"/>
      <c r="B50" s="2955"/>
      <c r="C50" s="592" t="s">
        <v>508</v>
      </c>
      <c r="D50" s="596"/>
      <c r="E50" s="594">
        <f>IF(E43&lt;G43,G43/E43-1,E43/G43-1)</f>
        <v>0.13441654357459387</v>
      </c>
      <c r="F50" s="595" t="str">
        <f>IF(OR(E50&gt;=0.3,E50&lt;=-0.3),"超过30%","")</f>
        <v/>
      </c>
      <c r="G50" s="594">
        <f>IF(G43&lt;I43,I43/G43-1,G43/I43-1)</f>
        <v>0.44387001477104882</v>
      </c>
      <c r="H50" s="595" t="str">
        <f>IF(OR(G50&gt;=0.3,G50&lt;=-0.3),"超过30%","")</f>
        <v>超过30%</v>
      </c>
      <c r="I50" s="594">
        <f>IF(I43&lt;E43,E43/I43-1,I43/E43-1)</f>
        <v>0.27278645833333326</v>
      </c>
      <c r="J50" s="595" t="str">
        <f>IF(OR(I50&gt;=0.3,I50&lt;=-0.3),"超过30%","")</f>
        <v/>
      </c>
      <c r="K50" s="2958"/>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5"/>
      <c r="B51" s="2966"/>
      <c r="C51" s="1872"/>
      <c r="D51" s="1868"/>
      <c r="E51" s="1868"/>
      <c r="F51" s="1868"/>
      <c r="G51" s="1868"/>
      <c r="H51" s="1868"/>
      <c r="I51" s="1868"/>
      <c r="J51" s="1868"/>
      <c r="K51" s="2958"/>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1648</v>
      </c>
      <c r="E52" s="599" t="s">
        <v>511</v>
      </c>
      <c r="F52" s="1706" t="s">
        <v>512</v>
      </c>
      <c r="G52" s="3904" t="s">
        <v>1640</v>
      </c>
      <c r="H52" s="3905"/>
      <c r="I52" s="1707" t="s">
        <v>1465</v>
      </c>
      <c r="J52" s="1372" t="str">
        <f>项目基本情况!F41</f>
        <v>通州区</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f>C45</f>
        <v>1751</v>
      </c>
      <c r="C53" s="603">
        <v>1</v>
      </c>
      <c r="D53" s="1946">
        <v>1</v>
      </c>
      <c r="E53" s="603">
        <f>'数据-汇总表'!E8+'数据-汇总表'!E9</f>
        <v>20593.5</v>
      </c>
      <c r="F53" s="1705">
        <f t="shared" ref="F53:F61" si="14">ROUND(B53*E53/10000,0)</f>
        <v>3606</v>
      </c>
      <c r="G53" s="3906"/>
      <c r="H53" s="3907"/>
      <c r="I53" s="1708">
        <v>1</v>
      </c>
      <c r="J53" s="1373">
        <v>1</v>
      </c>
      <c r="K53" s="2959"/>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f>ROUND($C$45*C54*D54,0)</f>
        <v>0</v>
      </c>
      <c r="C54" s="365">
        <f t="shared" ref="C54:C61" si="15">IF($C$52="北京市系数",I54,J54)</f>
        <v>0</v>
      </c>
      <c r="D54" s="1947">
        <v>0.25</v>
      </c>
      <c r="E54" s="607"/>
      <c r="F54" s="1705">
        <f t="shared" si="14"/>
        <v>0</v>
      </c>
      <c r="G54" s="3276" t="s">
        <v>1641</v>
      </c>
      <c r="H54" s="1709">
        <f>项目基本情况!B43</f>
        <v>0</v>
      </c>
      <c r="I54" s="1708">
        <f>SUMIF(修正!$A$57:$A$68,H54,修正!B57:B68)</f>
        <v>0</v>
      </c>
      <c r="J54" s="1374"/>
      <c r="K54" s="2959"/>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f t="shared" ref="B55:B61" si="16">ROUND($C$45*C55*D55,0)</f>
        <v>0</v>
      </c>
      <c r="C55" s="365">
        <f t="shared" si="15"/>
        <v>0</v>
      </c>
      <c r="D55" s="1947">
        <v>0.25</v>
      </c>
      <c r="E55" s="607"/>
      <c r="F55" s="1705">
        <f t="shared" si="14"/>
        <v>0</v>
      </c>
      <c r="G55" s="3277"/>
      <c r="H55" s="1710">
        <f>项目基本情况!B43</f>
        <v>0</v>
      </c>
      <c r="I55" s="1708">
        <f>SUMIF(修正!$A$57:$A$68,H55,修正!C57:C68)</f>
        <v>0</v>
      </c>
      <c r="J55" s="1374"/>
      <c r="K55" s="2959"/>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f t="shared" si="16"/>
        <v>0</v>
      </c>
      <c r="C56" s="365">
        <f t="shared" si="15"/>
        <v>0</v>
      </c>
      <c r="D56" s="1947">
        <v>0.25</v>
      </c>
      <c r="E56" s="607"/>
      <c r="F56" s="1705">
        <f t="shared" si="14"/>
        <v>0</v>
      </c>
      <c r="G56" s="3277"/>
      <c r="H56" s="1710">
        <f>项目基本情况!B43</f>
        <v>0</v>
      </c>
      <c r="I56" s="1708">
        <f>SUMIF(修正!$A$57:$A$68,H56,修正!D57:D68)</f>
        <v>0</v>
      </c>
      <c r="J56" s="1374"/>
      <c r="K56" s="2959"/>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1683</v>
      </c>
      <c r="B57" s="606">
        <f t="shared" si="16"/>
        <v>0</v>
      </c>
      <c r="C57" s="365">
        <f t="shared" si="15"/>
        <v>0</v>
      </c>
      <c r="D57" s="1947">
        <v>0.25</v>
      </c>
      <c r="E57" s="609">
        <f>'数据-汇总表'!E11</f>
        <v>0</v>
      </c>
      <c r="F57" s="1705">
        <f t="shared" si="14"/>
        <v>0</v>
      </c>
      <c r="G57" s="1711" t="s">
        <v>1642</v>
      </c>
      <c r="H57" s="1710">
        <f>项目基本情况!C43</f>
        <v>0</v>
      </c>
      <c r="I57" s="1708">
        <f>SUMIF(修正!$A$57:$A$68,H57,修正!E57:E68)</f>
        <v>0</v>
      </c>
      <c r="J57" s="1374"/>
      <c r="K57" s="2959"/>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4"/>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f t="shared" si="16"/>
        <v>0</v>
      </c>
      <c r="C59" s="365">
        <f t="shared" si="15"/>
        <v>0</v>
      </c>
      <c r="D59" s="1947">
        <v>0.25</v>
      </c>
      <c r="E59" s="609">
        <f>'数据-汇总表'!E13</f>
        <v>4676.82</v>
      </c>
      <c r="F59" s="1705">
        <f t="shared" si="14"/>
        <v>0</v>
      </c>
      <c r="G59" s="1701" t="s">
        <v>851</v>
      </c>
      <c r="H59" s="1709">
        <f>IF(G59="商业",项目基本情况!B43,IF(G59="办公",项目基本情况!C43,IF(G59="住宅",项目基本情况!D43,项目基本情况!E43)))</f>
        <v>0</v>
      </c>
      <c r="I59" s="1708">
        <f>SUMIF(修正!$A$57:$A$68,H59,修正!G57:G68)</f>
        <v>0</v>
      </c>
      <c r="J59" s="1374"/>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f t="shared" si="16"/>
        <v>0</v>
      </c>
      <c r="C60" s="365">
        <f t="shared" si="15"/>
        <v>0</v>
      </c>
      <c r="D60" s="1947">
        <v>0.25</v>
      </c>
      <c r="E60" s="609">
        <f>'数据-汇总表'!E14</f>
        <v>0</v>
      </c>
      <c r="F60" s="1705">
        <f t="shared" si="14"/>
        <v>0</v>
      </c>
      <c r="G60" s="1711" t="s">
        <v>1641</v>
      </c>
      <c r="H60" s="1710">
        <f>项目基本情况!B43</f>
        <v>0</v>
      </c>
      <c r="I60" s="1708">
        <f>SUMIF(修正!$A$57:$A$68,H60,修正!G57:G68)</f>
        <v>0</v>
      </c>
      <c r="J60" s="1374"/>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f t="shared" si="16"/>
        <v>0</v>
      </c>
      <c r="C61" s="365">
        <f t="shared" si="15"/>
        <v>0</v>
      </c>
      <c r="D61" s="1947">
        <v>0.25</v>
      </c>
      <c r="E61" s="609">
        <f>'数据-汇总表'!E15</f>
        <v>0</v>
      </c>
      <c r="F61" s="1705">
        <f t="shared" si="14"/>
        <v>0</v>
      </c>
      <c r="G61" s="1712" t="s">
        <v>1642</v>
      </c>
      <c r="H61" s="1713">
        <f>项目基本情况!C43</f>
        <v>0</v>
      </c>
      <c r="I61" s="1708">
        <f>SUMIF(修正!$A$57:$A$68,H61,修正!G57:G68)</f>
        <v>0</v>
      </c>
      <c r="J61" s="1374"/>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1649</v>
      </c>
      <c r="E62" s="611">
        <f>IF(B43="楼面地价",SUM(E53:E61),'数据-汇总表'!D3)</f>
        <v>25270.32</v>
      </c>
      <c r="F62" s="612">
        <f>IF(B43="楼面地价",SUM(F53:F61),ROUND(C45*E62/10000,0))</f>
        <v>3606</v>
      </c>
      <c r="G62" s="1877"/>
      <c r="H62" s="1877"/>
      <c r="I62" s="1877"/>
      <c r="J62" s="1877"/>
      <c r="K62" s="2967"/>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2023-4-1</v>
      </c>
      <c r="D64" s="2278">
        <f>EDATE(C64,-3)</f>
        <v>44927</v>
      </c>
      <c r="E64" s="2278">
        <f t="shared" ref="E64:N64" si="17">EDATE(D64,-3)</f>
        <v>44835</v>
      </c>
      <c r="F64" s="2278">
        <f t="shared" si="17"/>
        <v>44743</v>
      </c>
      <c r="G64" s="2278">
        <f t="shared" si="17"/>
        <v>44652</v>
      </c>
      <c r="H64" s="2278">
        <f t="shared" si="17"/>
        <v>44562</v>
      </c>
      <c r="I64" s="2278">
        <f t="shared" si="17"/>
        <v>44470</v>
      </c>
      <c r="J64" s="2278">
        <f t="shared" si="17"/>
        <v>44378</v>
      </c>
      <c r="K64" s="2278">
        <f t="shared" si="17"/>
        <v>44287</v>
      </c>
      <c r="L64" s="2278">
        <f t="shared" si="17"/>
        <v>44197</v>
      </c>
      <c r="M64" s="2278">
        <f t="shared" si="17"/>
        <v>44105</v>
      </c>
      <c r="N64" s="2278">
        <f t="shared" si="17"/>
        <v>44013</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1814</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1929</v>
      </c>
      <c r="B67" s="465" t="str">
        <f>"北京市平均增长率"&amp;TEXT(基准地价!P28,"0.00%")</f>
        <v>北京市平均增长率0.00%</v>
      </c>
      <c r="C67" s="857">
        <v>100</v>
      </c>
      <c r="D67" s="698">
        <f t="shared" ref="D67:N67" si="19">C67-1</f>
        <v>99</v>
      </c>
      <c r="E67" s="698">
        <f t="shared" si="19"/>
        <v>98</v>
      </c>
      <c r="F67" s="698">
        <f t="shared" si="19"/>
        <v>97</v>
      </c>
      <c r="G67" s="698">
        <f t="shared" si="19"/>
        <v>96</v>
      </c>
      <c r="H67" s="698">
        <f t="shared" si="19"/>
        <v>95</v>
      </c>
      <c r="I67" s="698">
        <f t="shared" si="19"/>
        <v>94</v>
      </c>
      <c r="J67" s="698">
        <f t="shared" si="19"/>
        <v>93</v>
      </c>
      <c r="K67" s="698">
        <f t="shared" si="19"/>
        <v>92</v>
      </c>
      <c r="L67" s="698">
        <f t="shared" si="19"/>
        <v>91</v>
      </c>
      <c r="M67" s="698">
        <f t="shared" si="19"/>
        <v>90</v>
      </c>
      <c r="N67" s="698">
        <f t="shared" si="19"/>
        <v>89</v>
      </c>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8"/>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8"/>
      <c r="O70" s="1883"/>
      <c r="P70" s="1879"/>
      <c r="Q70" s="1879"/>
      <c r="R70" s="1745"/>
      <c r="S70" s="1745"/>
      <c r="T70" s="1745"/>
      <c r="U70" s="1745"/>
      <c r="V70" s="1745"/>
      <c r="W70" s="1745"/>
      <c r="X70" s="1745"/>
      <c r="Y70" s="1745"/>
      <c r="Z70" s="1745"/>
      <c r="AA70" s="1745"/>
      <c r="AB70" s="1745"/>
      <c r="AC70" s="1745"/>
    </row>
    <row r="71" spans="1:29">
      <c r="A71" s="632" t="s">
        <v>525</v>
      </c>
      <c r="B71" s="633" t="s">
        <v>483</v>
      </c>
      <c r="C71" s="3681" t="s">
        <v>3417</v>
      </c>
      <c r="D71" s="568"/>
      <c r="E71" s="568"/>
      <c r="F71" s="568"/>
      <c r="G71" s="568"/>
      <c r="H71" s="568"/>
      <c r="I71" s="568"/>
      <c r="J71" s="568"/>
      <c r="K71" s="634"/>
      <c r="L71" s="635"/>
      <c r="M71" s="636"/>
      <c r="N71" s="2969"/>
      <c r="O71" s="1885"/>
      <c r="P71" s="1886"/>
      <c r="Q71" s="1879"/>
      <c r="R71" s="1867"/>
      <c r="S71" s="1867"/>
      <c r="T71" s="1867"/>
      <c r="U71" s="1867"/>
      <c r="V71" s="1867"/>
      <c r="W71" s="1867"/>
      <c r="X71" s="1867"/>
      <c r="Y71" s="1867"/>
      <c r="Z71" s="1867"/>
      <c r="AA71" s="1867"/>
      <c r="AB71" s="1867"/>
      <c r="AC71" s="1867"/>
    </row>
    <row r="72" spans="1:29" ht="15.75" thickBot="1">
      <c r="A72" s="637"/>
      <c r="B72" s="638"/>
      <c r="C72" s="639">
        <v>100</v>
      </c>
      <c r="D72" s="639"/>
      <c r="E72" s="639"/>
      <c r="F72" s="639"/>
      <c r="G72" s="639"/>
      <c r="H72" s="639"/>
      <c r="I72" s="639"/>
      <c r="J72" s="639"/>
      <c r="K72" s="639"/>
      <c r="L72" s="639"/>
      <c r="M72" s="640"/>
      <c r="N72" s="2970"/>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69"/>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0"/>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0（含）-1</v>
      </c>
      <c r="D75" s="650" t="str">
        <f t="shared" ref="D75:L75" si="20">D76&amp;"（含）"&amp;"-"&amp;E76</f>
        <v>1（含）-2</v>
      </c>
      <c r="E75" s="650" t="str">
        <f t="shared" si="20"/>
        <v>2（含）-3</v>
      </c>
      <c r="F75" s="650" t="str">
        <f t="shared" si="20"/>
        <v>3（含）-4</v>
      </c>
      <c r="G75" s="650" t="str">
        <f t="shared" si="20"/>
        <v>4（含）-</v>
      </c>
      <c r="H75" s="650" t="str">
        <f t="shared" si="20"/>
        <v>（含）-</v>
      </c>
      <c r="I75" s="650" t="str">
        <f t="shared" si="20"/>
        <v>（含）-</v>
      </c>
      <c r="J75" s="650" t="str">
        <f t="shared" si="20"/>
        <v>（含）-</v>
      </c>
      <c r="K75" s="650" t="str">
        <f t="shared" si="20"/>
        <v>（含）-</v>
      </c>
      <c r="L75" s="650" t="str">
        <f t="shared" si="20"/>
        <v>（含）-</v>
      </c>
      <c r="M75" s="525" t="str">
        <f>M76&amp;"（含）"&amp;"-"&amp;P76</f>
        <v>（含）-</v>
      </c>
      <c r="N75" s="2970"/>
      <c r="O75" s="1887"/>
      <c r="P75" s="1886"/>
      <c r="Q75" s="1879"/>
      <c r="R75" s="1867"/>
      <c r="S75" s="1867"/>
      <c r="T75" s="1867"/>
      <c r="U75" s="1867"/>
      <c r="V75" s="1867"/>
      <c r="W75" s="1867"/>
      <c r="X75" s="1867"/>
      <c r="Y75" s="1867"/>
      <c r="Z75" s="1867"/>
      <c r="AA75" s="1867"/>
      <c r="AB75" s="1867"/>
      <c r="AC75" s="1867"/>
    </row>
    <row r="76" spans="1:29" ht="15">
      <c r="A76" s="637"/>
      <c r="B76" s="651"/>
      <c r="C76" s="511">
        <v>0</v>
      </c>
      <c r="D76" s="511">
        <v>1</v>
      </c>
      <c r="E76" s="511">
        <v>2</v>
      </c>
      <c r="F76" s="511">
        <v>3</v>
      </c>
      <c r="G76" s="511">
        <v>4</v>
      </c>
      <c r="H76" s="511"/>
      <c r="I76" s="511"/>
      <c r="J76" s="511"/>
      <c r="K76" s="652"/>
      <c r="L76" s="653"/>
      <c r="M76" s="654"/>
      <c r="N76" s="2969"/>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0"/>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1"/>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0"/>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1"/>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1"/>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1"/>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1"/>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69"/>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95</v>
      </c>
      <c r="E85" s="647">
        <f>D85-$K17</f>
        <v>90</v>
      </c>
      <c r="F85" s="647">
        <f>E85-$K17</f>
        <v>85</v>
      </c>
      <c r="G85" s="647">
        <f>F85-$K17</f>
        <v>80</v>
      </c>
      <c r="H85" s="647"/>
      <c r="I85" s="647"/>
      <c r="J85" s="647"/>
      <c r="K85" s="647"/>
      <c r="L85" s="647"/>
      <c r="M85" s="648"/>
      <c r="N85" s="2970"/>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98</v>
      </c>
      <c r="E87" s="647">
        <f>D87-$K19</f>
        <v>96</v>
      </c>
      <c r="F87" s="647">
        <f>E87-$K19</f>
        <v>94</v>
      </c>
      <c r="G87" s="647">
        <f>F87-$K19</f>
        <v>92</v>
      </c>
      <c r="H87" s="647"/>
      <c r="I87" s="647"/>
      <c r="J87" s="647"/>
      <c r="K87" s="647"/>
      <c r="L87" s="647"/>
      <c r="M87" s="648"/>
      <c r="N87" s="2970"/>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8"/>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98</v>
      </c>
      <c r="E89" s="647">
        <f>D89-$K21</f>
        <v>96</v>
      </c>
      <c r="F89" s="647">
        <f>E89-$K21</f>
        <v>94</v>
      </c>
      <c r="G89" s="647">
        <f>F89-$K21</f>
        <v>92</v>
      </c>
      <c r="H89" s="647"/>
      <c r="I89" s="647"/>
      <c r="J89" s="647"/>
      <c r="K89" s="647"/>
      <c r="L89" s="647"/>
      <c r="M89" s="648"/>
      <c r="N89" s="2970"/>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8"/>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70"/>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1829</v>
      </c>
      <c r="C92" s="671" t="s">
        <v>527</v>
      </c>
      <c r="D92" s="671" t="s">
        <v>528</v>
      </c>
      <c r="E92" s="671" t="s">
        <v>529</v>
      </c>
      <c r="F92" s="671" t="s">
        <v>530</v>
      </c>
      <c r="G92" s="671" t="s">
        <v>531</v>
      </c>
      <c r="H92" s="681"/>
      <c r="I92" s="681"/>
      <c r="J92" s="681"/>
      <c r="K92" s="681"/>
      <c r="L92" s="682"/>
      <c r="M92" s="683"/>
      <c r="N92" s="2971"/>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1"/>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1831</v>
      </c>
      <c r="C94" s="2205" t="s">
        <v>1832</v>
      </c>
      <c r="D94" s="2205" t="s">
        <v>1833</v>
      </c>
      <c r="E94" s="2205" t="s">
        <v>1834</v>
      </c>
      <c r="F94" s="2205" t="s">
        <v>1835</v>
      </c>
      <c r="G94" s="2205" t="s">
        <v>1836</v>
      </c>
      <c r="H94" s="681"/>
      <c r="I94" s="681"/>
      <c r="J94" s="681"/>
      <c r="K94" s="681"/>
      <c r="L94" s="681"/>
      <c r="M94" s="683"/>
      <c r="N94" s="2971"/>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7"/>
      <c r="N95" s="2971"/>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0"/>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69"/>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0"/>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69"/>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0"/>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69"/>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0"/>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69"/>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0"/>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1"/>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0"/>
      <c r="O107" s="1887"/>
      <c r="P107" s="1889"/>
      <c r="Q107" s="1890"/>
      <c r="R107" s="1891"/>
      <c r="S107" s="1891"/>
      <c r="T107" s="1891"/>
      <c r="U107" s="1891"/>
      <c r="V107" s="1891"/>
      <c r="W107" s="1891"/>
      <c r="X107" s="1891"/>
      <c r="Y107" s="1891"/>
      <c r="Z107" s="1891"/>
      <c r="AA107" s="1891"/>
      <c r="AB107" s="1891"/>
      <c r="AC107" s="1891"/>
    </row>
    <row r="108" spans="1:29" ht="28.5">
      <c r="A108" s="632" t="s">
        <v>500</v>
      </c>
      <c r="B108" s="633" t="s">
        <v>541</v>
      </c>
      <c r="C108" s="672" t="str">
        <f t="shared" ref="C108:L108" si="25">C109&amp;"(含)"&amp;"-"&amp;D109</f>
        <v>0(含)-10000</v>
      </c>
      <c r="D108" s="672" t="str">
        <f t="shared" si="25"/>
        <v>10000(含)-20000</v>
      </c>
      <c r="E108" s="672" t="str">
        <f t="shared" si="25"/>
        <v>20000(含)-30000</v>
      </c>
      <c r="F108" s="672" t="str">
        <f t="shared" si="25"/>
        <v>30000(含)-40000</v>
      </c>
      <c r="G108" s="672" t="str">
        <f t="shared" si="25"/>
        <v>40000(含)-50000</v>
      </c>
      <c r="H108" s="672" t="str">
        <f t="shared" si="25"/>
        <v>50000(含)-100000</v>
      </c>
      <c r="I108" s="672" t="str">
        <f t="shared" si="25"/>
        <v>100000(含)-</v>
      </c>
      <c r="J108" s="672" t="str">
        <f t="shared" si="25"/>
        <v>(含)-</v>
      </c>
      <c r="K108" s="2536" t="str">
        <f t="shared" si="25"/>
        <v>(含)-</v>
      </c>
      <c r="L108" s="2537" t="str">
        <f t="shared" si="25"/>
        <v>(含)-</v>
      </c>
      <c r="M108" s="2538" t="str">
        <f>M109&amp;"(含)"&amp;"-"&amp;P109</f>
        <v>(含)-</v>
      </c>
      <c r="N108" s="2969"/>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v>0</v>
      </c>
      <c r="D109" s="698">
        <v>10000</v>
      </c>
      <c r="E109" s="698">
        <v>20000</v>
      </c>
      <c r="F109" s="698">
        <v>30000</v>
      </c>
      <c r="G109" s="698">
        <v>40000</v>
      </c>
      <c r="H109" s="698">
        <v>50000</v>
      </c>
      <c r="I109" s="698">
        <v>100000</v>
      </c>
      <c r="J109" s="699"/>
      <c r="K109" s="699"/>
      <c r="L109" s="700"/>
      <c r="M109" s="701"/>
      <c r="N109" s="2969"/>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v>100</v>
      </c>
      <c r="D110" s="694">
        <f>C110+1</f>
        <v>101</v>
      </c>
      <c r="E110" s="694">
        <f>D110+1</f>
        <v>102</v>
      </c>
      <c r="F110" s="694">
        <f>E110+1</f>
        <v>103</v>
      </c>
      <c r="G110" s="694">
        <f>F110+1</f>
        <v>104</v>
      </c>
      <c r="H110" s="694">
        <f>G110+1</f>
        <v>105</v>
      </c>
      <c r="I110" s="694"/>
      <c r="J110" s="694"/>
      <c r="K110" s="694"/>
      <c r="L110" s="694"/>
      <c r="M110" s="695"/>
      <c r="N110" s="2970"/>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69"/>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0"/>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1775</v>
      </c>
      <c r="C113" s="1233"/>
      <c r="D113" s="1233"/>
      <c r="E113" s="1233"/>
      <c r="F113" s="1233"/>
      <c r="G113" s="1233"/>
      <c r="H113" s="686"/>
      <c r="I113" s="686"/>
      <c r="J113" s="686"/>
      <c r="K113" s="687"/>
      <c r="L113" s="688"/>
      <c r="M113" s="689"/>
      <c r="N113" s="2971"/>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1"/>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69"/>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0"/>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69"/>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0"/>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69"/>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0"/>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1"/>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1"/>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0" priority="18" stopIfTrue="1" operator="containsText" text="超过">
      <formula>NOT(ISERROR(SEARCH("超过",F48)))</formula>
    </cfRule>
  </conditionalFormatting>
  <conditionalFormatting sqref="J50">
    <cfRule type="containsText" dxfId="169" priority="17" stopIfTrue="1" operator="containsText" text="超过">
      <formula>NOT(ISERROR(SEARCH("超过",J50)))</formula>
    </cfRule>
  </conditionalFormatting>
  <conditionalFormatting sqref="H50">
    <cfRule type="containsText" dxfId="168" priority="16" stopIfTrue="1" operator="containsText" text="超过">
      <formula>NOT(ISERROR(SEARCH("超过",H50)))</formula>
    </cfRule>
  </conditionalFormatting>
  <conditionalFormatting sqref="F50">
    <cfRule type="containsText" dxfId="167" priority="15" stopIfTrue="1" operator="containsText" text="超过">
      <formula>NOT(ISERROR(SEARCH("超过",F50)))</formula>
    </cfRule>
  </conditionalFormatting>
  <conditionalFormatting sqref="F49 H49 J49">
    <cfRule type="containsText" dxfId="166" priority="14" stopIfTrue="1" operator="containsText" text="超过">
      <formula>NOT(ISERROR(SEARCH("超过",F49)))</formula>
    </cfRule>
  </conditionalFormatting>
  <conditionalFormatting sqref="E48">
    <cfRule type="expression" dxfId="165" priority="13" stopIfTrue="1">
      <formula>$F$48="超过30%"</formula>
    </cfRule>
  </conditionalFormatting>
  <conditionalFormatting sqref="G50">
    <cfRule type="expression" dxfId="164" priority="12" stopIfTrue="1">
      <formula>$H$50="超过30%"</formula>
    </cfRule>
  </conditionalFormatting>
  <conditionalFormatting sqref="E50">
    <cfRule type="expression" dxfId="163" priority="10" stopIfTrue="1">
      <formula>$F$50="超过30%"</formula>
    </cfRule>
  </conditionalFormatting>
  <conditionalFormatting sqref="G48">
    <cfRule type="expression" dxfId="162" priority="9" stopIfTrue="1">
      <formula>$H$48="超过30%"</formula>
    </cfRule>
  </conditionalFormatting>
  <conditionalFormatting sqref="G49">
    <cfRule type="expression" dxfId="161" priority="8" stopIfTrue="1">
      <formula>$H$49="超过20%"</formula>
    </cfRule>
  </conditionalFormatting>
  <conditionalFormatting sqref="I48">
    <cfRule type="expression" dxfId="160" priority="7" stopIfTrue="1">
      <formula>$J$48="超过30%"</formula>
    </cfRule>
  </conditionalFormatting>
  <conditionalFormatting sqref="I49">
    <cfRule type="expression" dxfId="159" priority="6" stopIfTrue="1">
      <formula>$J$49="超过20%"</formula>
    </cfRule>
  </conditionalFormatting>
  <conditionalFormatting sqref="I50">
    <cfRule type="expression" dxfId="158" priority="5" stopIfTrue="1">
      <formula>$J$50="超过30%"</formula>
    </cfRule>
  </conditionalFormatting>
  <conditionalFormatting sqref="E49">
    <cfRule type="expression" dxfId="157" priority="51" stopIfTrue="1">
      <formula>#REF!+$F$49="超过20%"</formula>
    </cfRule>
  </conditionalFormatting>
  <conditionalFormatting sqref="F44">
    <cfRule type="expression" dxfId="156" priority="4">
      <formula>$D$44="简单平均"</formula>
    </cfRule>
  </conditionalFormatting>
  <conditionalFormatting sqref="H44">
    <cfRule type="expression" dxfId="155" priority="3">
      <formula>$D$44="简单平均"</formula>
    </cfRule>
  </conditionalFormatting>
  <conditionalFormatting sqref="J44">
    <cfRule type="expression" dxfId="154" priority="2">
      <formula>$D$44="简单平均"</formula>
    </cfRule>
  </conditionalFormatting>
  <conditionalFormatting sqref="F9:F42 H9:H42 J9:J42">
    <cfRule type="cellIs" dxfId="15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I51" sqref="I51"/>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3502</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1295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2022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135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18255</v>
      </c>
      <c r="D6" s="2308"/>
      <c r="E6" s="2308"/>
      <c r="F6" s="2308"/>
      <c r="G6" s="2308"/>
      <c r="H6" s="2308"/>
      <c r="I6" s="2308"/>
      <c r="J6" s="2308"/>
      <c r="K6" s="2310"/>
      <c r="L6" s="2937"/>
      <c r="M6" s="2937"/>
      <c r="N6" s="2937"/>
      <c r="O6" s="2937"/>
      <c r="P6" s="2937"/>
      <c r="Q6" s="2937"/>
      <c r="R6" s="2937"/>
      <c r="S6" s="2937"/>
      <c r="T6" s="2937"/>
      <c r="U6" s="2937"/>
      <c r="V6" s="2937"/>
      <c r="W6" s="2937"/>
      <c r="X6" s="2937"/>
      <c r="Y6" s="2937"/>
      <c r="Z6" s="2937"/>
    </row>
    <row r="7" spans="1:31" s="1835" customFormat="1" ht="15">
      <c r="A7" s="2311" t="s">
        <v>430</v>
      </c>
      <c r="B7" s="2312" t="s">
        <v>431</v>
      </c>
      <c r="C7" s="423" t="s">
        <v>3310</v>
      </c>
      <c r="D7" s="423" t="s">
        <v>3312</v>
      </c>
      <c r="E7" s="423"/>
      <c r="F7" s="423"/>
      <c r="G7" s="423"/>
      <c r="H7" s="423"/>
      <c r="I7" s="423"/>
      <c r="J7" s="423"/>
      <c r="K7" s="424"/>
      <c r="AA7" s="1834"/>
      <c r="AB7" s="1834"/>
      <c r="AC7" s="1834"/>
      <c r="AD7" s="1834"/>
      <c r="AE7" s="1834"/>
    </row>
    <row r="8" spans="1:31" s="1837" customFormat="1" ht="13.5" customHeight="1">
      <c r="A8" s="769" t="s">
        <v>1374</v>
      </c>
      <c r="B8" s="252" t="s">
        <v>432</v>
      </c>
      <c r="C8" s="2313">
        <f ca="1">'不动产收益法-研发楼'!B3</f>
        <v>8695</v>
      </c>
      <c r="D8" s="2313">
        <f ca="1">'不动产收益法-地下车库'!B3</f>
        <v>744</v>
      </c>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20593.5</v>
      </c>
      <c r="D9" s="428">
        <f>SUMIF('数据-汇总表'!$C19:$C33,'剩余法-待开发'!D7,'数据-汇总表'!$E19:$E33)</f>
        <v>4676.82</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'不动产收益法-研发楼'!B2</f>
        <v>17907</v>
      </c>
      <c r="D10" s="2501">
        <f ca="1">'不动产收益法-地下车库'!B2</f>
        <v>348</v>
      </c>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7"/>
      <c r="M11" s="2937"/>
      <c r="N11" s="2937"/>
      <c r="O11" s="2937"/>
      <c r="P11" s="2937"/>
      <c r="Q11" s="2937"/>
      <c r="R11" s="2937"/>
      <c r="S11" s="2937"/>
      <c r="T11" s="2937"/>
      <c r="U11" s="2937"/>
      <c r="V11" s="2937"/>
      <c r="W11" s="2937"/>
      <c r="X11" s="2937"/>
      <c r="Y11" s="2937"/>
      <c r="Z11" s="2937"/>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8"/>
      <c r="M12" s="2938"/>
      <c r="N12" s="2938"/>
      <c r="O12" s="2938"/>
      <c r="P12" s="2938"/>
      <c r="Q12" s="2938"/>
      <c r="R12" s="2938"/>
      <c r="S12" s="2938"/>
      <c r="T12" s="2938"/>
      <c r="U12" s="2938"/>
      <c r="V12" s="2938"/>
      <c r="W12" s="2938"/>
      <c r="X12" s="2938"/>
      <c r="Y12" s="2938"/>
      <c r="Z12" s="2938"/>
    </row>
    <row r="13" spans="1:31" s="1838" customFormat="1" ht="13.5" customHeight="1">
      <c r="A13" s="2321" t="s">
        <v>1377</v>
      </c>
      <c r="B13" s="2322" t="s">
        <v>439</v>
      </c>
      <c r="C13" s="436">
        <f ca="1">IF(B1="",'数据-取费表'!P16,INDIRECT("'数据-取费表'!p"&amp;$K$1)+INDIRECT("'数据-取费表'!t"&amp;$K$1))</f>
        <v>10494</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315</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406</v>
      </c>
      <c r="D16" s="2323">
        <f ca="1">IF(B1="",'数据-汇总表'!E3,INDIRECT("'数据-取费表'!K"&amp;$K$1)+INDIRECT("'数据-取费表'!S"&amp;$K$1))</f>
        <v>27041.94</v>
      </c>
      <c r="E16" s="51">
        <f>'数据-取费表'!B35</f>
        <v>150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157</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11372</v>
      </c>
      <c r="D18" s="2332"/>
      <c r="E18" s="454"/>
      <c r="F18" s="454"/>
      <c r="G18" s="2295" t="s">
        <v>1779</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27041.94</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c r="H20" s="2289"/>
      <c r="I20" s="2290" t="s">
        <v>1931</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270</v>
      </c>
      <c r="D22" s="2323">
        <f ca="1">IF(B1="",'数据-汇总表'!E6,IF(INDIRECT("'数据-取费表'!c"&amp;$K$1)="住宅",INDIRECT("'数据-取费表'!s"&amp;$K$1),INDIRECT("'数据-取费表'!k"&amp;$K$1)+INDIRECT("'数据-取费表'!s"&amp;$K$1)))</f>
        <v>27041.94</v>
      </c>
      <c r="E22" s="51">
        <f>'数据-取费表'!B28</f>
        <v>100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2107</v>
      </c>
      <c r="C23" s="2331">
        <f ca="1">ROUND((C18+C19+C20)*F23,0)</f>
        <v>171</v>
      </c>
      <c r="D23" s="454"/>
      <c r="E23" s="454"/>
      <c r="F23" s="2335">
        <f>'数据-取费表'!B37</f>
        <v>1.4999999999999999E-2</v>
      </c>
      <c r="G23" s="2291" t="s">
        <v>1780</v>
      </c>
      <c r="H23" s="2292"/>
      <c r="I23" s="2292"/>
      <c r="J23" s="2292"/>
      <c r="K23" s="2293"/>
      <c r="L23" s="2939"/>
      <c r="M23" s="2939"/>
      <c r="N23" s="2939"/>
      <c r="O23" s="1839"/>
      <c r="P23" s="1839"/>
      <c r="Q23" s="1839"/>
      <c r="R23" s="1839"/>
      <c r="S23" s="1839"/>
      <c r="T23" s="1839"/>
      <c r="U23" s="1839"/>
      <c r="V23" s="1839"/>
      <c r="W23" s="1839"/>
      <c r="X23" s="1839"/>
      <c r="Y23" s="1839"/>
      <c r="Z23" s="1839"/>
    </row>
    <row r="24" spans="1:26" s="1838" customFormat="1" ht="13.5" customHeight="1">
      <c r="A24" s="2329" t="s">
        <v>1388</v>
      </c>
      <c r="B24" s="2505" t="s">
        <v>2110</v>
      </c>
      <c r="C24" s="2331">
        <f ca="1">ROUND(C6*F24,0)</f>
        <v>183</v>
      </c>
      <c r="D24" s="461"/>
      <c r="E24" s="459"/>
      <c r="F24" s="2335">
        <f>'数据-取费表'!B38</f>
        <v>0.01</v>
      </c>
      <c r="G24" s="2300" t="s">
        <v>459</v>
      </c>
      <c r="H24" s="2294"/>
      <c r="I24" s="2294"/>
      <c r="J24" s="2294"/>
      <c r="K24" s="270"/>
      <c r="L24" s="2939"/>
      <c r="M24" s="2939"/>
      <c r="N24" s="2939"/>
      <c r="O24" s="1839"/>
      <c r="P24" s="1839"/>
      <c r="Q24" s="1839"/>
      <c r="R24" s="1839"/>
      <c r="S24" s="1839"/>
      <c r="T24" s="1839"/>
      <c r="U24" s="1839"/>
      <c r="V24" s="1839"/>
      <c r="W24" s="1839"/>
      <c r="X24" s="1839"/>
      <c r="Y24" s="1839"/>
      <c r="Z24" s="1839"/>
    </row>
    <row r="25" spans="1:26" s="1841" customFormat="1" ht="13.5" customHeight="1">
      <c r="A25" s="2329" t="s">
        <v>1389</v>
      </c>
      <c r="B25" s="2505" t="s">
        <v>2108</v>
      </c>
      <c r="C25" s="453">
        <f>ROUND(F25/(1+'数据-取费表'!C42),4)</f>
        <v>2.9000000000000001E-2</v>
      </c>
      <c r="D25" s="448" t="s">
        <v>2103</v>
      </c>
      <c r="E25" s="455"/>
      <c r="F25" s="2335">
        <f>IF(项目基本情况!B8="出让",0,'数据-取费表'!B48+'数据-取费表'!B49)</f>
        <v>3.0499999999999999E-2</v>
      </c>
      <c r="G25" s="2299" t="s">
        <v>1645</v>
      </c>
      <c r="H25" s="2292"/>
      <c r="I25" s="2292"/>
      <c r="J25" s="2292"/>
      <c r="K25" s="2293"/>
      <c r="L25" s="2940"/>
      <c r="M25" s="2940"/>
      <c r="N25" s="2940"/>
      <c r="O25" s="2940"/>
      <c r="P25" s="2940"/>
      <c r="Q25" s="2940"/>
      <c r="R25" s="2940"/>
      <c r="S25" s="2940"/>
      <c r="T25" s="2940"/>
      <c r="U25" s="2940"/>
      <c r="V25" s="2940"/>
      <c r="W25" s="2940"/>
      <c r="X25" s="2940"/>
      <c r="Y25" s="2940"/>
      <c r="Z25" s="2940"/>
    </row>
    <row r="26" spans="1:26" s="1840" customFormat="1" ht="13.5" customHeight="1">
      <c r="A26" s="2329" t="s">
        <v>1390</v>
      </c>
      <c r="B26" s="2506" t="s">
        <v>2109</v>
      </c>
      <c r="C26" s="2336">
        <f ca="1">C28</f>
        <v>363</v>
      </c>
      <c r="D26" s="453">
        <f ca="1">C27</f>
        <v>6.4699999999999994E-2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39"/>
      <c r="M26" s="2939"/>
      <c r="N26" s="2939"/>
      <c r="O26" s="2939"/>
      <c r="P26" s="2939"/>
      <c r="Q26" s="2939"/>
      <c r="R26" s="2939"/>
      <c r="S26" s="2939"/>
      <c r="T26" s="2939"/>
      <c r="U26" s="2939"/>
      <c r="V26" s="2939"/>
      <c r="W26" s="2939"/>
      <c r="X26" s="2939"/>
      <c r="Y26" s="2939"/>
      <c r="Z26" s="2939"/>
    </row>
    <row r="27" spans="1:26" s="1842" customFormat="1" ht="13.5" customHeight="1">
      <c r="A27" s="769" t="s">
        <v>1385</v>
      </c>
      <c r="B27" s="2337" t="s">
        <v>456</v>
      </c>
      <c r="C27" s="2338">
        <f ca="1">ROUND(IF('数据-取费表'!B22&lt;=1,(1+C25)*F26*'数据-取费表'!B24,(1+C25)*(POWER((1+F26),'数据-取费表'!B24)-1)),4)</f>
        <v>6.4699999999999994E-2</v>
      </c>
      <c r="D27" s="458"/>
      <c r="E27" s="459"/>
      <c r="F27" s="460"/>
      <c r="G27" s="2187" t="str">
        <f>IF('数据-取费表'!B22&lt;=1,"（1+取得税费率/(1+5%)）×年利率×建设期","（1+取得税费率）/(1+5%)×((1+年利率)^建设期-1)")</f>
        <v>（1+取得税费率）/(1+5%)×((1+年利率)^建设期-1)</v>
      </c>
      <c r="H27" s="2294"/>
      <c r="I27" s="2294"/>
      <c r="J27" s="2294"/>
      <c r="K27" s="270"/>
      <c r="L27" s="2941"/>
      <c r="M27" s="2941"/>
      <c r="N27" s="2941"/>
      <c r="O27" s="2941"/>
      <c r="P27" s="2941"/>
      <c r="Q27" s="2941"/>
      <c r="R27" s="2941"/>
      <c r="S27" s="2941"/>
      <c r="T27" s="2941"/>
      <c r="U27" s="2941"/>
      <c r="V27" s="2941"/>
      <c r="W27" s="2941"/>
      <c r="X27" s="2941"/>
      <c r="Y27" s="2941"/>
      <c r="Z27" s="2941"/>
    </row>
    <row r="28" spans="1:26" s="1842" customFormat="1" ht="13.5" customHeight="1">
      <c r="A28" s="769" t="s">
        <v>1386</v>
      </c>
      <c r="B28" s="2337" t="s">
        <v>2111</v>
      </c>
      <c r="C28" s="2339">
        <f ca="1">ROUND(IF('数据-取费表'!B22&lt;=1,(C18+C19+C20+C23+C24)*F26*'数据-取费表'!B24/2,(C18+C19+C20+C23+C24)*(POWER((1+F26),'数据-取费表'!B24/2)-1)),0)</f>
        <v>363</v>
      </c>
      <c r="D28" s="458"/>
      <c r="E28" s="459"/>
      <c r="F28" s="460"/>
      <c r="G28" s="2187" t="str">
        <f>IF('数据-取费表'!B22&lt;=1,"（1）-（4）项×年利率×建设期÷2","（1）-（4）项×((1+年利率)^(建设期÷2)-1)")</f>
        <v>（1）-（4）项×((1+年利率)^(建设期÷2)-1)</v>
      </c>
      <c r="H28" s="2294"/>
      <c r="I28" s="2294"/>
      <c r="J28" s="2294"/>
      <c r="K28" s="270"/>
      <c r="L28" s="2941"/>
      <c r="M28" s="2941"/>
      <c r="N28" s="2941"/>
      <c r="O28" s="2941"/>
      <c r="P28" s="2941"/>
      <c r="Q28" s="2941"/>
      <c r="R28" s="2941"/>
      <c r="S28" s="2941"/>
      <c r="T28" s="2941"/>
      <c r="U28" s="2941"/>
      <c r="V28" s="2941"/>
      <c r="W28" s="2941"/>
      <c r="X28" s="2941"/>
      <c r="Y28" s="2941"/>
      <c r="Z28" s="2941"/>
    </row>
    <row r="29" spans="1:26" s="1842" customFormat="1" ht="13.5" customHeight="1">
      <c r="A29" s="2340" t="s">
        <v>1391</v>
      </c>
      <c r="B29" s="2330" t="s">
        <v>457</v>
      </c>
      <c r="C29" s="2331">
        <f ca="1">ROUND(C6*F29/(1+'数据-取费表'!C42),0)</f>
        <v>956</v>
      </c>
      <c r="D29" s="454"/>
      <c r="E29" s="454"/>
      <c r="F29" s="2507">
        <f>'数据-取费表'!B41</f>
        <v>5.5000000000000007E-2</v>
      </c>
      <c r="G29" s="2300" t="s">
        <v>458</v>
      </c>
      <c r="H29" s="2292"/>
      <c r="I29" s="2292"/>
      <c r="J29" s="2292"/>
      <c r="K29" s="2293"/>
      <c r="L29" s="2941"/>
      <c r="M29" s="2941"/>
      <c r="N29" s="2941"/>
      <c r="O29" s="2941"/>
      <c r="P29" s="2941"/>
      <c r="Q29" s="2941"/>
      <c r="R29" s="2941"/>
      <c r="S29" s="2941"/>
      <c r="T29" s="2941"/>
      <c r="U29" s="2941"/>
      <c r="V29" s="2941"/>
      <c r="W29" s="2941"/>
      <c r="X29" s="2941"/>
      <c r="Y29" s="2941"/>
      <c r="Z29" s="2941"/>
    </row>
    <row r="30" spans="1:26" s="1843" customFormat="1" ht="13.5" customHeight="1">
      <c r="A30" s="1442" t="s">
        <v>1392</v>
      </c>
      <c r="B30" s="2341" t="s">
        <v>460</v>
      </c>
      <c r="C30" s="2336">
        <f ca="1">C31</f>
        <v>13045</v>
      </c>
      <c r="D30" s="463">
        <f ca="1">C32</f>
        <v>9.3700000000000006E-2</v>
      </c>
      <c r="E30" s="455" t="s">
        <v>455</v>
      </c>
      <c r="F30" s="457"/>
      <c r="G30" s="2299" t="s">
        <v>2225</v>
      </c>
      <c r="H30" s="2292"/>
      <c r="I30" s="2292"/>
      <c r="J30" s="2292"/>
      <c r="K30" s="2293"/>
      <c r="L30" s="2942"/>
      <c r="M30" s="2942"/>
      <c r="N30" s="2942"/>
      <c r="O30" s="2942"/>
      <c r="P30" s="2942"/>
      <c r="Q30" s="2942"/>
      <c r="R30" s="2942"/>
      <c r="S30" s="2942"/>
      <c r="T30" s="2942"/>
      <c r="U30" s="2942"/>
      <c r="V30" s="2942"/>
      <c r="W30" s="2942"/>
      <c r="X30" s="2942"/>
      <c r="Y30" s="2942"/>
      <c r="Z30" s="2942"/>
    </row>
    <row r="31" spans="1:26" s="1842" customFormat="1" ht="13.5" customHeight="1">
      <c r="A31" s="769" t="s">
        <v>1385</v>
      </c>
      <c r="B31" s="2337"/>
      <c r="C31" s="436">
        <f ca="1">C18+C19+C20+C23+C24+C26+C29</f>
        <v>13045</v>
      </c>
      <c r="D31" s="458"/>
      <c r="E31" s="459"/>
      <c r="F31" s="460"/>
      <c r="G31" s="252"/>
      <c r="H31" s="2294"/>
      <c r="I31" s="2294"/>
      <c r="J31" s="2294"/>
      <c r="K31" s="270"/>
      <c r="L31" s="2941"/>
      <c r="M31" s="2941"/>
      <c r="N31" s="2941"/>
      <c r="O31" s="2941"/>
      <c r="P31" s="2941"/>
      <c r="Q31" s="2941"/>
      <c r="R31" s="2941"/>
      <c r="S31" s="2941"/>
      <c r="T31" s="2941"/>
      <c r="U31" s="2941"/>
      <c r="V31" s="2941"/>
      <c r="W31" s="2941"/>
      <c r="X31" s="2941"/>
      <c r="Y31" s="2941"/>
      <c r="Z31" s="2941"/>
    </row>
    <row r="32" spans="1:26" s="1842" customFormat="1" ht="13.5" customHeight="1">
      <c r="A32" s="769" t="s">
        <v>1386</v>
      </c>
      <c r="B32" s="2337"/>
      <c r="C32" s="51">
        <f ca="1">ROUND(C25+D26,4)</f>
        <v>9.3700000000000006E-2</v>
      </c>
      <c r="D32" s="458"/>
      <c r="E32" s="459"/>
      <c r="F32" s="460"/>
      <c r="G32" s="252"/>
      <c r="H32" s="2294"/>
      <c r="I32" s="2294"/>
      <c r="J32" s="2294"/>
      <c r="K32" s="270"/>
      <c r="L32" s="2941"/>
      <c r="M32" s="2941"/>
      <c r="N32" s="2941"/>
      <c r="O32" s="2941"/>
      <c r="P32" s="2941"/>
      <c r="Q32" s="2941"/>
      <c r="R32" s="2941"/>
      <c r="S32" s="2941"/>
      <c r="T32" s="2941"/>
      <c r="U32" s="2941"/>
      <c r="V32" s="2941"/>
      <c r="W32" s="2941"/>
      <c r="X32" s="2941"/>
      <c r="Y32" s="2941"/>
      <c r="Z32" s="2941"/>
    </row>
    <row r="33" spans="1:26" s="1844" customFormat="1" ht="13.5" customHeight="1">
      <c r="A33" s="2504" t="s">
        <v>2106</v>
      </c>
      <c r="B33" s="2502" t="s">
        <v>2104</v>
      </c>
      <c r="C33" s="464">
        <f ca="1">C35</f>
        <v>1055</v>
      </c>
      <c r="D33" s="453">
        <f ca="1">C34</f>
        <v>9.2600000000000002E-2</v>
      </c>
      <c r="E33" s="455" t="s">
        <v>455</v>
      </c>
      <c r="F33" s="465">
        <f ca="1">IF(B1="",'数据-取费表'!Q16,INDIRECT("'数据-取费表'!q"&amp;$K$1))</f>
        <v>0.09</v>
      </c>
      <c r="G33" s="2295"/>
      <c r="H33" s="2296"/>
      <c r="I33" s="2296"/>
      <c r="J33" s="2296"/>
      <c r="K33" s="2297"/>
      <c r="L33" s="2943"/>
      <c r="M33" s="2943"/>
      <c r="N33" s="2943"/>
      <c r="O33" s="2943"/>
      <c r="P33" s="2943"/>
      <c r="Q33" s="2943"/>
      <c r="R33" s="2943"/>
      <c r="S33" s="2943"/>
      <c r="T33" s="2943"/>
      <c r="U33" s="2943"/>
      <c r="V33" s="2943"/>
      <c r="W33" s="2943"/>
      <c r="X33" s="2943"/>
      <c r="Y33" s="2943"/>
      <c r="Z33" s="2943"/>
    </row>
    <row r="34" spans="1:26" s="1845" customFormat="1" ht="13.5" customHeight="1">
      <c r="A34" s="362" t="s">
        <v>1385</v>
      </c>
      <c r="B34" s="2342" t="s">
        <v>461</v>
      </c>
      <c r="C34" s="458">
        <f ca="1">ROUND((1+C25)*F33,4)</f>
        <v>9.2600000000000002E-2</v>
      </c>
      <c r="D34" s="458"/>
      <c r="E34" s="459"/>
      <c r="F34" s="466"/>
      <c r="G34" s="252" t="s">
        <v>1646</v>
      </c>
      <c r="H34" s="2294"/>
      <c r="I34" s="2294"/>
      <c r="J34" s="2294"/>
      <c r="K34" s="270"/>
      <c r="L34" s="2944"/>
      <c r="M34" s="2944"/>
      <c r="N34" s="2944"/>
      <c r="O34" s="2944"/>
      <c r="P34" s="2944"/>
      <c r="Q34" s="2944"/>
      <c r="R34" s="2944"/>
      <c r="S34" s="2944"/>
      <c r="T34" s="2944"/>
      <c r="U34" s="2944"/>
      <c r="V34" s="2944"/>
      <c r="W34" s="2944"/>
      <c r="X34" s="2944"/>
      <c r="Y34" s="2944"/>
      <c r="Z34" s="2944"/>
    </row>
    <row r="35" spans="1:26" s="1845" customFormat="1" ht="13.5" customHeight="1" thickBot="1">
      <c r="A35" s="1443" t="s">
        <v>1386</v>
      </c>
      <c r="B35" s="2503" t="s">
        <v>2112</v>
      </c>
      <c r="C35" s="1435">
        <f ca="1">ROUND((C18+C19+C20+C23+C24)*F33,0)</f>
        <v>1055</v>
      </c>
      <c r="D35" s="1436"/>
      <c r="E35" s="2343"/>
      <c r="F35" s="1437"/>
      <c r="G35" s="2301"/>
      <c r="H35" s="2302"/>
      <c r="I35" s="2302"/>
      <c r="J35" s="2302"/>
      <c r="K35" s="2303"/>
      <c r="L35" s="2944"/>
      <c r="M35" s="2944"/>
      <c r="N35" s="2944"/>
      <c r="O35" s="2944"/>
      <c r="P35" s="2944"/>
      <c r="Q35" s="2944"/>
      <c r="R35" s="2944"/>
      <c r="S35" s="2944"/>
      <c r="T35" s="2944"/>
      <c r="U35" s="2944"/>
      <c r="V35" s="2944"/>
      <c r="W35" s="2944"/>
      <c r="X35" s="2944"/>
      <c r="Y35" s="2944"/>
      <c r="Z35" s="2944"/>
    </row>
    <row r="36" spans="1:26" s="1807" customFormat="1" ht="13.5" customHeight="1" thickBot="1">
      <c r="A36" s="275" t="s">
        <v>1373</v>
      </c>
      <c r="B36" s="2305"/>
      <c r="C36" s="2344">
        <f ca="1">ROUND((C6-C30-C33)/(1+D30+D33),0)</f>
        <v>3502</v>
      </c>
      <c r="D36" s="2305"/>
      <c r="E36" s="2305"/>
      <c r="F36" s="2305"/>
      <c r="G36" s="2304" t="s">
        <v>2113</v>
      </c>
      <c r="H36" s="2305"/>
      <c r="I36" s="2305"/>
      <c r="J36" s="2305"/>
      <c r="K36" s="2306"/>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2" t="str">
        <f>项目基本情况!B1</f>
        <v>北京市国家网络安全产业园区（通州）东部出让国有建设用地使用权抵押价格预评估</v>
      </c>
      <c r="C37" s="3682"/>
      <c r="D37" s="3682"/>
      <c r="E37" s="3682"/>
      <c r="F37" s="3682"/>
      <c r="G37" s="3682"/>
      <c r="H37" s="3682"/>
      <c r="I37" s="3682"/>
    </row>
    <row r="38" spans="1:9">
      <c r="A38" s="1461"/>
      <c r="B38" s="1461"/>
    </row>
    <row r="39" spans="1:9">
      <c r="A39" s="1459" t="s">
        <v>1425</v>
      </c>
      <c r="B39" s="1459" t="s">
        <v>1562</v>
      </c>
    </row>
    <row r="40" spans="1:9">
      <c r="A40" s="1459"/>
      <c r="B40" s="1459">
        <f>项目基本情况!B5</f>
        <v>0</v>
      </c>
    </row>
    <row r="41" spans="1:9">
      <c r="A41" s="1459"/>
      <c r="B41" s="1459"/>
    </row>
    <row r="42" spans="1:9">
      <c r="A42" s="1459" t="s">
        <v>1425</v>
      </c>
      <c r="B42" s="1459" t="s">
        <v>1563</v>
      </c>
    </row>
    <row r="43" spans="1:9">
      <c r="A43" s="1459"/>
      <c r="B43" s="1459" t="s">
        <v>1427</v>
      </c>
    </row>
    <row r="44" spans="1:9">
      <c r="A44" s="1459"/>
      <c r="B44" s="1459"/>
    </row>
    <row r="45" spans="1:9">
      <c r="A45" s="1459" t="s">
        <v>1425</v>
      </c>
      <c r="B45" s="1459" t="s">
        <v>1561</v>
      </c>
    </row>
    <row r="46" spans="1:9" s="1459" customFormat="1" ht="12.75">
      <c r="B46" s="1459" t="str">
        <f>项目基本情况!K4</f>
        <v>崔锴、赵雯</v>
      </c>
    </row>
    <row r="47" spans="1:9">
      <c r="A47" s="1459"/>
      <c r="B47" s="1459"/>
    </row>
    <row r="48" spans="1:9">
      <c r="A48" s="1459" t="s">
        <v>1425</v>
      </c>
      <c r="B48" s="1459" t="s">
        <v>1564</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1932</v>
      </c>
      <c r="B6" s="420"/>
      <c r="C6" s="1430">
        <f>SUM(C10:K10)</f>
        <v>0</v>
      </c>
      <c r="D6" s="1831"/>
      <c r="E6" s="1831"/>
      <c r="F6" s="1831"/>
      <c r="G6" s="1831"/>
      <c r="H6" s="1831"/>
      <c r="I6" s="1831"/>
      <c r="J6" s="1831"/>
      <c r="K6" s="1832"/>
      <c r="L6" s="2937"/>
      <c r="M6" s="2937"/>
      <c r="N6" s="2937"/>
      <c r="O6" s="2937"/>
      <c r="P6" s="2937"/>
      <c r="Q6" s="2937"/>
      <c r="R6" s="2937"/>
      <c r="S6" s="2937"/>
      <c r="T6" s="2937"/>
      <c r="U6" s="2937"/>
      <c r="V6" s="2937"/>
      <c r="W6" s="2937"/>
      <c r="X6" s="2937"/>
      <c r="Y6" s="2937"/>
      <c r="Z6" s="2937"/>
    </row>
    <row r="7" spans="1:41" s="1835" customFormat="1" ht="15">
      <c r="A7" s="421" t="s">
        <v>430</v>
      </c>
      <c r="B7" s="422" t="s">
        <v>431</v>
      </c>
      <c r="C7" s="3054"/>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7"/>
      <c r="M11" s="2937"/>
      <c r="N11" s="2937"/>
      <c r="O11" s="2937"/>
      <c r="P11" s="2937"/>
      <c r="Q11" s="2937"/>
      <c r="R11" s="2937"/>
      <c r="S11" s="2937"/>
      <c r="T11" s="2937"/>
      <c r="U11" s="2937"/>
      <c r="V11" s="2937"/>
      <c r="W11" s="2937"/>
      <c r="X11" s="2937"/>
      <c r="Y11" s="2937"/>
      <c r="Z11" s="2937"/>
    </row>
    <row r="12" spans="1:41" s="1807"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8" customFormat="1" ht="13.5" customHeight="1">
      <c r="A13" s="1440" t="s">
        <v>1377</v>
      </c>
      <c r="B13" s="435" t="s">
        <v>439</v>
      </c>
      <c r="C13" s="436">
        <f ca="1">IF(B1="",'数据-取费表'!M16,INDIRECT("'数据-取费表'!M"&amp;$K$1)+INDIRECT("'数据-取费表'!t"&amp;$K$1))</f>
        <v>10494</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315</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406</v>
      </c>
      <c r="D16" s="437">
        <f ca="1">IF(B1="",'数据-汇总表'!E3,INDIRECT("'数据-取费表'!K"&amp;$K$1)+INDIRECT("'数据-取费表'!S"&amp;$K$1))</f>
        <v>27041.94</v>
      </c>
      <c r="E16" s="51">
        <f>'数据-取费表'!B35</f>
        <v>150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157</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11372</v>
      </c>
      <c r="D18" s="447"/>
      <c r="E18" s="448"/>
      <c r="F18" s="448"/>
      <c r="G18" s="1195" t="s">
        <v>1781</v>
      </c>
      <c r="H18" s="433"/>
      <c r="I18" s="433"/>
      <c r="J18" s="433"/>
      <c r="K18" s="434"/>
      <c r="L18" s="2940"/>
      <c r="M18" s="2940"/>
      <c r="N18" s="2940"/>
      <c r="O18" s="2940"/>
      <c r="P18" s="2940"/>
      <c r="Q18" s="2940"/>
      <c r="R18" s="2940"/>
      <c r="S18" s="2940"/>
      <c r="T18" s="2940"/>
      <c r="U18" s="2940"/>
      <c r="V18" s="2940"/>
      <c r="W18" s="2940"/>
      <c r="X18" s="2940"/>
      <c r="Y18" s="2940"/>
      <c r="Z18" s="2940"/>
    </row>
    <row r="19" spans="1:26" s="1841" customFormat="1" ht="13.5" customHeight="1">
      <c r="A19" s="1441" t="s">
        <v>1383</v>
      </c>
      <c r="B19" s="445" t="s">
        <v>453</v>
      </c>
      <c r="C19" s="446">
        <f ca="1">ROUND(C18*F19,0)</f>
        <v>171</v>
      </c>
      <c r="D19" s="447"/>
      <c r="E19" s="448"/>
      <c r="F19" s="452">
        <f>'数据-取费表'!B37</f>
        <v>1.4999999999999999E-2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3" customFormat="1" ht="13.5" customHeight="1">
      <c r="A20" s="1441" t="s">
        <v>1384</v>
      </c>
      <c r="B20" s="447" t="s">
        <v>454</v>
      </c>
      <c r="C20" s="456">
        <f ca="1">ROUND(IF('数据-取费表'!B22&lt;=1,(C18+C19)*F20*'数据-取费表'!B20/2,(C18+C19)*(POWER((1+F20),'数据-取费表'!B20/2)-1)),0)</f>
        <v>357</v>
      </c>
      <c r="D20" s="448">
        <f ca="1">ROUND(((1+F20)^'数据-取费表'!B20)-1,4)</f>
        <v>6.2899999999999998E-2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1798</v>
      </c>
      <c r="M20" s="2949"/>
      <c r="N20" s="2949"/>
      <c r="O20" s="2949"/>
      <c r="P20" s="2949"/>
      <c r="Q20" s="2942"/>
      <c r="R20" s="2942"/>
      <c r="S20" s="2942"/>
      <c r="T20" s="2942"/>
      <c r="U20" s="2942"/>
      <c r="V20" s="2942"/>
      <c r="W20" s="2942"/>
      <c r="X20" s="2942"/>
      <c r="Y20" s="2942"/>
      <c r="Z20" s="2942"/>
    </row>
    <row r="21" spans="1:26" s="1842" customFormat="1" ht="13.5" customHeight="1">
      <c r="A21" s="1441" t="s">
        <v>2293</v>
      </c>
      <c r="B21" s="2502" t="s">
        <v>2105</v>
      </c>
      <c r="C21" s="464">
        <f ca="1">ROUND((C18+C19)*F21,0)</f>
        <v>1039</v>
      </c>
      <c r="D21" s="3026"/>
      <c r="E21" s="448"/>
      <c r="F21" s="465">
        <f ca="1">IF(B1="",'数据-取费表'!Q16,INDIRECT("'数据-取费表'!q"&amp;$K$1))</f>
        <v>0.09</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3" customFormat="1" ht="13.5" customHeight="1">
      <c r="A22" s="1441" t="s">
        <v>1388</v>
      </c>
      <c r="B22" s="462" t="s">
        <v>464</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3" customFormat="1" ht="13.5" customHeight="1" thickBot="1">
      <c r="A23" s="3029" t="s">
        <v>1389</v>
      </c>
      <c r="B23" s="3030" t="s">
        <v>2294</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3" customFormat="1" ht="13.5" customHeight="1" thickBot="1">
      <c r="A24" s="3912" t="s">
        <v>1394</v>
      </c>
      <c r="B24" s="3913"/>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3" customFormat="1" ht="13.5" customHeight="1" thickBot="1">
      <c r="A25" s="3912" t="s">
        <v>2291</v>
      </c>
      <c r="B25" s="3913"/>
      <c r="C25" s="3036">
        <f>ROUND(C6*F25,0)</f>
        <v>0</v>
      </c>
      <c r="D25" s="3037"/>
      <c r="E25" s="3038"/>
      <c r="F25" s="3042">
        <f>'数据-取费表'!B38</f>
        <v>0.01</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8" customFormat="1" ht="13.5" customHeight="1" thickBot="1">
      <c r="A26" s="3912" t="s">
        <v>2292</v>
      </c>
      <c r="B26" s="3913"/>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914" t="s">
        <v>2290</v>
      </c>
      <c r="B27" s="3915"/>
      <c r="C27" s="3044">
        <f ca="1">(C6-C23-C24-C25)/((1+F26)*(1+D20+F21))</f>
        <v>0</v>
      </c>
      <c r="D27" s="3045"/>
      <c r="E27" s="3045"/>
      <c r="F27" s="3045"/>
      <c r="G27" s="3046" t="s">
        <v>2226</v>
      </c>
      <c r="H27" s="3045"/>
      <c r="I27" s="3045"/>
      <c r="J27" s="3045"/>
      <c r="K27" s="3047"/>
    </row>
    <row r="28" spans="1:26" s="1837" customFormat="1">
      <c r="A28" s="2945"/>
      <c r="C28" s="2946"/>
      <c r="E28" s="2945"/>
    </row>
    <row r="29" spans="1:26" s="1837" customFormat="1" ht="12.75" customHeight="1">
      <c r="A29" s="2945"/>
      <c r="C29" s="2946"/>
      <c r="E29" s="2945"/>
    </row>
    <row r="30" spans="1:26" s="1837" customFormat="1">
      <c r="A30" s="2945"/>
      <c r="C30" s="2946"/>
      <c r="E30" s="2945"/>
    </row>
    <row r="31" spans="1:26" s="1837" customFormat="1">
      <c r="A31" s="2945"/>
      <c r="C31" s="2946"/>
      <c r="E31" s="2945"/>
    </row>
    <row r="32" spans="1:26" s="1837" customFormat="1">
      <c r="A32" s="2945"/>
      <c r="C32" s="2946"/>
      <c r="E32" s="2945"/>
    </row>
    <row r="33" spans="1:5" s="1837" customFormat="1">
      <c r="A33" s="2945"/>
      <c r="C33" s="2946"/>
      <c r="E33" s="2945"/>
    </row>
    <row r="34" spans="1:5" s="1837" customFormat="1">
      <c r="A34" s="2945"/>
      <c r="C34" s="2946"/>
      <c r="E34" s="2945"/>
    </row>
    <row r="35" spans="1:5" s="1837" customFormat="1">
      <c r="A35" s="2945"/>
      <c r="C35" s="2946"/>
      <c r="E35" s="2945"/>
    </row>
    <row r="36" spans="1:5" s="1837" customFormat="1">
      <c r="A36" s="2945"/>
      <c r="C36" s="2946"/>
      <c r="E36" s="2945"/>
    </row>
    <row r="37" spans="1:5" s="1837" customFormat="1">
      <c r="A37" s="2945"/>
      <c r="C37" s="2946"/>
      <c r="E37" s="2945"/>
    </row>
    <row r="38" spans="1:5" s="1837" customFormat="1">
      <c r="A38" s="2945"/>
      <c r="C38" s="2946"/>
      <c r="E38" s="2945"/>
    </row>
    <row r="39" spans="1:5" s="1837" customFormat="1">
      <c r="A39" s="2945"/>
      <c r="C39" s="2946"/>
      <c r="E39" s="2945"/>
    </row>
    <row r="40" spans="1:5" s="1837" customFormat="1">
      <c r="A40" s="2945"/>
      <c r="C40" s="2946"/>
      <c r="E40" s="2945"/>
    </row>
    <row r="41" spans="1:5" s="1837" customFormat="1">
      <c r="A41" s="2945"/>
      <c r="C41" s="2946"/>
      <c r="E41" s="2945"/>
    </row>
    <row r="42" spans="1:5" s="1837" customFormat="1">
      <c r="A42" s="2945"/>
      <c r="C42" s="2946"/>
      <c r="E42" s="2945"/>
    </row>
    <row r="43" spans="1:5" s="1837" customFormat="1">
      <c r="A43" s="2945"/>
      <c r="C43" s="2946"/>
      <c r="E43" s="2945"/>
    </row>
    <row r="44" spans="1:5" s="1837" customFormat="1">
      <c r="A44" s="2945"/>
      <c r="C44" s="2946"/>
      <c r="E44" s="2945"/>
    </row>
    <row r="45" spans="1:5" s="1837" customFormat="1">
      <c r="A45" s="2945"/>
      <c r="C45" s="2946"/>
      <c r="E45" s="2945"/>
    </row>
    <row r="46" spans="1:5" s="1837" customFormat="1">
      <c r="A46" s="2945"/>
      <c r="C46" s="2946"/>
      <c r="E46" s="2945"/>
    </row>
    <row r="47" spans="1:5" s="1837" customFormat="1">
      <c r="A47" s="2945"/>
      <c r="C47" s="2946"/>
      <c r="E47" s="2945"/>
    </row>
    <row r="48" spans="1:5"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0"/>
      <c r="M1" s="2951"/>
      <c r="N1" s="2951"/>
      <c r="O1" s="2951"/>
      <c r="P1" s="1854"/>
      <c r="Q1" s="1854"/>
      <c r="R1" s="1854"/>
      <c r="S1" s="1854"/>
      <c r="T1" s="1854"/>
      <c r="U1" s="1854"/>
      <c r="V1" s="1854"/>
      <c r="W1" s="1854"/>
      <c r="X1" s="1854"/>
      <c r="Y1" s="1854"/>
      <c r="Z1" s="1854"/>
      <c r="AA1" s="1854"/>
      <c r="AB1" s="1854"/>
      <c r="AC1" s="2952"/>
      <c r="AD1" s="1196"/>
    </row>
    <row r="2" spans="1:30" s="1197" customFormat="1" ht="28.5" customHeight="1">
      <c r="A2" s="410" t="s">
        <v>427</v>
      </c>
      <c r="B2" s="478" t="e">
        <f>F67</f>
        <v>#DIV/0!</v>
      </c>
      <c r="C2" s="2960"/>
      <c r="D2" s="2960"/>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c r="AD2" s="1196"/>
    </row>
    <row r="3" spans="1:30" s="1197" customFormat="1" ht="28.5" customHeight="1">
      <c r="A3" s="1237" t="s">
        <v>1217</v>
      </c>
      <c r="B3" s="480" t="e">
        <f>ROUND(B2*10000/'数据-汇总表'!E3,0)</f>
        <v>#DIV/0!</v>
      </c>
      <c r="C3" s="2961"/>
      <c r="D3" s="2965"/>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2953"/>
      <c r="AC3" s="1784"/>
    </row>
    <row r="4" spans="1:30" s="1197" customFormat="1" ht="28.5" customHeight="1">
      <c r="A4" s="481" t="s">
        <v>469</v>
      </c>
      <c r="B4" s="414" t="e">
        <f>IF(B48="单位面积地价",C50,ROUND(B2*10000/'数据-汇总表'!D3,0))</f>
        <v>#DIV/0!</v>
      </c>
      <c r="C4" s="2961"/>
      <c r="D4" s="2965"/>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84" t="s">
        <v>471</v>
      </c>
      <c r="D6" s="3885"/>
      <c r="E6" s="3884" t="s">
        <v>472</v>
      </c>
      <c r="F6" s="3885"/>
      <c r="G6" s="3884" t="s">
        <v>473</v>
      </c>
      <c r="H6" s="3885"/>
      <c r="I6" s="3884" t="s">
        <v>474</v>
      </c>
      <c r="J6" s="3885"/>
      <c r="K6" s="484" t="s">
        <v>475</v>
      </c>
      <c r="L6" s="1855"/>
      <c r="M6" s="1854"/>
      <c r="N6" s="1854"/>
      <c r="O6" s="1856"/>
      <c r="P6" s="3888" t="s">
        <v>476</v>
      </c>
      <c r="Q6" s="3889"/>
      <c r="R6" s="3870" t="s">
        <v>472</v>
      </c>
      <c r="S6" s="3871"/>
      <c r="T6" s="3870" t="s">
        <v>473</v>
      </c>
      <c r="U6" s="3871"/>
      <c r="V6" s="3896" t="s">
        <v>474</v>
      </c>
      <c r="W6" s="3896"/>
      <c r="X6" s="1380"/>
      <c r="Y6" s="3870" t="s">
        <v>476</v>
      </c>
      <c r="Z6" s="3871"/>
      <c r="AA6" s="3881" t="s">
        <v>472</v>
      </c>
      <c r="AB6" s="3882" t="s">
        <v>473</v>
      </c>
      <c r="AC6" s="3881" t="s">
        <v>474</v>
      </c>
    </row>
    <row r="7" spans="1:30" ht="20.25">
      <c r="A7" s="485"/>
      <c r="B7" s="486"/>
      <c r="C7" s="3874" t="s">
        <v>2187</v>
      </c>
      <c r="D7" s="3875"/>
      <c r="E7" s="3874" t="s">
        <v>2188</v>
      </c>
      <c r="F7" s="3875"/>
      <c r="G7" s="3874" t="s">
        <v>2189</v>
      </c>
      <c r="H7" s="3875"/>
      <c r="I7" s="3874" t="s">
        <v>2190</v>
      </c>
      <c r="J7" s="3875"/>
      <c r="K7" s="484"/>
      <c r="L7" s="1855"/>
      <c r="M7" s="1854"/>
      <c r="N7" s="1854"/>
      <c r="O7" s="1856"/>
      <c r="P7" s="3890"/>
      <c r="Q7" s="3891"/>
      <c r="R7" s="3872"/>
      <c r="S7" s="3873"/>
      <c r="T7" s="3872"/>
      <c r="U7" s="3873"/>
      <c r="V7" s="3896"/>
      <c r="W7" s="3896"/>
      <c r="X7" s="1380"/>
      <c r="Y7" s="3872"/>
      <c r="Z7" s="3873"/>
      <c r="AA7" s="3882"/>
      <c r="AB7" s="3882"/>
      <c r="AC7" s="3882"/>
    </row>
    <row r="8" spans="1:30" ht="21" thickBot="1">
      <c r="A8" s="485"/>
      <c r="B8" s="486"/>
      <c r="C8" s="3917" t="s">
        <v>2191</v>
      </c>
      <c r="D8" s="3918"/>
      <c r="E8" s="3917" t="s">
        <v>2191</v>
      </c>
      <c r="F8" s="3918"/>
      <c r="G8" s="3876" t="s">
        <v>2191</v>
      </c>
      <c r="H8" s="3877"/>
      <c r="I8" s="3876" t="s">
        <v>2191</v>
      </c>
      <c r="J8" s="3877"/>
      <c r="K8" s="484" t="s">
        <v>477</v>
      </c>
      <c r="L8" s="1855"/>
      <c r="M8" s="1854"/>
      <c r="N8" s="1854"/>
      <c r="O8" s="1856"/>
      <c r="P8" s="3892"/>
      <c r="Q8" s="3893"/>
      <c r="R8" s="3872"/>
      <c r="S8" s="3873"/>
      <c r="T8" s="3894"/>
      <c r="U8" s="3895"/>
      <c r="V8" s="3896"/>
      <c r="W8" s="3896"/>
      <c r="X8" s="1380"/>
      <c r="Y8" s="3894"/>
      <c r="Z8" s="3895"/>
      <c r="AA8" s="3883"/>
      <c r="AB8" s="3883"/>
      <c r="AC8" s="3883"/>
    </row>
    <row r="9" spans="1:30" s="1118" customFormat="1" ht="21" thickBot="1">
      <c r="A9" s="2391"/>
      <c r="B9" s="2398" t="s">
        <v>478</v>
      </c>
      <c r="C9" s="2390">
        <f>'数据-取费表'!B2</f>
        <v>45040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868" t="s">
        <v>479</v>
      </c>
      <c r="Q9" s="3878"/>
      <c r="R9" s="1381" t="s">
        <v>5</v>
      </c>
      <c r="S9" s="1382">
        <f t="shared" ref="S9:S17" si="0">F9</f>
        <v>0</v>
      </c>
      <c r="T9" s="1381" t="s">
        <v>5</v>
      </c>
      <c r="U9" s="1382">
        <f t="shared" ref="U9:U17" si="1">H9</f>
        <v>0</v>
      </c>
      <c r="V9" s="1381" t="s">
        <v>5</v>
      </c>
      <c r="W9" s="1382">
        <f t="shared" ref="W9:W17" si="2">J9</f>
        <v>0</v>
      </c>
      <c r="X9" s="1383"/>
      <c r="Y9" s="3868" t="s">
        <v>479</v>
      </c>
      <c r="Z9" s="3869"/>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868" t="s">
        <v>482</v>
      </c>
      <c r="Q10" s="3869"/>
      <c r="R10" s="1381" t="s">
        <v>5</v>
      </c>
      <c r="S10" s="1382">
        <f t="shared" si="0"/>
        <v>0</v>
      </c>
      <c r="T10" s="1381" t="s">
        <v>5</v>
      </c>
      <c r="U10" s="1382">
        <f t="shared" si="1"/>
        <v>0</v>
      </c>
      <c r="V10" s="1381" t="s">
        <v>5</v>
      </c>
      <c r="W10" s="1382">
        <f t="shared" si="2"/>
        <v>0</v>
      </c>
      <c r="X10" s="1383"/>
      <c r="Y10" s="3868" t="s">
        <v>482</v>
      </c>
      <c r="Z10" s="3869"/>
      <c r="AA10" s="1384" t="e">
        <f t="shared" ref="AA10:AA47" si="3">D10/F10</f>
        <v>#DIV/0!</v>
      </c>
      <c r="AB10" s="1384" t="e">
        <f t="shared" ref="AB10:AB47" si="4">D10/H10</f>
        <v>#DIV/0!</v>
      </c>
      <c r="AC10" s="1384" t="e">
        <f t="shared" ref="AC10:AC47" si="5">D10/J10</f>
        <v>#DIV/0!</v>
      </c>
    </row>
    <row r="11" spans="1:30" s="1118" customFormat="1" ht="20.25">
      <c r="A11" s="2393"/>
      <c r="B11" s="2400" t="s">
        <v>2036</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3"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30" s="1199" customFormat="1" ht="27">
      <c r="A12" s="2394"/>
      <c r="B12" s="2399" t="s">
        <v>2037</v>
      </c>
      <c r="C12" s="873"/>
      <c r="D12" s="246">
        <v>100</v>
      </c>
      <c r="E12" s="499"/>
      <c r="F12" s="246">
        <f>ROUND(100/'数据-取费表'!G16,0)</f>
        <v>106</v>
      </c>
      <c r="G12" s="500"/>
      <c r="H12" s="246">
        <f>ROUND(100/'数据-取费表'!G16,0)</f>
        <v>106</v>
      </c>
      <c r="I12" s="500"/>
      <c r="J12" s="246">
        <f>ROUND(100/'数据-取费表'!G16,0)</f>
        <v>106</v>
      </c>
      <c r="K12" s="501"/>
      <c r="L12" s="1860"/>
      <c r="M12" s="1854"/>
      <c r="N12" s="1854"/>
      <c r="O12" s="1861"/>
      <c r="P12" s="3903"/>
      <c r="Q12" s="1050" t="str">
        <f t="shared" si="6"/>
        <v>土地使用年限（年）</v>
      </c>
      <c r="R12" s="1381" t="s">
        <v>5</v>
      </c>
      <c r="S12" s="1382">
        <f t="shared" si="0"/>
        <v>106</v>
      </c>
      <c r="T12" s="1381" t="s">
        <v>5</v>
      </c>
      <c r="U12" s="1382">
        <f t="shared" si="1"/>
        <v>106</v>
      </c>
      <c r="V12" s="1381" t="s">
        <v>5</v>
      </c>
      <c r="W12" s="1382">
        <f t="shared" si="2"/>
        <v>106</v>
      </c>
      <c r="X12" s="1383"/>
      <c r="Y12" s="3802"/>
      <c r="Z12" s="1049" t="str">
        <f t="shared" si="7"/>
        <v>土地使用年限（年）</v>
      </c>
      <c r="AA12" s="1384">
        <f t="shared" si="3"/>
        <v>0.94339622641509435</v>
      </c>
      <c r="AB12" s="1384">
        <f t="shared" si="4"/>
        <v>0.94339622641509435</v>
      </c>
      <c r="AC12" s="1384">
        <f t="shared" si="5"/>
        <v>0.94339622641509435</v>
      </c>
    </row>
    <row r="13" spans="1:30" ht="20.25">
      <c r="A13" s="2395"/>
      <c r="B13" s="2399" t="s">
        <v>2038</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03"/>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30" s="1118" customFormat="1" ht="20.25">
      <c r="A14" s="2392"/>
      <c r="B14" s="2401" t="s">
        <v>2039</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903"/>
      <c r="Q14" s="1050" t="str">
        <f t="shared" si="6"/>
        <v>配建</v>
      </c>
      <c r="R14" s="1381" t="s">
        <v>5</v>
      </c>
      <c r="S14" s="1382">
        <f t="shared" si="0"/>
        <v>100</v>
      </c>
      <c r="T14" s="1381" t="s">
        <v>5</v>
      </c>
      <c r="U14" s="1382">
        <f t="shared" si="1"/>
        <v>100</v>
      </c>
      <c r="V14" s="1381" t="s">
        <v>5</v>
      </c>
      <c r="W14" s="1382">
        <f t="shared" si="2"/>
        <v>100</v>
      </c>
      <c r="X14" s="1383"/>
      <c r="Y14" s="3802"/>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3"/>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3"/>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D16/F16</f>
        <v>1</v>
      </c>
      <c r="AB16" s="1384">
        <f>D16/H16</f>
        <v>1</v>
      </c>
      <c r="AC16" s="1384">
        <f>D16/J16</f>
        <v>1</v>
      </c>
    </row>
    <row r="17" spans="1:29" ht="99.75">
      <c r="A17" s="2389" t="s">
        <v>2034</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99" t="s">
        <v>489</v>
      </c>
      <c r="Q17" s="1385" t="str">
        <f t="shared" si="6"/>
        <v>居住社区成熟度</v>
      </c>
      <c r="R17" s="1386" t="s">
        <v>5</v>
      </c>
      <c r="S17" s="1387">
        <f t="shared" si="0"/>
        <v>100</v>
      </c>
      <c r="T17" s="1386" t="s">
        <v>5</v>
      </c>
      <c r="U17" s="1387">
        <f t="shared" si="1"/>
        <v>100</v>
      </c>
      <c r="V17" s="1386" t="s">
        <v>5</v>
      </c>
      <c r="W17" s="1387">
        <f t="shared" si="2"/>
        <v>100</v>
      </c>
      <c r="X17" s="1380"/>
      <c r="Y17" s="389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00"/>
      <c r="Q18" s="1385"/>
      <c r="R18" s="1386"/>
      <c r="S18" s="1387"/>
      <c r="T18" s="1386"/>
      <c r="U18" s="1387"/>
      <c r="V18" s="1386"/>
      <c r="W18" s="1387"/>
      <c r="X18" s="1380"/>
      <c r="Y18" s="390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00"/>
      <c r="Q19" s="1385" t="str">
        <f>B19</f>
        <v>商业繁华度</v>
      </c>
      <c r="R19" s="1386" t="s">
        <v>5</v>
      </c>
      <c r="S19" s="1387">
        <f>F19</f>
        <v>100</v>
      </c>
      <c r="T19" s="1386" t="s">
        <v>5</v>
      </c>
      <c r="U19" s="1387">
        <f>H19</f>
        <v>100</v>
      </c>
      <c r="V19" s="1386" t="s">
        <v>5</v>
      </c>
      <c r="W19" s="1387">
        <f>J19</f>
        <v>100</v>
      </c>
      <c r="X19" s="1380"/>
      <c r="Y19" s="390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00"/>
      <c r="Q20" s="1385"/>
      <c r="R20" s="1386"/>
      <c r="S20" s="1387"/>
      <c r="T20" s="1386"/>
      <c r="U20" s="1387"/>
      <c r="V20" s="1386"/>
      <c r="W20" s="1387"/>
      <c r="X20" s="1380"/>
      <c r="Y20" s="390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00"/>
      <c r="Q21" s="1385" t="str">
        <f>B21</f>
        <v>办公集聚程度</v>
      </c>
      <c r="R21" s="1386" t="s">
        <v>5</v>
      </c>
      <c r="S21" s="1387">
        <f>F21</f>
        <v>100</v>
      </c>
      <c r="T21" s="1386" t="s">
        <v>5</v>
      </c>
      <c r="U21" s="1387">
        <f>H21</f>
        <v>100</v>
      </c>
      <c r="V21" s="1386" t="s">
        <v>5</v>
      </c>
      <c r="W21" s="1387">
        <f>J21</f>
        <v>100</v>
      </c>
      <c r="X21" s="1380"/>
      <c r="Y21" s="390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00"/>
      <c r="Q22" s="1385"/>
      <c r="R22" s="1386"/>
      <c r="S22" s="1387"/>
      <c r="T22" s="1386"/>
      <c r="U22" s="1387"/>
      <c r="V22" s="1386"/>
      <c r="W22" s="1387"/>
      <c r="X22" s="1380"/>
      <c r="Y22" s="390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00"/>
      <c r="Q23" s="1385" t="str">
        <f>B23</f>
        <v>交通便捷度</v>
      </c>
      <c r="R23" s="1386" t="s">
        <v>5</v>
      </c>
      <c r="S23" s="1387">
        <f>F23</f>
        <v>100</v>
      </c>
      <c r="T23" s="1386" t="s">
        <v>5</v>
      </c>
      <c r="U23" s="1387">
        <f>H23</f>
        <v>100</v>
      </c>
      <c r="V23" s="1386" t="s">
        <v>5</v>
      </c>
      <c r="W23" s="1387">
        <f>J23</f>
        <v>100</v>
      </c>
      <c r="X23" s="1380"/>
      <c r="Y23" s="390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00"/>
      <c r="Q24" s="1385"/>
      <c r="R24" s="1386"/>
      <c r="S24" s="1387"/>
      <c r="T24" s="1386"/>
      <c r="U24" s="1387"/>
      <c r="V24" s="1386"/>
      <c r="W24" s="1387"/>
      <c r="X24" s="1380"/>
      <c r="Y24" s="390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00"/>
      <c r="Q25" s="1385" t="str">
        <f t="shared" ref="Q25:Q39" si="8">B25</f>
        <v>区域土地利用方向</v>
      </c>
      <c r="R25" s="1386" t="s">
        <v>5</v>
      </c>
      <c r="S25" s="1387">
        <f>F25</f>
        <v>100</v>
      </c>
      <c r="T25" s="1386" t="s">
        <v>5</v>
      </c>
      <c r="U25" s="1387">
        <f>H25</f>
        <v>100</v>
      </c>
      <c r="V25" s="1386" t="s">
        <v>5</v>
      </c>
      <c r="W25" s="1387">
        <f>J25</f>
        <v>100</v>
      </c>
      <c r="X25" s="1380"/>
      <c r="Y25" s="390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00"/>
      <c r="Q26" s="1385"/>
      <c r="R26" s="1386"/>
      <c r="S26" s="1387"/>
      <c r="T26" s="1386"/>
      <c r="U26" s="1387"/>
      <c r="V26" s="1386"/>
      <c r="W26" s="1387"/>
      <c r="X26" s="1380"/>
      <c r="Y26" s="390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00"/>
      <c r="Q27" s="1385" t="str">
        <f t="shared" si="8"/>
        <v>自然及人文环境状况</v>
      </c>
      <c r="R27" s="1386" t="s">
        <v>5</v>
      </c>
      <c r="S27" s="1387">
        <f>F27</f>
        <v>100</v>
      </c>
      <c r="T27" s="1386" t="s">
        <v>5</v>
      </c>
      <c r="U27" s="1387">
        <f>H27</f>
        <v>100</v>
      </c>
      <c r="V27" s="1386" t="s">
        <v>5</v>
      </c>
      <c r="W27" s="1387">
        <f>J27</f>
        <v>100</v>
      </c>
      <c r="X27" s="1380"/>
      <c r="Y27" s="390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00"/>
      <c r="Q28" s="1385"/>
      <c r="R28" s="1386"/>
      <c r="S28" s="1387"/>
      <c r="T28" s="1386"/>
      <c r="U28" s="1387"/>
      <c r="V28" s="1386"/>
      <c r="W28" s="1387"/>
      <c r="X28" s="1380"/>
      <c r="Y28" s="3900"/>
      <c r="Z28" s="1388"/>
      <c r="AA28" s="1389">
        <v>1</v>
      </c>
      <c r="AB28" s="1389">
        <v>1</v>
      </c>
      <c r="AC28" s="1389">
        <v>1</v>
      </c>
    </row>
    <row r="29" spans="1:29" s="1118" customFormat="1" ht="42.75">
      <c r="A29" s="547"/>
      <c r="B29" s="2198" t="s">
        <v>1829</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00"/>
      <c r="Q29" s="1050" t="str">
        <f t="shared" si="8"/>
        <v>公共配套设施</v>
      </c>
      <c r="R29" s="1381" t="s">
        <v>5</v>
      </c>
      <c r="S29" s="1382">
        <f>F29</f>
        <v>100</v>
      </c>
      <c r="T29" s="1381" t="s">
        <v>5</v>
      </c>
      <c r="U29" s="1382">
        <f>H29</f>
        <v>100</v>
      </c>
      <c r="V29" s="1381" t="s">
        <v>5</v>
      </c>
      <c r="W29" s="1382">
        <f>J29</f>
        <v>100</v>
      </c>
      <c r="X29" s="1383"/>
      <c r="Y29" s="390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00"/>
      <c r="Q30" s="1050"/>
      <c r="R30" s="1381"/>
      <c r="S30" s="1382"/>
      <c r="T30" s="1381"/>
      <c r="U30" s="1382"/>
      <c r="V30" s="1381"/>
      <c r="W30" s="1382"/>
      <c r="X30" s="1383"/>
      <c r="Y30" s="3900"/>
      <c r="Z30" s="1049"/>
      <c r="AA30" s="1389">
        <v>1</v>
      </c>
      <c r="AB30" s="1389">
        <v>1</v>
      </c>
      <c r="AC30" s="1389">
        <v>1</v>
      </c>
    </row>
    <row r="31" spans="1:29" s="1118" customFormat="1" ht="28.5">
      <c r="A31" s="547"/>
      <c r="B31" s="2198" t="s">
        <v>1830</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00"/>
      <c r="Q31" s="2191" t="str">
        <f>B31</f>
        <v>基础设施水平</v>
      </c>
      <c r="R31" s="1381" t="s">
        <v>5</v>
      </c>
      <c r="S31" s="1382">
        <f>F31</f>
        <v>100</v>
      </c>
      <c r="T31" s="1381" t="s">
        <v>5</v>
      </c>
      <c r="U31" s="1382">
        <f>H31</f>
        <v>100</v>
      </c>
      <c r="V31" s="1381" t="s">
        <v>5</v>
      </c>
      <c r="W31" s="1382">
        <f>J31</f>
        <v>100</v>
      </c>
      <c r="X31" s="1383"/>
      <c r="Y31" s="3900"/>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00"/>
      <c r="Q32" s="2191"/>
      <c r="R32" s="1381"/>
      <c r="S32" s="1382"/>
      <c r="T32" s="1381"/>
      <c r="U32" s="1382"/>
      <c r="V32" s="1381"/>
      <c r="W32" s="1382"/>
      <c r="X32" s="1383"/>
      <c r="Y32" s="3900"/>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0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00"/>
      <c r="Q34" s="1385" t="str">
        <f t="shared" si="8"/>
        <v>毗邻道路的类型与等级</v>
      </c>
      <c r="R34" s="1386" t="s">
        <v>5</v>
      </c>
      <c r="S34" s="1387">
        <f t="shared" si="9"/>
        <v>100</v>
      </c>
      <c r="T34" s="1386" t="s">
        <v>5</v>
      </c>
      <c r="U34" s="1387">
        <f t="shared" si="10"/>
        <v>100</v>
      </c>
      <c r="V34" s="1386" t="s">
        <v>5</v>
      </c>
      <c r="W34" s="1387">
        <f t="shared" si="11"/>
        <v>100</v>
      </c>
      <c r="X34" s="1380"/>
      <c r="Y34" s="390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00"/>
      <c r="Q35" s="1385"/>
      <c r="R35" s="1386"/>
      <c r="S35" s="1387"/>
      <c r="T35" s="1386"/>
      <c r="U35" s="1387"/>
      <c r="V35" s="1386"/>
      <c r="W35" s="1387"/>
      <c r="X35" s="1380"/>
      <c r="Y35" s="390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00"/>
      <c r="Q36" s="1385" t="str">
        <f t="shared" si="8"/>
        <v>土地级别</v>
      </c>
      <c r="R36" s="1386" t="s">
        <v>5</v>
      </c>
      <c r="S36" s="1387">
        <f t="shared" si="9"/>
        <v>100</v>
      </c>
      <c r="T36" s="1386" t="s">
        <v>5</v>
      </c>
      <c r="U36" s="1387">
        <f t="shared" si="10"/>
        <v>100</v>
      </c>
      <c r="V36" s="1386" t="s">
        <v>5</v>
      </c>
      <c r="W36" s="1387">
        <f t="shared" si="11"/>
        <v>100</v>
      </c>
      <c r="X36" s="1380"/>
      <c r="Y36" s="390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00"/>
      <c r="Q37" s="1385">
        <f t="shared" si="8"/>
        <v>111</v>
      </c>
      <c r="R37" s="1386" t="s">
        <v>5</v>
      </c>
      <c r="S37" s="1387">
        <f t="shared" si="9"/>
        <v>100</v>
      </c>
      <c r="T37" s="1386" t="s">
        <v>5</v>
      </c>
      <c r="U37" s="1387">
        <f t="shared" si="10"/>
        <v>100</v>
      </c>
      <c r="V37" s="1386" t="s">
        <v>5</v>
      </c>
      <c r="W37" s="1387">
        <f t="shared" si="11"/>
        <v>100</v>
      </c>
      <c r="X37" s="1380"/>
      <c r="Y37" s="390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01" t="s">
        <v>499</v>
      </c>
      <c r="Q38" s="1385">
        <f t="shared" si="8"/>
        <v>111</v>
      </c>
      <c r="R38" s="1386" t="s">
        <v>5</v>
      </c>
      <c r="S38" s="1387">
        <f t="shared" si="9"/>
        <v>100</v>
      </c>
      <c r="T38" s="1386" t="s">
        <v>5</v>
      </c>
      <c r="U38" s="1387">
        <f t="shared" si="10"/>
        <v>100</v>
      </c>
      <c r="V38" s="1386" t="s">
        <v>5</v>
      </c>
      <c r="W38" s="1387">
        <f t="shared" si="11"/>
        <v>100</v>
      </c>
      <c r="X38" s="1380"/>
      <c r="Y38" s="390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02"/>
      <c r="Q39" s="1385">
        <f t="shared" si="8"/>
        <v>111</v>
      </c>
      <c r="R39" s="1390" t="s">
        <v>5</v>
      </c>
      <c r="S39" s="1391">
        <f t="shared" si="9"/>
        <v>100</v>
      </c>
      <c r="T39" s="1390" t="s">
        <v>5</v>
      </c>
      <c r="U39" s="1391">
        <f t="shared" si="10"/>
        <v>100</v>
      </c>
      <c r="V39" s="1390" t="s">
        <v>5</v>
      </c>
      <c r="W39" s="1391">
        <f t="shared" si="11"/>
        <v>100</v>
      </c>
      <c r="X39" s="1392"/>
      <c r="Y39" s="3902"/>
      <c r="Z39" s="1393">
        <f t="shared" si="12"/>
        <v>111</v>
      </c>
      <c r="AA39" s="1389">
        <f t="shared" si="3"/>
        <v>1</v>
      </c>
      <c r="AB39" s="1389">
        <f t="shared" si="4"/>
        <v>1</v>
      </c>
      <c r="AC39" s="1389">
        <f t="shared" si="5"/>
        <v>1</v>
      </c>
    </row>
    <row r="40" spans="1:29" ht="20.25">
      <c r="A40" s="2386" t="s">
        <v>2035</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02"/>
      <c r="Q40" s="1385" t="str">
        <f>B40</f>
        <v>宗地面积</v>
      </c>
      <c r="R40" s="1386" t="s">
        <v>5</v>
      </c>
      <c r="S40" s="1387" t="e">
        <f t="shared" si="9"/>
        <v>#N/A</v>
      </c>
      <c r="T40" s="1386" t="s">
        <v>5</v>
      </c>
      <c r="U40" s="1387" t="e">
        <f t="shared" si="10"/>
        <v>#N/A</v>
      </c>
      <c r="V40" s="1386" t="s">
        <v>5</v>
      </c>
      <c r="W40" s="1387" t="e">
        <f t="shared" si="11"/>
        <v>#N/A</v>
      </c>
      <c r="X40" s="1380"/>
      <c r="Y40" s="390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02"/>
      <c r="Q41" s="1385" t="str">
        <f t="shared" ref="Q41:Q47" si="13">B41</f>
        <v>宗地形状</v>
      </c>
      <c r="R41" s="1386" t="s">
        <v>5</v>
      </c>
      <c r="S41" s="1387">
        <f t="shared" si="9"/>
        <v>100</v>
      </c>
      <c r="T41" s="1386" t="s">
        <v>5</v>
      </c>
      <c r="U41" s="1387">
        <f t="shared" si="10"/>
        <v>100</v>
      </c>
      <c r="V41" s="1386" t="s">
        <v>5</v>
      </c>
      <c r="W41" s="1387">
        <f t="shared" si="11"/>
        <v>100</v>
      </c>
      <c r="X41" s="1380"/>
      <c r="Y41" s="390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02"/>
      <c r="Q42" s="1385" t="str">
        <f t="shared" si="13"/>
        <v>临街宽度及深度</v>
      </c>
      <c r="R42" s="1386" t="s">
        <v>5</v>
      </c>
      <c r="S42" s="1387">
        <f t="shared" si="9"/>
        <v>100</v>
      </c>
      <c r="T42" s="1386" t="s">
        <v>5</v>
      </c>
      <c r="U42" s="1387">
        <f t="shared" si="10"/>
        <v>100</v>
      </c>
      <c r="V42" s="1386" t="s">
        <v>5</v>
      </c>
      <c r="W42" s="1387">
        <f t="shared" si="11"/>
        <v>100</v>
      </c>
      <c r="X42" s="1380"/>
      <c r="Y42" s="3902"/>
      <c r="Z42" s="1388" t="str">
        <f t="shared" si="12"/>
        <v>临街宽度及深度</v>
      </c>
      <c r="AA42" s="1389">
        <f t="shared" si="3"/>
        <v>1</v>
      </c>
      <c r="AB42" s="1389">
        <f t="shared" si="4"/>
        <v>1</v>
      </c>
      <c r="AC42" s="1389">
        <f t="shared" si="5"/>
        <v>1</v>
      </c>
    </row>
    <row r="43" spans="1:29" s="1118" customFormat="1" ht="20.25">
      <c r="A43" s="570"/>
      <c r="B43" s="1650" t="s">
        <v>1774</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02"/>
      <c r="Q43" s="1385" t="str">
        <f t="shared" si="13"/>
        <v>宗地开发程度</v>
      </c>
      <c r="R43" s="1381" t="s">
        <v>5</v>
      </c>
      <c r="S43" s="1382">
        <f t="shared" si="9"/>
        <v>100</v>
      </c>
      <c r="T43" s="1381" t="s">
        <v>5</v>
      </c>
      <c r="U43" s="1382">
        <f t="shared" si="10"/>
        <v>100</v>
      </c>
      <c r="V43" s="1381" t="s">
        <v>5</v>
      </c>
      <c r="W43" s="1382">
        <f t="shared" si="11"/>
        <v>100</v>
      </c>
      <c r="X43" s="1383"/>
      <c r="Y43" s="390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02" t="s">
        <v>499</v>
      </c>
      <c r="Q44" s="1385" t="str">
        <f t="shared" si="13"/>
        <v>工程地质条件</v>
      </c>
      <c r="R44" s="1386" t="s">
        <v>5</v>
      </c>
      <c r="S44" s="1387">
        <f t="shared" si="9"/>
        <v>100</v>
      </c>
      <c r="T44" s="1386" t="s">
        <v>5</v>
      </c>
      <c r="U44" s="1387">
        <f t="shared" si="10"/>
        <v>100</v>
      </c>
      <c r="V44" s="1386" t="s">
        <v>5</v>
      </c>
      <c r="W44" s="1387">
        <f t="shared" si="11"/>
        <v>100</v>
      </c>
      <c r="X44" s="1380"/>
      <c r="Y44" s="390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02"/>
      <c r="Q45" s="1385">
        <f t="shared" si="13"/>
        <v>111</v>
      </c>
      <c r="R45" s="1386" t="s">
        <v>5</v>
      </c>
      <c r="S45" s="1387">
        <f t="shared" si="9"/>
        <v>100</v>
      </c>
      <c r="T45" s="1386" t="s">
        <v>5</v>
      </c>
      <c r="U45" s="1387">
        <f t="shared" si="10"/>
        <v>100</v>
      </c>
      <c r="V45" s="1386" t="s">
        <v>5</v>
      </c>
      <c r="W45" s="1387">
        <f t="shared" si="11"/>
        <v>100</v>
      </c>
      <c r="X45" s="1380"/>
      <c r="Y45" s="390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02"/>
      <c r="Q46" s="1385">
        <f t="shared" si="13"/>
        <v>111</v>
      </c>
      <c r="R46" s="1386" t="s">
        <v>5</v>
      </c>
      <c r="S46" s="1387">
        <f t="shared" si="9"/>
        <v>100</v>
      </c>
      <c r="T46" s="1386" t="s">
        <v>5</v>
      </c>
      <c r="U46" s="1387">
        <f t="shared" si="10"/>
        <v>100</v>
      </c>
      <c r="V46" s="1386" t="s">
        <v>5</v>
      </c>
      <c r="W46" s="1387">
        <f t="shared" si="11"/>
        <v>100</v>
      </c>
      <c r="X46" s="1380"/>
      <c r="Y46" s="390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02"/>
      <c r="Q47" s="1385">
        <f t="shared" si="13"/>
        <v>111</v>
      </c>
      <c r="R47" s="1390" t="s">
        <v>5</v>
      </c>
      <c r="S47" s="1391">
        <f t="shared" si="9"/>
        <v>100</v>
      </c>
      <c r="T47" s="1390" t="s">
        <v>5</v>
      </c>
      <c r="U47" s="1391">
        <f t="shared" si="10"/>
        <v>100</v>
      </c>
      <c r="V47" s="1390" t="s">
        <v>5</v>
      </c>
      <c r="W47" s="1391">
        <f t="shared" si="11"/>
        <v>100</v>
      </c>
      <c r="X47" s="1392"/>
      <c r="Y47" s="3902"/>
      <c r="Z47" s="1393">
        <f t="shared" si="12"/>
        <v>111</v>
      </c>
      <c r="AA47" s="1389">
        <f t="shared" si="3"/>
        <v>1</v>
      </c>
      <c r="AB47" s="1389">
        <f t="shared" si="4"/>
        <v>1</v>
      </c>
      <c r="AC47" s="1389">
        <f t="shared" si="5"/>
        <v>1</v>
      </c>
    </row>
    <row r="48" spans="1:29" ht="20.25">
      <c r="A48" s="577" t="s">
        <v>505</v>
      </c>
      <c r="B48" s="578" t="s">
        <v>2192</v>
      </c>
      <c r="C48" s="579" t="s">
        <v>0</v>
      </c>
      <c r="D48" s="580"/>
      <c r="E48" s="581"/>
      <c r="F48" s="582"/>
      <c r="G48" s="583"/>
      <c r="H48" s="584"/>
      <c r="I48" s="581"/>
      <c r="J48" s="584"/>
      <c r="K48" s="1201"/>
      <c r="L48" s="1866"/>
      <c r="M48" s="1854"/>
      <c r="N48" s="1854"/>
      <c r="O48" s="1867"/>
      <c r="P48" s="3903" t="str">
        <f>A48</f>
        <v>成交单价</v>
      </c>
      <c r="Q48" s="3903"/>
      <c r="R48" s="3896">
        <f>E48</f>
        <v>0</v>
      </c>
      <c r="S48" s="3896"/>
      <c r="T48" s="3896">
        <f>G48</f>
        <v>0</v>
      </c>
      <c r="U48" s="3896"/>
      <c r="V48" s="3896">
        <f>I48</f>
        <v>0</v>
      </c>
      <c r="W48" s="3896"/>
      <c r="X48" s="1375"/>
      <c r="Y48" s="1394"/>
      <c r="Z48" s="1375"/>
      <c r="AA48" s="1375"/>
      <c r="AB48" s="1375"/>
      <c r="AC48" s="1375"/>
    </row>
    <row r="49" spans="1:29" ht="21" thickBot="1">
      <c r="A49" s="585" t="s">
        <v>1973</v>
      </c>
      <c r="B49" s="586"/>
      <c r="C49" s="587" t="e">
        <f>R50</f>
        <v>#DIV/0!</v>
      </c>
      <c r="D49" s="2756" t="s">
        <v>2256</v>
      </c>
      <c r="E49" s="587" t="e">
        <f>R49</f>
        <v>#DIV/0!</v>
      </c>
      <c r="F49" s="2757"/>
      <c r="G49" s="588" t="e">
        <f>T49</f>
        <v>#DIV/0!</v>
      </c>
      <c r="H49" s="2757"/>
      <c r="I49" s="587" t="e">
        <f>V49</f>
        <v>#DIV/0!</v>
      </c>
      <c r="J49" s="2757"/>
      <c r="K49" s="2758">
        <f>F49+H49+J49</f>
        <v>0</v>
      </c>
      <c r="L49" s="1866"/>
      <c r="M49" s="1854"/>
      <c r="N49" s="1854"/>
      <c r="O49" s="1867"/>
      <c r="P49" s="3903" t="str">
        <f>A49</f>
        <v>比较价格（元/平方米）</v>
      </c>
      <c r="Q49" s="3903"/>
      <c r="R49" s="3911" t="e">
        <f>ROUND(PRODUCT(R48,AA9:AA47),0)</f>
        <v>#DIV/0!</v>
      </c>
      <c r="S49" s="3911"/>
      <c r="T49" s="3911" t="e">
        <f>ROUND(PRODUCT(T48,AB9:AB47),0)</f>
        <v>#DIV/0!</v>
      </c>
      <c r="U49" s="3911"/>
      <c r="V49" s="3911" t="e">
        <f>ROUND(PRODUCT(V48,AC9:AC47),0)</f>
        <v>#DIV/0!</v>
      </c>
      <c r="W49" s="3911"/>
      <c r="X49" s="1375"/>
      <c r="Y49" s="1375"/>
      <c r="Z49" s="1375"/>
      <c r="AA49" s="1375"/>
      <c r="AB49" s="1375"/>
      <c r="AC49" s="1375"/>
    </row>
    <row r="50" spans="1:29" ht="21" thickBot="1">
      <c r="A50" s="589" t="s">
        <v>2193</v>
      </c>
      <c r="B50" s="590"/>
      <c r="C50" s="591" t="e">
        <f>R50</f>
        <v>#DIV/0!</v>
      </c>
      <c r="D50" s="591"/>
      <c r="E50" s="591"/>
      <c r="F50" s="591"/>
      <c r="G50" s="591"/>
      <c r="H50" s="591"/>
      <c r="I50" s="591"/>
      <c r="J50" s="591"/>
      <c r="K50" s="1202"/>
      <c r="L50" s="1866"/>
      <c r="M50" s="1854"/>
      <c r="N50" s="1854"/>
      <c r="O50" s="1867"/>
      <c r="P50" s="3908" t="str">
        <f>A50</f>
        <v>估价对象XX用房的比较价格（楼面单价，元/平方米）</v>
      </c>
      <c r="Q50" s="3909"/>
      <c r="R50" s="3916" t="e">
        <f>ROUND(IF(D49="简单平均",AVERAGE(R49:W49),R49*F49+T49*H49+V49*J49),0)</f>
        <v>#DIV/0!</v>
      </c>
      <c r="S50" s="3916"/>
      <c r="T50" s="3916"/>
      <c r="U50" s="3916"/>
      <c r="V50" s="3916"/>
      <c r="W50" s="3916"/>
      <c r="X50" s="1375"/>
      <c r="Y50" s="1375"/>
      <c r="Z50" s="1375"/>
      <c r="AA50" s="1375"/>
      <c r="AB50" s="1375"/>
      <c r="AC50" s="1375"/>
    </row>
    <row r="51" spans="1:29" ht="20.25">
      <c r="A51" s="2954"/>
      <c r="B51" s="2954"/>
      <c r="C51" s="2954"/>
      <c r="D51" s="2954"/>
      <c r="E51" s="2954"/>
      <c r="F51" s="2954"/>
      <c r="G51" s="2956"/>
      <c r="H51" s="2954"/>
      <c r="I51" s="2954"/>
      <c r="J51" s="2954"/>
      <c r="K51" s="2957"/>
      <c r="L51" s="1871"/>
      <c r="M51" s="1854"/>
      <c r="N51" s="1854"/>
      <c r="O51" s="1867"/>
      <c r="P51" s="1867"/>
      <c r="Q51" s="1867"/>
      <c r="R51" s="1867"/>
      <c r="S51" s="1867"/>
      <c r="T51" s="1867"/>
      <c r="U51" s="1867"/>
      <c r="V51" s="1867"/>
      <c r="W51" s="1867"/>
      <c r="X51" s="1867"/>
      <c r="Y51" s="1867"/>
      <c r="Z51" s="1867"/>
      <c r="AA51" s="1867"/>
      <c r="AB51" s="1867"/>
      <c r="AC51" s="1867"/>
    </row>
    <row r="52" spans="1:29" ht="20.25">
      <c r="A52" s="2954"/>
      <c r="B52" s="2954"/>
      <c r="C52" s="2954"/>
      <c r="D52" s="2954"/>
      <c r="E52" s="2954"/>
      <c r="F52" s="2954"/>
      <c r="G52" s="2954"/>
      <c r="H52" s="2954"/>
      <c r="I52" s="2954"/>
      <c r="J52" s="2954"/>
      <c r="K52" s="2957"/>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8"/>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1648</v>
      </c>
      <c r="E57" s="599" t="s">
        <v>511</v>
      </c>
      <c r="F57" s="600" t="s">
        <v>512</v>
      </c>
      <c r="G57" s="3919" t="s">
        <v>1637</v>
      </c>
      <c r="H57" s="3920"/>
      <c r="I57" s="1372" t="s">
        <v>1251</v>
      </c>
      <c r="J57" s="1372" t="str">
        <f>项目基本情况!F41</f>
        <v>通州区</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20593.5</v>
      </c>
      <c r="F58" s="604" t="e">
        <f t="shared" ref="F58:F66" si="14">ROUND(B58*E58/10000,0)</f>
        <v>#DIV/0!</v>
      </c>
      <c r="G58" s="3921"/>
      <c r="H58" s="3922"/>
      <c r="I58" s="1373">
        <v>1</v>
      </c>
      <c r="J58" s="1373">
        <v>1</v>
      </c>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4" t="s">
        <v>1638</v>
      </c>
      <c r="H59" s="1703">
        <f>项目基本情况!B43</f>
        <v>0</v>
      </c>
      <c r="I59" s="1373">
        <f>SUMIF(修正!$A$57:$A$68,H59,修正!B57:B68)</f>
        <v>0</v>
      </c>
      <c r="J59" s="1374"/>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5"/>
      <c r="H60" s="1703">
        <f>项目基本情况!B43</f>
        <v>0</v>
      </c>
      <c r="I60" s="1373">
        <f>SUMIF(修正!$A$57:$A$68,H60,修正!C57:C68)</f>
        <v>0</v>
      </c>
      <c r="J60" s="1374"/>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5"/>
      <c r="H61" s="1703">
        <f>项目基本情况!B43</f>
        <v>0</v>
      </c>
      <c r="I61" s="1373">
        <f>SUMIF(修正!$A$57:$A$68,H61,修正!D57:D68)</f>
        <v>0</v>
      </c>
      <c r="J61" s="1374"/>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1683</v>
      </c>
      <c r="B62" s="606" t="e">
        <f t="shared" si="16"/>
        <v>#DIV/0!</v>
      </c>
      <c r="C62" s="365">
        <f t="shared" si="15"/>
        <v>0</v>
      </c>
      <c r="D62" s="1947">
        <v>0.25</v>
      </c>
      <c r="E62" s="609">
        <f>'数据-汇总表'!E11</f>
        <v>0</v>
      </c>
      <c r="F62" s="604" t="e">
        <f t="shared" si="14"/>
        <v>#DIV/0!</v>
      </c>
      <c r="G62" s="1700" t="s">
        <v>1639</v>
      </c>
      <c r="H62" s="1703">
        <f>项目基本情况!C43</f>
        <v>0</v>
      </c>
      <c r="I62" s="1373">
        <f>SUMIF(修正!$A$57:$A$68,H62,修正!E57:E68)</f>
        <v>0</v>
      </c>
      <c r="J62" s="1374"/>
      <c r="K62" s="2959"/>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59"/>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4676.82</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59"/>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1638</v>
      </c>
      <c r="H65" s="1703">
        <f>项目基本情况!B43</f>
        <v>0</v>
      </c>
      <c r="I65" s="1373">
        <f>SUMIF(修正!$A$57:$A$68,H65,修正!G57:G68)</f>
        <v>0</v>
      </c>
      <c r="J65" s="1374"/>
      <c r="K65" s="2959"/>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1639</v>
      </c>
      <c r="H66" s="1704">
        <f>项目基本情况!C43</f>
        <v>0</v>
      </c>
      <c r="I66" s="1373">
        <f>SUMIF(修正!$A$57:$A$68,H66,修正!G57:G68)</f>
        <v>0</v>
      </c>
      <c r="J66" s="1374"/>
      <c r="K66" s="2959"/>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1649</v>
      </c>
      <c r="E67" s="611">
        <f>IF(B48="楼面地价",SUM(E58:E66),'数据-汇总表'!D3)</f>
        <v>17315.580000000002</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2023-4-1</v>
      </c>
      <c r="D69" s="2278">
        <f>EDATE(C69,-3)</f>
        <v>44927</v>
      </c>
      <c r="E69" s="2278">
        <f t="shared" ref="E69:N69" si="17">EDATE(D69,-3)</f>
        <v>44835</v>
      </c>
      <c r="F69" s="2278">
        <f t="shared" si="17"/>
        <v>44743</v>
      </c>
      <c r="G69" s="2278">
        <f t="shared" si="17"/>
        <v>44652</v>
      </c>
      <c r="H69" s="2278">
        <f t="shared" si="17"/>
        <v>44562</v>
      </c>
      <c r="I69" s="2278">
        <f t="shared" si="17"/>
        <v>44470</v>
      </c>
      <c r="J69" s="2278">
        <f t="shared" si="17"/>
        <v>44378</v>
      </c>
      <c r="K69" s="2278">
        <f t="shared" si="17"/>
        <v>44287</v>
      </c>
      <c r="L69" s="2278">
        <f t="shared" si="17"/>
        <v>44197</v>
      </c>
      <c r="M69" s="2278">
        <f t="shared" si="17"/>
        <v>44105</v>
      </c>
      <c r="N69" s="2278">
        <f t="shared" si="17"/>
        <v>44013</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1813</v>
      </c>
      <c r="B71" s="2185"/>
      <c r="C71" s="2275" t="str">
        <f>YEAR(C69)&amp;"-"&amp;ROUNDUP(MONTH(C69)/3,0)</f>
        <v>2023-2</v>
      </c>
      <c r="D71" s="2280" t="str">
        <f>YEAR(D69)&amp;"-"&amp;ROUNDUP(MONTH(D69)/3,0)</f>
        <v>2023-1</v>
      </c>
      <c r="E71" s="2280" t="str">
        <f t="shared" ref="E71:N71" si="18">YEAR(E69)&amp;"-"&amp;ROUNDUP(MONTH(E69)/3,0)</f>
        <v>2022-4</v>
      </c>
      <c r="F71" s="2280" t="str">
        <f t="shared" si="18"/>
        <v>2022-3</v>
      </c>
      <c r="G71" s="2280" t="str">
        <f t="shared" si="18"/>
        <v>2022-2</v>
      </c>
      <c r="H71" s="2280" t="str">
        <f t="shared" si="18"/>
        <v>2022-1</v>
      </c>
      <c r="I71" s="2280" t="str">
        <f t="shared" si="18"/>
        <v>2021-4</v>
      </c>
      <c r="J71" s="2280" t="str">
        <f t="shared" si="18"/>
        <v>2021-3</v>
      </c>
      <c r="K71" s="2280" t="str">
        <f t="shared" si="18"/>
        <v>2021-2</v>
      </c>
      <c r="L71" s="2280" t="str">
        <f t="shared" si="18"/>
        <v>2021-1</v>
      </c>
      <c r="M71" s="2280" t="str">
        <f t="shared" si="18"/>
        <v>2020-4</v>
      </c>
      <c r="N71" s="2280" t="str">
        <f t="shared" si="18"/>
        <v>2020-3</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1927</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1926</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1829</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1831</v>
      </c>
      <c r="C103" s="2205" t="s">
        <v>1832</v>
      </c>
      <c r="D103" s="2205" t="s">
        <v>1833</v>
      </c>
      <c r="E103" s="2205" t="s">
        <v>1834</v>
      </c>
      <c r="F103" s="2205" t="s">
        <v>1835</v>
      </c>
      <c r="G103" s="2205" t="s">
        <v>1836</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1775</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8" stopIfTrue="1" operator="containsText" text="超过">
      <formula>NOT(ISERROR(SEARCH("超过",F53)))</formula>
    </cfRule>
  </conditionalFormatting>
  <conditionalFormatting sqref="J55">
    <cfRule type="containsText" dxfId="151" priority="17" stopIfTrue="1" operator="containsText" text="超过">
      <formula>NOT(ISERROR(SEARCH("超过",J55)))</formula>
    </cfRule>
  </conditionalFormatting>
  <conditionalFormatting sqref="H55">
    <cfRule type="containsText" dxfId="150" priority="16" stopIfTrue="1" operator="containsText" text="超过">
      <formula>NOT(ISERROR(SEARCH("超过",H55)))</formula>
    </cfRule>
  </conditionalFormatting>
  <conditionalFormatting sqref="F55">
    <cfRule type="containsText" dxfId="149" priority="15" stopIfTrue="1" operator="containsText" text="超过">
      <formula>NOT(ISERROR(SEARCH("超过",F55)))</formula>
    </cfRule>
  </conditionalFormatting>
  <conditionalFormatting sqref="F54 H54 J54">
    <cfRule type="containsText" dxfId="148" priority="14" stopIfTrue="1" operator="containsText" text="超过">
      <formula>NOT(ISERROR(SEARCH("超过",F54)))</formula>
    </cfRule>
  </conditionalFormatting>
  <conditionalFormatting sqref="E53">
    <cfRule type="expression" dxfId="147" priority="13" stopIfTrue="1">
      <formula>$F$53="超过30%"</formula>
    </cfRule>
  </conditionalFormatting>
  <conditionalFormatting sqref="G55">
    <cfRule type="expression" dxfId="146" priority="12" stopIfTrue="1">
      <formula>$H$55="超过30%"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3">
    <cfRule type="expression" dxfId="143" priority="9" stopIfTrue="1">
      <formula>$H$55+$H$53="超过30%"</formula>
    </cfRule>
  </conditionalFormatting>
  <conditionalFormatting sqref="G54">
    <cfRule type="expression" dxfId="142" priority="8" stopIfTrue="1">
      <formula>$H$54="超过20%"</formula>
    </cfRule>
  </conditionalFormatting>
  <conditionalFormatting sqref="I53">
    <cfRule type="expression" dxfId="141" priority="7" stopIfTrue="1">
      <formula>$J$53="超过30%"</formula>
    </cfRule>
  </conditionalFormatting>
  <conditionalFormatting sqref="I54">
    <cfRule type="expression" dxfId="140" priority="6" stopIfTrue="1">
      <formula>$J$54="超过20%"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9:F47 H9:H47 J9:J47">
    <cfRule type="cellIs" dxfId="13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31" t="s">
        <v>2736</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2762</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2734</v>
      </c>
      <c r="B7" s="3245">
        <v>2.5</v>
      </c>
      <c r="C7" s="3245">
        <v>2.5</v>
      </c>
      <c r="D7" s="3245">
        <v>2</v>
      </c>
      <c r="E7" s="3245">
        <v>2</v>
      </c>
      <c r="F7" s="3245">
        <v>2</v>
      </c>
      <c r="G7" s="3245">
        <v>2</v>
      </c>
      <c r="H7" s="3245">
        <v>2</v>
      </c>
      <c r="I7" s="3246">
        <v>1.5</v>
      </c>
      <c r="J7" s="3246">
        <v>1.5</v>
      </c>
      <c r="K7" s="3246">
        <v>1.5</v>
      </c>
      <c r="L7" s="3246">
        <v>1.5</v>
      </c>
      <c r="M7" s="3247">
        <v>1.5</v>
      </c>
    </row>
    <row r="8" spans="1:13">
      <c r="A8" s="1027" t="s">
        <v>2763</v>
      </c>
      <c r="B8" s="3248">
        <v>80</v>
      </c>
      <c r="C8" s="3248">
        <v>80</v>
      </c>
      <c r="D8" s="3248">
        <v>70</v>
      </c>
      <c r="E8" s="3248">
        <v>70</v>
      </c>
      <c r="F8" s="3248">
        <v>70</v>
      </c>
      <c r="G8" s="3248">
        <v>70</v>
      </c>
      <c r="H8" s="3248">
        <v>70</v>
      </c>
      <c r="I8" s="3248">
        <v>60</v>
      </c>
      <c r="J8" s="3248">
        <v>60</v>
      </c>
      <c r="K8" s="3248">
        <v>60</v>
      </c>
      <c r="L8" s="3248">
        <v>60</v>
      </c>
      <c r="M8" s="3249">
        <v>60</v>
      </c>
    </row>
    <row r="9" spans="1:13">
      <c r="A9" s="1009" t="s">
        <v>2764</v>
      </c>
      <c r="B9" s="3250">
        <v>70</v>
      </c>
      <c r="C9" s="3250">
        <v>70</v>
      </c>
      <c r="D9" s="3250">
        <v>60</v>
      </c>
      <c r="E9" s="3250">
        <v>60</v>
      </c>
      <c r="F9" s="3250">
        <v>60</v>
      </c>
      <c r="G9" s="3250">
        <v>60</v>
      </c>
      <c r="H9" s="3250">
        <v>60</v>
      </c>
      <c r="I9" s="3250">
        <v>50</v>
      </c>
      <c r="J9" s="3250">
        <v>50</v>
      </c>
      <c r="K9" s="3250">
        <v>50</v>
      </c>
      <c r="L9" s="3250">
        <v>50</v>
      </c>
      <c r="M9" s="3251">
        <v>50</v>
      </c>
    </row>
    <row r="10" spans="1:13">
      <c r="A10" s="1009" t="s">
        <v>2765</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2766</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2767</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2768</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2769</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2770</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2771</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2" t="s">
        <v>2453</v>
      </c>
      <c r="B19" s="3254" t="s">
        <v>2454</v>
      </c>
      <c r="C19" s="3255" t="s">
        <v>2455</v>
      </c>
      <c r="D19" s="3256"/>
      <c r="E19" s="3250" t="s">
        <v>2456</v>
      </c>
      <c r="F19" s="1033"/>
      <c r="G19" s="1033"/>
    </row>
    <row r="20" spans="1:13" s="1408" customFormat="1">
      <c r="A20" s="3923" t="s">
        <v>2447</v>
      </c>
      <c r="B20" s="3926" t="s">
        <v>2457</v>
      </c>
      <c r="C20" s="3257" t="s">
        <v>2458</v>
      </c>
      <c r="D20" s="3258"/>
      <c r="E20" s="3259">
        <v>1</v>
      </c>
      <c r="F20" s="3260" t="s">
        <v>2459</v>
      </c>
      <c r="G20" s="1035"/>
      <c r="H20" s="1025"/>
      <c r="I20" s="1025"/>
    </row>
    <row r="21" spans="1:13" s="1408" customFormat="1">
      <c r="A21" s="3924"/>
      <c r="B21" s="3927"/>
      <c r="C21" s="3261" t="s">
        <v>2460</v>
      </c>
      <c r="D21" s="3262"/>
      <c r="E21" s="3263">
        <v>1</v>
      </c>
      <c r="F21" s="3260" t="s">
        <v>2461</v>
      </c>
      <c r="G21" s="1035"/>
      <c r="H21" s="1025"/>
      <c r="I21" s="1025"/>
    </row>
    <row r="22" spans="1:13" s="1408" customFormat="1">
      <c r="A22" s="3924"/>
      <c r="B22" s="3927"/>
      <c r="C22" s="3261" t="s">
        <v>2462</v>
      </c>
      <c r="D22" s="3262"/>
      <c r="E22" s="3263">
        <v>0.9</v>
      </c>
      <c r="F22" s="3260" t="s">
        <v>2463</v>
      </c>
      <c r="G22" s="1035"/>
      <c r="H22" s="1025"/>
      <c r="I22" s="1025"/>
    </row>
    <row r="23" spans="1:13" s="1408" customFormat="1">
      <c r="A23" s="3924"/>
      <c r="B23" s="3927"/>
      <c r="C23" s="3261" t="s">
        <v>2464</v>
      </c>
      <c r="D23" s="3262"/>
      <c r="E23" s="3263">
        <v>0.9</v>
      </c>
      <c r="F23" s="3260" t="s">
        <v>2465</v>
      </c>
      <c r="G23" s="1035"/>
      <c r="H23" s="1025"/>
      <c r="I23" s="1025"/>
    </row>
    <row r="24" spans="1:13" s="1408" customFormat="1">
      <c r="A24" s="3924"/>
      <c r="B24" s="3927"/>
      <c r="C24" s="3261" t="s">
        <v>2466</v>
      </c>
      <c r="D24" s="3262"/>
      <c r="E24" s="3263">
        <v>0.8</v>
      </c>
      <c r="F24" s="3260" t="s">
        <v>2467</v>
      </c>
      <c r="G24" s="1035"/>
      <c r="H24" s="1025"/>
      <c r="I24" s="1025"/>
    </row>
    <row r="25" spans="1:13" s="1408" customFormat="1" ht="14.25" thickBot="1">
      <c r="A25" s="3925"/>
      <c r="B25" s="3928"/>
      <c r="C25" s="3264" t="s">
        <v>2468</v>
      </c>
      <c r="D25" s="3265"/>
      <c r="E25" s="3266">
        <v>0.8</v>
      </c>
      <c r="F25" s="3260" t="s">
        <v>2469</v>
      </c>
      <c r="G25" s="1035"/>
      <c r="H25" s="1025"/>
      <c r="I25" s="1025"/>
    </row>
    <row r="26" spans="1:13" s="1408" customFormat="1" ht="14.25" thickBot="1">
      <c r="A26" s="3267" t="s">
        <v>2448</v>
      </c>
      <c r="B26" s="3268" t="s">
        <v>2457</v>
      </c>
      <c r="C26" s="3269" t="s">
        <v>2470</v>
      </c>
      <c r="D26" s="3270"/>
      <c r="E26" s="3271">
        <v>1</v>
      </c>
      <c r="F26" s="3260" t="s">
        <v>2471</v>
      </c>
      <c r="G26" s="1035"/>
      <c r="H26" s="1025"/>
      <c r="I26" s="1025"/>
    </row>
    <row r="27" spans="1:13" s="1408" customFormat="1">
      <c r="A27" s="3929" t="s">
        <v>2452</v>
      </c>
      <c r="B27" s="3926" t="s">
        <v>2452</v>
      </c>
      <c r="C27" s="3257" t="s">
        <v>2472</v>
      </c>
      <c r="D27" s="3258"/>
      <c r="E27" s="3259">
        <v>1</v>
      </c>
      <c r="F27" s="3260" t="s">
        <v>2473</v>
      </c>
      <c r="G27" s="1035"/>
      <c r="H27" s="1025"/>
      <c r="I27" s="1025"/>
    </row>
    <row r="28" spans="1:13" s="1408" customFormat="1">
      <c r="A28" s="3930"/>
      <c r="B28" s="3927"/>
      <c r="C28" s="3261" t="s">
        <v>2474</v>
      </c>
      <c r="D28" s="3262"/>
      <c r="E28" s="3263">
        <v>1</v>
      </c>
      <c r="F28" s="3260" t="s">
        <v>2475</v>
      </c>
      <c r="G28" s="1035"/>
      <c r="H28" s="1025"/>
      <c r="I28" s="1025"/>
    </row>
    <row r="29" spans="1:13" s="1408" customFormat="1">
      <c r="A29" s="3930"/>
      <c r="B29" s="3927"/>
      <c r="C29" s="3261" t="s">
        <v>2476</v>
      </c>
      <c r="D29" s="3262"/>
      <c r="E29" s="3263">
        <v>0.8</v>
      </c>
      <c r="F29" s="3260" t="s">
        <v>2477</v>
      </c>
      <c r="G29" s="1035"/>
      <c r="H29" s="1025"/>
      <c r="I29" s="1025"/>
    </row>
    <row r="30" spans="1:13" s="1408" customFormat="1">
      <c r="A30" s="3930"/>
      <c r="B30" s="3927"/>
      <c r="C30" s="3261" t="s">
        <v>2478</v>
      </c>
      <c r="D30" s="3262"/>
      <c r="E30" s="3263">
        <v>0.8</v>
      </c>
      <c r="F30" s="3260" t="s">
        <v>2479</v>
      </c>
      <c r="G30" s="1035"/>
      <c r="H30" s="1025"/>
      <c r="I30" s="1025"/>
    </row>
    <row r="31" spans="1:13" s="1408" customFormat="1">
      <c r="A31" s="3930"/>
      <c r="B31" s="3927"/>
      <c r="C31" s="3261" t="s">
        <v>2480</v>
      </c>
      <c r="D31" s="3262"/>
      <c r="E31" s="3263">
        <v>0.8</v>
      </c>
      <c r="F31" s="3260" t="s">
        <v>2481</v>
      </c>
      <c r="G31" s="1035"/>
      <c r="H31" s="1025"/>
      <c r="I31" s="1025"/>
    </row>
    <row r="32" spans="1:13" s="1408" customFormat="1">
      <c r="A32" s="3930"/>
      <c r="B32" s="3927"/>
      <c r="C32" s="3261" t="s">
        <v>2482</v>
      </c>
      <c r="D32" s="3262"/>
      <c r="E32" s="3263">
        <v>0.7</v>
      </c>
      <c r="F32" s="3260" t="s">
        <v>2483</v>
      </c>
      <c r="G32" s="1035"/>
      <c r="H32" s="1025"/>
      <c r="I32" s="1025"/>
    </row>
    <row r="33" spans="1:9" s="1408" customFormat="1">
      <c r="A33" s="3930"/>
      <c r="B33" s="3927"/>
      <c r="C33" s="3261" t="s">
        <v>2484</v>
      </c>
      <c r="D33" s="3262"/>
      <c r="E33" s="3263">
        <v>0.8</v>
      </c>
      <c r="F33" s="3260" t="s">
        <v>2485</v>
      </c>
      <c r="G33" s="1035"/>
      <c r="H33" s="1025"/>
      <c r="I33" s="1025"/>
    </row>
    <row r="34" spans="1:9" s="1408" customFormat="1">
      <c r="A34" s="3930"/>
      <c r="B34" s="3927"/>
      <c r="C34" s="3261" t="s">
        <v>2486</v>
      </c>
      <c r="D34" s="3262"/>
      <c r="E34" s="3263">
        <v>0.6</v>
      </c>
      <c r="F34" s="3260" t="s">
        <v>2487</v>
      </c>
      <c r="G34" s="1035"/>
      <c r="H34" s="1025"/>
      <c r="I34" s="1025"/>
    </row>
    <row r="35" spans="1:9" s="1408" customFormat="1">
      <c r="A35" s="3930"/>
      <c r="B35" s="3927"/>
      <c r="C35" s="3261" t="s">
        <v>2488</v>
      </c>
      <c r="D35" s="3262"/>
      <c r="E35" s="3263">
        <v>0.2</v>
      </c>
      <c r="F35" s="3260" t="s">
        <v>2489</v>
      </c>
      <c r="G35" s="1035"/>
      <c r="H35" s="1025"/>
      <c r="I35" s="1025"/>
    </row>
    <row r="36" spans="1:9" s="1408" customFormat="1">
      <c r="A36" s="3930"/>
      <c r="B36" s="3927"/>
      <c r="C36" s="3261" t="s">
        <v>2490</v>
      </c>
      <c r="D36" s="3262"/>
      <c r="E36" s="3263">
        <v>0.2</v>
      </c>
      <c r="F36" s="3260" t="s">
        <v>2491</v>
      </c>
      <c r="G36" s="1035"/>
      <c r="H36" s="1025"/>
      <c r="I36" s="1025"/>
    </row>
    <row r="37" spans="1:9" s="1408" customFormat="1">
      <c r="A37" s="3930"/>
      <c r="B37" s="3932" t="s">
        <v>2492</v>
      </c>
      <c r="C37" s="3261" t="s">
        <v>2493</v>
      </c>
      <c r="D37" s="3262"/>
      <c r="E37" s="3263">
        <v>0.6</v>
      </c>
      <c r="F37" s="3260" t="s">
        <v>2494</v>
      </c>
      <c r="G37" s="1035"/>
      <c r="H37" s="1025"/>
      <c r="I37" s="1025"/>
    </row>
    <row r="38" spans="1:9" s="1408" customFormat="1">
      <c r="A38" s="3930"/>
      <c r="B38" s="3927"/>
      <c r="C38" s="3261" t="s">
        <v>2495</v>
      </c>
      <c r="D38" s="3262"/>
      <c r="E38" s="3263">
        <v>0.6</v>
      </c>
      <c r="F38" s="3260" t="s">
        <v>2496</v>
      </c>
      <c r="G38" s="1035"/>
      <c r="H38" s="1025"/>
      <c r="I38" s="1025"/>
    </row>
    <row r="39" spans="1:9" s="1408" customFormat="1" ht="14.25" thickBot="1">
      <c r="A39" s="3931"/>
      <c r="B39" s="3928"/>
      <c r="C39" s="3264" t="s">
        <v>2497</v>
      </c>
      <c r="D39" s="3265"/>
      <c r="E39" s="3266">
        <v>0.6</v>
      </c>
      <c r="F39" s="3260" t="s">
        <v>2498</v>
      </c>
      <c r="G39" s="1035"/>
      <c r="H39" s="1025"/>
      <c r="I39" s="1025"/>
    </row>
    <row r="40" spans="1:9" s="1408" customFormat="1" ht="14.25" thickBot="1">
      <c r="A40" s="3267" t="s">
        <v>2449</v>
      </c>
      <c r="B40" s="3268" t="s">
        <v>2449</v>
      </c>
      <c r="C40" s="3269" t="s">
        <v>2499</v>
      </c>
      <c r="D40" s="3270"/>
      <c r="E40" s="3271">
        <v>1</v>
      </c>
      <c r="F40" s="3260" t="s">
        <v>2500</v>
      </c>
      <c r="G40" s="1035"/>
      <c r="H40" s="1025"/>
      <c r="I40" s="1025"/>
    </row>
    <row r="41" spans="1:9" s="1408" customFormat="1">
      <c r="A41" s="3923" t="s">
        <v>2450</v>
      </c>
      <c r="B41" s="3926" t="s">
        <v>2501</v>
      </c>
      <c r="C41" s="3257" t="s">
        <v>2502</v>
      </c>
      <c r="D41" s="3258"/>
      <c r="E41" s="3259">
        <v>1</v>
      </c>
      <c r="F41" s="3260" t="s">
        <v>2503</v>
      </c>
      <c r="G41" s="1035"/>
      <c r="H41" s="1025"/>
      <c r="I41" s="1025"/>
    </row>
    <row r="42" spans="1:9" s="1408" customFormat="1">
      <c r="A42" s="3924"/>
      <c r="B42" s="3927"/>
      <c r="C42" s="3261" t="s">
        <v>2504</v>
      </c>
      <c r="D42" s="3262"/>
      <c r="E42" s="3263">
        <v>1</v>
      </c>
      <c r="F42" s="3260" t="s">
        <v>2505</v>
      </c>
      <c r="G42" s="1035"/>
      <c r="H42" s="1025"/>
      <c r="I42" s="1025"/>
    </row>
    <row r="43" spans="1:9" s="1408" customFormat="1">
      <c r="A43" s="3924"/>
      <c r="B43" s="3933"/>
      <c r="C43" s="3261" t="s">
        <v>2506</v>
      </c>
      <c r="D43" s="3262"/>
      <c r="E43" s="3263">
        <v>1.5</v>
      </c>
      <c r="F43" s="3260" t="s">
        <v>2507</v>
      </c>
      <c r="G43" s="1035"/>
      <c r="H43" s="1025"/>
      <c r="I43" s="1025"/>
    </row>
    <row r="44" spans="1:9" s="1408" customFormat="1">
      <c r="A44" s="3924"/>
      <c r="B44" s="3272" t="s">
        <v>2452</v>
      </c>
      <c r="C44" s="3261" t="s">
        <v>2451</v>
      </c>
      <c r="D44" s="3262"/>
      <c r="E44" s="3263">
        <v>2</v>
      </c>
      <c r="F44" s="3260" t="s">
        <v>2508</v>
      </c>
      <c r="G44" s="1035"/>
      <c r="H44" s="1025"/>
      <c r="I44" s="1025"/>
    </row>
    <row r="45" spans="1:9" s="1408" customFormat="1">
      <c r="A45" s="3924"/>
      <c r="B45" s="3932" t="s">
        <v>2509</v>
      </c>
      <c r="C45" s="3261" t="s">
        <v>2510</v>
      </c>
      <c r="D45" s="3262"/>
      <c r="E45" s="3263">
        <v>1</v>
      </c>
      <c r="F45" s="3260" t="s">
        <v>2511</v>
      </c>
      <c r="G45" s="1035"/>
      <c r="H45" s="1025"/>
      <c r="I45" s="1025"/>
    </row>
    <row r="46" spans="1:9" s="1408" customFormat="1">
      <c r="A46" s="3924"/>
      <c r="B46" s="3927"/>
      <c r="C46" s="3261" t="s">
        <v>2512</v>
      </c>
      <c r="D46" s="3262"/>
      <c r="E46" s="3263">
        <v>1</v>
      </c>
      <c r="F46" s="3260" t="s">
        <v>2513</v>
      </c>
      <c r="G46" s="1035"/>
      <c r="H46" s="1025"/>
      <c r="I46" s="1025"/>
    </row>
    <row r="47" spans="1:9" s="1408" customFormat="1">
      <c r="A47" s="3924"/>
      <c r="B47" s="3927"/>
      <c r="C47" s="3261" t="s">
        <v>2514</v>
      </c>
      <c r="D47" s="3262"/>
      <c r="E47" s="3263">
        <v>1</v>
      </c>
      <c r="F47" s="3260" t="s">
        <v>2515</v>
      </c>
      <c r="G47" s="1035"/>
      <c r="H47" s="1025"/>
      <c r="I47" s="1025"/>
    </row>
    <row r="48" spans="1:9" s="1408" customFormat="1">
      <c r="A48" s="3924"/>
      <c r="B48" s="3927"/>
      <c r="C48" s="3261" t="s">
        <v>2516</v>
      </c>
      <c r="D48" s="3262"/>
      <c r="E48" s="3263">
        <v>1</v>
      </c>
      <c r="F48" s="3260" t="s">
        <v>2517</v>
      </c>
      <c r="G48" s="1035"/>
      <c r="H48" s="1025"/>
      <c r="I48" s="1025"/>
    </row>
    <row r="49" spans="1:9" s="1408" customFormat="1">
      <c r="A49" s="3924"/>
      <c r="B49" s="3927"/>
      <c r="C49" s="3261" t="s">
        <v>2518</v>
      </c>
      <c r="D49" s="3262"/>
      <c r="E49" s="3263">
        <v>1</v>
      </c>
      <c r="F49" s="3260" t="s">
        <v>2519</v>
      </c>
      <c r="G49" s="1035"/>
      <c r="H49" s="1025"/>
      <c r="I49" s="1025"/>
    </row>
    <row r="50" spans="1:9" s="1408" customFormat="1">
      <c r="A50" s="3924"/>
      <c r="B50" s="3927"/>
      <c r="C50" s="3261" t="s">
        <v>2520</v>
      </c>
      <c r="D50" s="3262"/>
      <c r="E50" s="3263">
        <v>1</v>
      </c>
      <c r="F50" s="3260" t="s">
        <v>2521</v>
      </c>
      <c r="G50" s="1035"/>
      <c r="H50" s="1025"/>
      <c r="I50" s="1025"/>
    </row>
    <row r="51" spans="1:9" s="1408" customFormat="1" ht="14.25" thickBot="1">
      <c r="A51" s="3925"/>
      <c r="B51" s="3928"/>
      <c r="C51" s="3264" t="s">
        <v>2522</v>
      </c>
      <c r="D51" s="3265"/>
      <c r="E51" s="3266">
        <v>1</v>
      </c>
      <c r="F51" s="3260" t="s">
        <v>2523</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50">
        <v>0.7</v>
      </c>
      <c r="C57" s="3250">
        <v>0.4</v>
      </c>
      <c r="D57" s="3250">
        <v>0.3</v>
      </c>
      <c r="E57" s="3256">
        <v>0.3</v>
      </c>
      <c r="F57" s="3250">
        <v>0.3</v>
      </c>
      <c r="G57" s="3250">
        <v>0.2</v>
      </c>
      <c r="I57" s="1008"/>
    </row>
    <row r="58" spans="1:9">
      <c r="A58" s="1051" t="s">
        <v>837</v>
      </c>
      <c r="B58" s="3250">
        <v>0.7</v>
      </c>
      <c r="C58" s="3250">
        <v>0.4</v>
      </c>
      <c r="D58" s="3250">
        <v>0.3</v>
      </c>
      <c r="E58" s="3250">
        <v>0.3</v>
      </c>
      <c r="F58" s="3250">
        <v>0.3</v>
      </c>
      <c r="G58" s="3250">
        <v>0.2</v>
      </c>
      <c r="I58" s="1008"/>
    </row>
    <row r="59" spans="1:9">
      <c r="A59" s="1051" t="s">
        <v>838</v>
      </c>
      <c r="B59" s="3250">
        <v>0.6</v>
      </c>
      <c r="C59" s="3250">
        <v>0.3</v>
      </c>
      <c r="D59" s="3250">
        <v>0.25</v>
      </c>
      <c r="E59" s="3250">
        <v>0.25</v>
      </c>
      <c r="F59" s="3250">
        <v>0.25</v>
      </c>
      <c r="G59" s="3250">
        <v>0.15</v>
      </c>
      <c r="I59" s="1008"/>
    </row>
    <row r="60" spans="1:9">
      <c r="A60" s="1051" t="s">
        <v>839</v>
      </c>
      <c r="B60" s="3250">
        <v>0.6</v>
      </c>
      <c r="C60" s="3250">
        <v>0.3</v>
      </c>
      <c r="D60" s="3250">
        <v>0.25</v>
      </c>
      <c r="E60" s="3250">
        <v>0.25</v>
      </c>
      <c r="F60" s="3250">
        <v>0.25</v>
      </c>
      <c r="G60" s="3250">
        <v>0.15</v>
      </c>
      <c r="I60" s="1008"/>
    </row>
    <row r="61" spans="1:9" s="1025" customFormat="1">
      <c r="A61" s="1051" t="s">
        <v>840</v>
      </c>
      <c r="B61" s="3250">
        <v>0.6</v>
      </c>
      <c r="C61" s="3250">
        <v>0.3</v>
      </c>
      <c r="D61" s="3250">
        <v>0.25</v>
      </c>
      <c r="E61" s="3250">
        <v>0.25</v>
      </c>
      <c r="F61" s="3250">
        <v>0.25</v>
      </c>
      <c r="G61" s="3250">
        <v>0.15</v>
      </c>
    </row>
    <row r="62" spans="1:9" s="1025" customFormat="1">
      <c r="A62" s="1051" t="s">
        <v>841</v>
      </c>
      <c r="B62" s="3250">
        <v>0.6</v>
      </c>
      <c r="C62" s="3250">
        <v>0.3</v>
      </c>
      <c r="D62" s="3250">
        <v>0.25</v>
      </c>
      <c r="E62" s="3250">
        <v>0.25</v>
      </c>
      <c r="F62" s="3250">
        <v>0.25</v>
      </c>
      <c r="G62" s="3250">
        <v>0.15</v>
      </c>
    </row>
    <row r="63" spans="1:9" s="1025" customFormat="1">
      <c r="A63" s="1051" t="s">
        <v>842</v>
      </c>
      <c r="B63" s="3250">
        <v>0.6</v>
      </c>
      <c r="C63" s="3250">
        <v>0.3</v>
      </c>
      <c r="D63" s="3250">
        <v>0.25</v>
      </c>
      <c r="E63" s="3250">
        <v>0.25</v>
      </c>
      <c r="F63" s="3250">
        <v>0.25</v>
      </c>
      <c r="G63" s="3250">
        <v>0.15</v>
      </c>
    </row>
    <row r="64" spans="1:9" s="1025" customFormat="1">
      <c r="A64" s="1051" t="s">
        <v>843</v>
      </c>
      <c r="B64" s="3250">
        <v>0.5</v>
      </c>
      <c r="C64" s="3250">
        <v>0.2</v>
      </c>
      <c r="D64" s="3250">
        <v>0.2</v>
      </c>
      <c r="E64" s="3250">
        <v>0.2</v>
      </c>
      <c r="F64" s="3250">
        <v>0.2</v>
      </c>
      <c r="G64" s="3250">
        <v>0.1</v>
      </c>
    </row>
    <row r="65" spans="1:8" s="1025" customFormat="1">
      <c r="A65" s="1051" t="s">
        <v>844</v>
      </c>
      <c r="B65" s="3250">
        <v>0.5</v>
      </c>
      <c r="C65" s="3250">
        <v>0.2</v>
      </c>
      <c r="D65" s="3250">
        <v>0.2</v>
      </c>
      <c r="E65" s="3250">
        <v>0.2</v>
      </c>
      <c r="F65" s="3250">
        <v>0.2</v>
      </c>
      <c r="G65" s="3250">
        <v>0.1</v>
      </c>
    </row>
    <row r="66" spans="1:8" s="1025" customFormat="1">
      <c r="A66" s="1051" t="s">
        <v>845</v>
      </c>
      <c r="B66" s="3250">
        <v>0.5</v>
      </c>
      <c r="C66" s="3250">
        <v>0.2</v>
      </c>
      <c r="D66" s="3250">
        <v>0.2</v>
      </c>
      <c r="E66" s="3250">
        <v>0.2</v>
      </c>
      <c r="F66" s="3250">
        <v>0.2</v>
      </c>
      <c r="G66" s="3250">
        <v>0.1</v>
      </c>
    </row>
    <row r="67" spans="1:8" s="1025" customFormat="1">
      <c r="A67" s="1051" t="s">
        <v>846</v>
      </c>
      <c r="B67" s="3250">
        <v>0.5</v>
      </c>
      <c r="C67" s="3250">
        <v>0.2</v>
      </c>
      <c r="D67" s="3250">
        <v>0.2</v>
      </c>
      <c r="E67" s="3250">
        <v>0.2</v>
      </c>
      <c r="F67" s="3250">
        <v>0.2</v>
      </c>
      <c r="G67" s="3250">
        <v>0.1</v>
      </c>
    </row>
    <row r="68" spans="1:8" s="1025" customFormat="1">
      <c r="A68" s="1051" t="s">
        <v>847</v>
      </c>
      <c r="B68" s="3250">
        <v>0.5</v>
      </c>
      <c r="C68" s="3250">
        <v>0.2</v>
      </c>
      <c r="D68" s="3250">
        <v>0.2</v>
      </c>
      <c r="E68" s="3250">
        <v>0.2</v>
      </c>
      <c r="F68" s="3250">
        <v>0.2</v>
      </c>
      <c r="G68" s="3250">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2">
        <v>1</v>
      </c>
      <c r="B73" s="3932" t="s">
        <v>2525</v>
      </c>
      <c r="C73" s="3250" t="s">
        <v>2526</v>
      </c>
      <c r="D73" s="3250" t="s">
        <v>2527</v>
      </c>
      <c r="E73" s="3273">
        <v>0.2</v>
      </c>
      <c r="F73" s="3272">
        <v>25</v>
      </c>
      <c r="H73" s="1025">
        <f>SUMIF(C71:C139,基准地价!C8,E71:E139)</f>
        <v>0</v>
      </c>
    </row>
    <row r="74" spans="1:8" s="1025" customFormat="1" ht="24">
      <c r="A74" s="3272">
        <v>2</v>
      </c>
      <c r="B74" s="3927"/>
      <c r="C74" s="3250" t="s">
        <v>2528</v>
      </c>
      <c r="D74" s="3250" t="s">
        <v>2529</v>
      </c>
      <c r="E74" s="3273">
        <v>0.2</v>
      </c>
      <c r="F74" s="3272">
        <v>25</v>
      </c>
    </row>
    <row r="75" spans="1:8" s="1025" customFormat="1" ht="24">
      <c r="A75" s="3272">
        <v>3</v>
      </c>
      <c r="B75" s="3927"/>
      <c r="C75" s="3250" t="s">
        <v>2530</v>
      </c>
      <c r="D75" s="3250" t="s">
        <v>2531</v>
      </c>
      <c r="E75" s="3273">
        <v>0.2</v>
      </c>
      <c r="F75" s="3272">
        <v>25</v>
      </c>
    </row>
    <row r="76" spans="1:8" s="1025" customFormat="1">
      <c r="A76" s="3272">
        <v>4</v>
      </c>
      <c r="B76" s="3927"/>
      <c r="C76" s="3250" t="s">
        <v>2532</v>
      </c>
      <c r="D76" s="3250" t="s">
        <v>2533</v>
      </c>
      <c r="E76" s="3273">
        <v>0.15</v>
      </c>
      <c r="F76" s="3272">
        <v>20</v>
      </c>
    </row>
    <row r="77" spans="1:8" s="1025" customFormat="1" ht="24">
      <c r="A77" s="3272">
        <v>5</v>
      </c>
      <c r="B77" s="3927"/>
      <c r="C77" s="3250" t="s">
        <v>2534</v>
      </c>
      <c r="D77" s="3250" t="s">
        <v>2535</v>
      </c>
      <c r="E77" s="3273">
        <v>0.15</v>
      </c>
      <c r="F77" s="3272">
        <v>20</v>
      </c>
    </row>
    <row r="78" spans="1:8" s="1025" customFormat="1" ht="24">
      <c r="A78" s="3272">
        <v>6</v>
      </c>
      <c r="B78" s="3927"/>
      <c r="C78" s="3250" t="s">
        <v>2536</v>
      </c>
      <c r="D78" s="3250" t="s">
        <v>2537</v>
      </c>
      <c r="E78" s="3273">
        <v>0.15</v>
      </c>
      <c r="F78" s="3272">
        <v>20</v>
      </c>
    </row>
    <row r="79" spans="1:8" s="1025" customFormat="1" ht="24">
      <c r="A79" s="3272">
        <v>7</v>
      </c>
      <c r="B79" s="3927"/>
      <c r="C79" s="3250" t="s">
        <v>2538</v>
      </c>
      <c r="D79" s="3250" t="s">
        <v>2539</v>
      </c>
      <c r="E79" s="3273">
        <v>0.15</v>
      </c>
      <c r="F79" s="3272">
        <v>20</v>
      </c>
    </row>
    <row r="80" spans="1:8" s="1025" customFormat="1" ht="24">
      <c r="A80" s="3272">
        <v>8</v>
      </c>
      <c r="B80" s="3927"/>
      <c r="C80" s="3250" t="s">
        <v>2540</v>
      </c>
      <c r="D80" s="3250" t="s">
        <v>2541</v>
      </c>
      <c r="E80" s="3273">
        <v>0.1</v>
      </c>
      <c r="F80" s="3272">
        <v>15</v>
      </c>
    </row>
    <row r="81" spans="1:6" s="1025" customFormat="1" ht="24">
      <c r="A81" s="3272">
        <v>9</v>
      </c>
      <c r="B81" s="3927"/>
      <c r="C81" s="3250" t="s">
        <v>2542</v>
      </c>
      <c r="D81" s="3250" t="s">
        <v>2543</v>
      </c>
      <c r="E81" s="3273">
        <v>0.1</v>
      </c>
      <c r="F81" s="3272">
        <v>15</v>
      </c>
    </row>
    <row r="82" spans="1:6" s="1025" customFormat="1" ht="24">
      <c r="A82" s="3272">
        <v>10</v>
      </c>
      <c r="B82" s="3927"/>
      <c r="C82" s="3250" t="s">
        <v>2544</v>
      </c>
      <c r="D82" s="3250" t="s">
        <v>2545</v>
      </c>
      <c r="E82" s="3273">
        <v>0.1</v>
      </c>
      <c r="F82" s="3272">
        <v>15</v>
      </c>
    </row>
    <row r="83" spans="1:6" s="1025" customFormat="1" ht="24">
      <c r="A83" s="3272">
        <v>11</v>
      </c>
      <c r="B83" s="3927"/>
      <c r="C83" s="3250" t="s">
        <v>2546</v>
      </c>
      <c r="D83" s="3250" t="s">
        <v>2547</v>
      </c>
      <c r="E83" s="3273">
        <v>0.1</v>
      </c>
      <c r="F83" s="3272">
        <v>15</v>
      </c>
    </row>
    <row r="84" spans="1:6" s="1025" customFormat="1" ht="24">
      <c r="A84" s="3272">
        <v>12</v>
      </c>
      <c r="B84" s="3927"/>
      <c r="C84" s="3250" t="s">
        <v>2548</v>
      </c>
      <c r="D84" s="3250" t="s">
        <v>2549</v>
      </c>
      <c r="E84" s="3273">
        <v>0.1</v>
      </c>
      <c r="F84" s="3272">
        <v>15</v>
      </c>
    </row>
    <row r="85" spans="1:6" s="1025" customFormat="1">
      <c r="A85" s="3272">
        <v>13</v>
      </c>
      <c r="B85" s="3927"/>
      <c r="C85" s="3250" t="s">
        <v>2550</v>
      </c>
      <c r="D85" s="3250" t="s">
        <v>2551</v>
      </c>
      <c r="E85" s="3273">
        <v>0.1</v>
      </c>
      <c r="F85" s="3272">
        <v>15</v>
      </c>
    </row>
    <row r="86" spans="1:6" s="1025" customFormat="1">
      <c r="A86" s="3272">
        <v>14</v>
      </c>
      <c r="B86" s="3927"/>
      <c r="C86" s="3250" t="s">
        <v>2552</v>
      </c>
      <c r="D86" s="3250" t="s">
        <v>2553</v>
      </c>
      <c r="E86" s="3273">
        <v>0.1</v>
      </c>
      <c r="F86" s="3272">
        <v>15</v>
      </c>
    </row>
    <row r="87" spans="1:6" s="1025" customFormat="1">
      <c r="A87" s="3272">
        <v>15</v>
      </c>
      <c r="B87" s="3927"/>
      <c r="C87" s="3250" t="s">
        <v>2554</v>
      </c>
      <c r="D87" s="3250" t="s">
        <v>2555</v>
      </c>
      <c r="E87" s="3273">
        <v>0.1</v>
      </c>
      <c r="F87" s="3272">
        <v>15</v>
      </c>
    </row>
    <row r="88" spans="1:6" s="1025" customFormat="1" ht="24">
      <c r="A88" s="3272">
        <v>16</v>
      </c>
      <c r="B88" s="3927"/>
      <c r="C88" s="3250" t="s">
        <v>2556</v>
      </c>
      <c r="D88" s="3250" t="s">
        <v>2557</v>
      </c>
      <c r="E88" s="3273">
        <v>0.1</v>
      </c>
      <c r="F88" s="3272">
        <v>15</v>
      </c>
    </row>
    <row r="89" spans="1:6" s="1025" customFormat="1" ht="24">
      <c r="A89" s="3272">
        <v>17</v>
      </c>
      <c r="B89" s="3933"/>
      <c r="C89" s="3250" t="s">
        <v>2558</v>
      </c>
      <c r="D89" s="3250" t="s">
        <v>2559</v>
      </c>
      <c r="E89" s="3273">
        <v>0.1</v>
      </c>
      <c r="F89" s="3272">
        <v>15</v>
      </c>
    </row>
    <row r="90" spans="1:6" s="1025" customFormat="1">
      <c r="A90" s="3272">
        <v>18</v>
      </c>
      <c r="B90" s="3932" t="s">
        <v>2560</v>
      </c>
      <c r="C90" s="3250" t="s">
        <v>2561</v>
      </c>
      <c r="D90" s="3250" t="s">
        <v>2562</v>
      </c>
      <c r="E90" s="3273">
        <v>0.2</v>
      </c>
      <c r="F90" s="3272">
        <v>25</v>
      </c>
    </row>
    <row r="91" spans="1:6" s="1025" customFormat="1" ht="24">
      <c r="A91" s="3272">
        <v>19</v>
      </c>
      <c r="B91" s="3927"/>
      <c r="C91" s="3250" t="s">
        <v>2563</v>
      </c>
      <c r="D91" s="3250" t="s">
        <v>2564</v>
      </c>
      <c r="E91" s="3273">
        <v>0.2</v>
      </c>
      <c r="F91" s="3272">
        <v>25</v>
      </c>
    </row>
    <row r="92" spans="1:6" s="1025" customFormat="1">
      <c r="A92" s="3272">
        <v>20</v>
      </c>
      <c r="B92" s="3927"/>
      <c r="C92" s="3250" t="s">
        <v>2565</v>
      </c>
      <c r="D92" s="3250" t="s">
        <v>2566</v>
      </c>
      <c r="E92" s="3273">
        <v>0.15</v>
      </c>
      <c r="F92" s="3272">
        <v>20</v>
      </c>
    </row>
    <row r="93" spans="1:6" s="1025" customFormat="1" ht="24">
      <c r="A93" s="3272">
        <v>21</v>
      </c>
      <c r="B93" s="3927"/>
      <c r="C93" s="3250" t="s">
        <v>2567</v>
      </c>
      <c r="D93" s="3250" t="s">
        <v>2568</v>
      </c>
      <c r="E93" s="3273">
        <v>0.15</v>
      </c>
      <c r="F93" s="3272">
        <v>20</v>
      </c>
    </row>
    <row r="94" spans="1:6" s="1025" customFormat="1" ht="24">
      <c r="A94" s="3272">
        <v>22</v>
      </c>
      <c r="B94" s="3927"/>
      <c r="C94" s="3250" t="s">
        <v>2569</v>
      </c>
      <c r="D94" s="3250" t="s">
        <v>2570</v>
      </c>
      <c r="E94" s="3273">
        <v>0.15</v>
      </c>
      <c r="F94" s="3272">
        <v>20</v>
      </c>
    </row>
    <row r="95" spans="1:6" s="1025" customFormat="1" ht="36">
      <c r="A95" s="3272">
        <v>23</v>
      </c>
      <c r="B95" s="3927"/>
      <c r="C95" s="3250" t="s">
        <v>2571</v>
      </c>
      <c r="D95" s="3250" t="s">
        <v>2572</v>
      </c>
      <c r="E95" s="3273">
        <v>0.15</v>
      </c>
      <c r="F95" s="3272">
        <v>20</v>
      </c>
    </row>
    <row r="96" spans="1:6" s="1025" customFormat="1">
      <c r="A96" s="3272">
        <v>24</v>
      </c>
      <c r="B96" s="3927"/>
      <c r="C96" s="3250" t="s">
        <v>2573</v>
      </c>
      <c r="D96" s="3250" t="s">
        <v>2574</v>
      </c>
      <c r="E96" s="3273">
        <v>0.1</v>
      </c>
      <c r="F96" s="3272">
        <v>15</v>
      </c>
    </row>
    <row r="97" spans="1:6" s="1025" customFormat="1" ht="24">
      <c r="A97" s="3272">
        <v>25</v>
      </c>
      <c r="B97" s="3927"/>
      <c r="C97" s="3250" t="s">
        <v>2575</v>
      </c>
      <c r="D97" s="3250" t="s">
        <v>2576</v>
      </c>
      <c r="E97" s="3273">
        <v>0.1</v>
      </c>
      <c r="F97" s="3272">
        <v>15</v>
      </c>
    </row>
    <row r="98" spans="1:6" s="1025" customFormat="1" ht="24">
      <c r="A98" s="3272">
        <v>26</v>
      </c>
      <c r="B98" s="3927"/>
      <c r="C98" s="3250" t="s">
        <v>2577</v>
      </c>
      <c r="D98" s="3250" t="s">
        <v>2578</v>
      </c>
      <c r="E98" s="3273">
        <v>0.1</v>
      </c>
      <c r="F98" s="3272">
        <v>15</v>
      </c>
    </row>
    <row r="99" spans="1:6" s="1025" customFormat="1" ht="24">
      <c r="A99" s="3272">
        <v>27</v>
      </c>
      <c r="B99" s="3927"/>
      <c r="C99" s="3250" t="s">
        <v>2579</v>
      </c>
      <c r="D99" s="3250" t="s">
        <v>2580</v>
      </c>
      <c r="E99" s="3273">
        <v>0.1</v>
      </c>
      <c r="F99" s="3272">
        <v>15</v>
      </c>
    </row>
    <row r="100" spans="1:6" s="1025" customFormat="1" ht="24">
      <c r="A100" s="3272">
        <v>28</v>
      </c>
      <c r="B100" s="3927"/>
      <c r="C100" s="3250" t="s">
        <v>2581</v>
      </c>
      <c r="D100" s="3250" t="s">
        <v>2582</v>
      </c>
      <c r="E100" s="3273">
        <v>0.1</v>
      </c>
      <c r="F100" s="3272">
        <v>15</v>
      </c>
    </row>
    <row r="101" spans="1:6" s="1025" customFormat="1" ht="24">
      <c r="A101" s="3272">
        <v>29</v>
      </c>
      <c r="B101" s="3927"/>
      <c r="C101" s="3250" t="s">
        <v>2583</v>
      </c>
      <c r="D101" s="3250" t="s">
        <v>2584</v>
      </c>
      <c r="E101" s="3273">
        <v>0.1</v>
      </c>
      <c r="F101" s="3272">
        <v>15</v>
      </c>
    </row>
    <row r="102" spans="1:6" s="1025" customFormat="1" ht="24">
      <c r="A102" s="3272">
        <v>30</v>
      </c>
      <c r="B102" s="3927"/>
      <c r="C102" s="3250" t="s">
        <v>2585</v>
      </c>
      <c r="D102" s="3250" t="s">
        <v>2586</v>
      </c>
      <c r="E102" s="3273">
        <v>0.1</v>
      </c>
      <c r="F102" s="3272">
        <v>15</v>
      </c>
    </row>
    <row r="103" spans="1:6" s="1025" customFormat="1" ht="24">
      <c r="A103" s="3272">
        <v>31</v>
      </c>
      <c r="B103" s="3927"/>
      <c r="C103" s="3250" t="s">
        <v>2587</v>
      </c>
      <c r="D103" s="3250" t="s">
        <v>2588</v>
      </c>
      <c r="E103" s="3273">
        <v>0.1</v>
      </c>
      <c r="F103" s="3272">
        <v>15</v>
      </c>
    </row>
    <row r="104" spans="1:6" s="1025" customFormat="1" ht="24">
      <c r="A104" s="3272">
        <v>32</v>
      </c>
      <c r="B104" s="3927"/>
      <c r="C104" s="3250" t="s">
        <v>2589</v>
      </c>
      <c r="D104" s="3250" t="s">
        <v>2590</v>
      </c>
      <c r="E104" s="3273">
        <v>0.1</v>
      </c>
      <c r="F104" s="3272">
        <v>15</v>
      </c>
    </row>
    <row r="105" spans="1:6" s="1025" customFormat="1" ht="24">
      <c r="A105" s="3272">
        <v>33</v>
      </c>
      <c r="B105" s="3927"/>
      <c r="C105" s="3250" t="s">
        <v>2591</v>
      </c>
      <c r="D105" s="3250" t="s">
        <v>2592</v>
      </c>
      <c r="E105" s="3273">
        <v>0.1</v>
      </c>
      <c r="F105" s="3272">
        <v>15</v>
      </c>
    </row>
    <row r="106" spans="1:6" s="1025" customFormat="1" ht="24">
      <c r="A106" s="3272">
        <v>34</v>
      </c>
      <c r="B106" s="3933"/>
      <c r="C106" s="3250" t="s">
        <v>2593</v>
      </c>
      <c r="D106" s="3250" t="s">
        <v>2594</v>
      </c>
      <c r="E106" s="3273">
        <v>0.1</v>
      </c>
      <c r="F106" s="3272">
        <v>15</v>
      </c>
    </row>
    <row r="107" spans="1:6" s="1025" customFormat="1" ht="24">
      <c r="A107" s="3272">
        <v>35</v>
      </c>
      <c r="B107" s="3932" t="s">
        <v>2595</v>
      </c>
      <c r="C107" s="3272" t="s">
        <v>2596</v>
      </c>
      <c r="D107" s="3250" t="s">
        <v>2597</v>
      </c>
      <c r="E107" s="3273">
        <v>0.15</v>
      </c>
      <c r="F107" s="3272">
        <v>20</v>
      </c>
    </row>
    <row r="108" spans="1:6" s="1025" customFormat="1" ht="24">
      <c r="A108" s="3272">
        <v>36</v>
      </c>
      <c r="B108" s="3927"/>
      <c r="C108" s="3272" t="s">
        <v>2598</v>
      </c>
      <c r="D108" s="3250" t="s">
        <v>2599</v>
      </c>
      <c r="E108" s="3273">
        <v>0.15</v>
      </c>
      <c r="F108" s="3272">
        <v>20</v>
      </c>
    </row>
    <row r="109" spans="1:6" s="1025" customFormat="1" ht="24">
      <c r="A109" s="3272">
        <v>37</v>
      </c>
      <c r="B109" s="3927"/>
      <c r="C109" s="3272" t="s">
        <v>2600</v>
      </c>
      <c r="D109" s="3250" t="s">
        <v>2601</v>
      </c>
      <c r="E109" s="3273">
        <v>0.15</v>
      </c>
      <c r="F109" s="3272">
        <v>20</v>
      </c>
    </row>
    <row r="110" spans="1:6" s="1025" customFormat="1">
      <c r="A110" s="3272">
        <v>38</v>
      </c>
      <c r="B110" s="3927"/>
      <c r="C110" s="3272" t="s">
        <v>2602</v>
      </c>
      <c r="D110" s="3250" t="s">
        <v>2603</v>
      </c>
      <c r="E110" s="3273">
        <v>0.1</v>
      </c>
      <c r="F110" s="3272">
        <v>15</v>
      </c>
    </row>
    <row r="111" spans="1:6" s="1025" customFormat="1" ht="24">
      <c r="A111" s="3272">
        <v>39</v>
      </c>
      <c r="B111" s="3927"/>
      <c r="C111" s="3272" t="s">
        <v>2604</v>
      </c>
      <c r="D111" s="3250" t="s">
        <v>2605</v>
      </c>
      <c r="E111" s="3273">
        <v>0.1</v>
      </c>
      <c r="F111" s="3272">
        <v>15</v>
      </c>
    </row>
    <row r="112" spans="1:6" s="1025" customFormat="1" ht="24">
      <c r="A112" s="3272">
        <v>40</v>
      </c>
      <c r="B112" s="3933"/>
      <c r="C112" s="3272" t="s">
        <v>2606</v>
      </c>
      <c r="D112" s="3250" t="s">
        <v>2607</v>
      </c>
      <c r="E112" s="3273">
        <v>0.1</v>
      </c>
      <c r="F112" s="3272">
        <v>15</v>
      </c>
    </row>
    <row r="113" spans="1:6" s="1025" customFormat="1" ht="24">
      <c r="A113" s="3272">
        <v>41</v>
      </c>
      <c r="B113" s="3934" t="s">
        <v>2608</v>
      </c>
      <c r="C113" s="3272" t="s">
        <v>2609</v>
      </c>
      <c r="D113" s="3250" t="s">
        <v>2610</v>
      </c>
      <c r="E113" s="3273">
        <v>0.1</v>
      </c>
      <c r="F113" s="3272">
        <v>15</v>
      </c>
    </row>
    <row r="114" spans="1:6" s="1025" customFormat="1">
      <c r="A114" s="3272">
        <v>42</v>
      </c>
      <c r="B114" s="3934"/>
      <c r="C114" s="3272" t="s">
        <v>2611</v>
      </c>
      <c r="D114" s="3250" t="s">
        <v>2612</v>
      </c>
      <c r="E114" s="3273">
        <v>0.1</v>
      </c>
      <c r="F114" s="3272">
        <v>15</v>
      </c>
    </row>
    <row r="115" spans="1:6" s="1025" customFormat="1" ht="24">
      <c r="A115" s="3272">
        <v>43</v>
      </c>
      <c r="B115" s="3934"/>
      <c r="C115" s="3272" t="s">
        <v>2613</v>
      </c>
      <c r="D115" s="3250" t="s">
        <v>2614</v>
      </c>
      <c r="E115" s="3273">
        <v>0.1</v>
      </c>
      <c r="F115" s="3272">
        <v>15</v>
      </c>
    </row>
    <row r="116" spans="1:6" s="1025" customFormat="1" ht="24">
      <c r="A116" s="3272">
        <v>44</v>
      </c>
      <c r="B116" s="3932" t="s">
        <v>2615</v>
      </c>
      <c r="C116" s="3272" t="s">
        <v>2616</v>
      </c>
      <c r="D116" s="3250" t="s">
        <v>2617</v>
      </c>
      <c r="E116" s="3273">
        <v>0.1</v>
      </c>
      <c r="F116" s="3272">
        <v>15</v>
      </c>
    </row>
    <row r="117" spans="1:6" s="1025" customFormat="1" ht="24">
      <c r="A117" s="3272">
        <v>45</v>
      </c>
      <c r="B117" s="3933"/>
      <c r="C117" s="3250" t="s">
        <v>2618</v>
      </c>
      <c r="D117" s="3250" t="s">
        <v>2619</v>
      </c>
      <c r="E117" s="3273">
        <v>0.1</v>
      </c>
      <c r="F117" s="3272">
        <v>15</v>
      </c>
    </row>
    <row r="118" spans="1:6" s="1025" customFormat="1" ht="24">
      <c r="A118" s="3272">
        <v>46</v>
      </c>
      <c r="B118" s="3932" t="s">
        <v>2620</v>
      </c>
      <c r="C118" s="3272" t="s">
        <v>2621</v>
      </c>
      <c r="D118" s="3250" t="s">
        <v>2622</v>
      </c>
      <c r="E118" s="3273">
        <v>0.1</v>
      </c>
      <c r="F118" s="3272">
        <v>15</v>
      </c>
    </row>
    <row r="119" spans="1:6" s="1025" customFormat="1" ht="24">
      <c r="A119" s="3272">
        <v>47</v>
      </c>
      <c r="B119" s="3933"/>
      <c r="C119" s="3272" t="s">
        <v>2623</v>
      </c>
      <c r="D119" s="3250" t="s">
        <v>2624</v>
      </c>
      <c r="E119" s="3273">
        <v>0.1</v>
      </c>
      <c r="F119" s="3272">
        <v>15</v>
      </c>
    </row>
    <row r="120" spans="1:6" s="1025" customFormat="1" ht="24">
      <c r="A120" s="3272">
        <v>48</v>
      </c>
      <c r="B120" s="3932" t="s">
        <v>2625</v>
      </c>
      <c r="C120" s="3272" t="s">
        <v>2626</v>
      </c>
      <c r="D120" s="3250" t="s">
        <v>2627</v>
      </c>
      <c r="E120" s="3273">
        <v>0.1</v>
      </c>
      <c r="F120" s="3272">
        <v>15</v>
      </c>
    </row>
    <row r="121" spans="1:6" s="1025" customFormat="1">
      <c r="A121" s="3272">
        <v>49</v>
      </c>
      <c r="B121" s="3933"/>
      <c r="C121" s="3272" t="s">
        <v>2628</v>
      </c>
      <c r="D121" s="3250" t="s">
        <v>2629</v>
      </c>
      <c r="E121" s="3273">
        <v>0.1</v>
      </c>
      <c r="F121" s="3272">
        <v>15</v>
      </c>
    </row>
    <row r="122" spans="1:6" s="1025" customFormat="1" ht="24">
      <c r="A122" s="3272">
        <v>50</v>
      </c>
      <c r="B122" s="3934" t="s">
        <v>2630</v>
      </c>
      <c r="C122" s="3272" t="s">
        <v>2631</v>
      </c>
      <c r="D122" s="3250" t="s">
        <v>2632</v>
      </c>
      <c r="E122" s="3273">
        <v>0.1</v>
      </c>
      <c r="F122" s="3272">
        <v>15</v>
      </c>
    </row>
    <row r="123" spans="1:6" s="1025" customFormat="1" ht="24">
      <c r="A123" s="3272">
        <v>51</v>
      </c>
      <c r="B123" s="3934"/>
      <c r="C123" s="3272" t="s">
        <v>2633</v>
      </c>
      <c r="D123" s="3250" t="s">
        <v>2634</v>
      </c>
      <c r="E123" s="3273">
        <v>0.1</v>
      </c>
      <c r="F123" s="3272">
        <v>15</v>
      </c>
    </row>
    <row r="124" spans="1:6" s="1025" customFormat="1" ht="24">
      <c r="A124" s="3272">
        <v>52</v>
      </c>
      <c r="B124" s="3934" t="s">
        <v>2635</v>
      </c>
      <c r="C124" s="3272" t="s">
        <v>2636</v>
      </c>
      <c r="D124" s="3250" t="s">
        <v>2637</v>
      </c>
      <c r="E124" s="3273">
        <v>0.1</v>
      </c>
      <c r="F124" s="3272">
        <v>15</v>
      </c>
    </row>
    <row r="125" spans="1:6" s="1025" customFormat="1" ht="24">
      <c r="A125" s="3272">
        <v>53</v>
      </c>
      <c r="B125" s="3934"/>
      <c r="C125" s="3272" t="s">
        <v>2638</v>
      </c>
      <c r="D125" s="3250" t="s">
        <v>2639</v>
      </c>
      <c r="E125" s="3273">
        <v>0.1</v>
      </c>
      <c r="F125" s="3272">
        <v>15</v>
      </c>
    </row>
    <row r="126" spans="1:6" ht="24">
      <c r="A126" s="3272">
        <v>54</v>
      </c>
      <c r="B126" s="3272" t="s">
        <v>2640</v>
      </c>
      <c r="C126" s="3272" t="s">
        <v>2641</v>
      </c>
      <c r="D126" s="3250" t="s">
        <v>2642</v>
      </c>
      <c r="E126" s="3273">
        <v>0.1</v>
      </c>
      <c r="F126" s="3272">
        <v>15</v>
      </c>
    </row>
    <row r="127" spans="1:6">
      <c r="A127" s="3272">
        <v>55</v>
      </c>
      <c r="B127" s="3934" t="s">
        <v>2643</v>
      </c>
      <c r="C127" s="3272" t="s">
        <v>2644</v>
      </c>
      <c r="D127" s="3250" t="s">
        <v>2645</v>
      </c>
      <c r="E127" s="3273">
        <v>0.1</v>
      </c>
      <c r="F127" s="3272">
        <v>15</v>
      </c>
    </row>
    <row r="128" spans="1:6">
      <c r="A128" s="3272">
        <v>56</v>
      </c>
      <c r="B128" s="3934"/>
      <c r="C128" s="3272" t="s">
        <v>2646</v>
      </c>
      <c r="D128" s="3250" t="s">
        <v>2647</v>
      </c>
      <c r="E128" s="3273">
        <v>0.1</v>
      </c>
      <c r="F128" s="3272">
        <v>15</v>
      </c>
    </row>
    <row r="129" spans="1:14" ht="24">
      <c r="A129" s="3272">
        <v>57</v>
      </c>
      <c r="B129" s="3934"/>
      <c r="C129" s="3272" t="s">
        <v>2648</v>
      </c>
      <c r="D129" s="3250" t="s">
        <v>2649</v>
      </c>
      <c r="E129" s="3273">
        <v>0.1</v>
      </c>
      <c r="F129" s="3272">
        <v>15</v>
      </c>
    </row>
    <row r="130" spans="1:14" ht="24">
      <c r="A130" s="3272">
        <v>58</v>
      </c>
      <c r="B130" s="3934" t="s">
        <v>2650</v>
      </c>
      <c r="C130" s="3272" t="s">
        <v>2651</v>
      </c>
      <c r="D130" s="3250" t="s">
        <v>2652</v>
      </c>
      <c r="E130" s="3273">
        <v>0.1</v>
      </c>
      <c r="F130" s="3272">
        <v>15</v>
      </c>
    </row>
    <row r="131" spans="1:14" ht="24">
      <c r="A131" s="3272">
        <v>59</v>
      </c>
      <c r="B131" s="3934"/>
      <c r="C131" s="3272" t="s">
        <v>2653</v>
      </c>
      <c r="D131" s="3250" t="s">
        <v>2654</v>
      </c>
      <c r="E131" s="3273">
        <v>0.1</v>
      </c>
      <c r="F131" s="3272">
        <v>15</v>
      </c>
    </row>
    <row r="132" spans="1:14" ht="24">
      <c r="A132" s="3272">
        <v>60</v>
      </c>
      <c r="B132" s="3932" t="s">
        <v>2655</v>
      </c>
      <c r="C132" s="3272" t="s">
        <v>2656</v>
      </c>
      <c r="D132" s="3250" t="s">
        <v>2657</v>
      </c>
      <c r="E132" s="3273">
        <v>0.1</v>
      </c>
      <c r="F132" s="3272">
        <v>15</v>
      </c>
    </row>
    <row r="133" spans="1:14" ht="24">
      <c r="A133" s="3272">
        <v>61</v>
      </c>
      <c r="B133" s="3933"/>
      <c r="C133" s="3272" t="s">
        <v>2658</v>
      </c>
      <c r="D133" s="3250" t="s">
        <v>2659</v>
      </c>
      <c r="E133" s="3273">
        <v>0.1</v>
      </c>
      <c r="F133" s="3272">
        <v>15</v>
      </c>
    </row>
    <row r="134" spans="1:14" ht="24">
      <c r="A134" s="3272">
        <v>62</v>
      </c>
      <c r="B134" s="3272" t="s">
        <v>2660</v>
      </c>
      <c r="C134" s="3272" t="s">
        <v>2661</v>
      </c>
      <c r="D134" s="3250" t="s">
        <v>2662</v>
      </c>
      <c r="E134" s="3273">
        <v>0.1</v>
      </c>
      <c r="F134" s="3272">
        <v>15</v>
      </c>
    </row>
    <row r="135" spans="1:14" ht="24">
      <c r="A135" s="3272">
        <v>63</v>
      </c>
      <c r="B135" s="3934" t="s">
        <v>2663</v>
      </c>
      <c r="C135" s="3272" t="s">
        <v>2664</v>
      </c>
      <c r="D135" s="3250" t="s">
        <v>2665</v>
      </c>
      <c r="E135" s="3273">
        <v>0.1</v>
      </c>
      <c r="F135" s="3272">
        <v>15</v>
      </c>
    </row>
    <row r="136" spans="1:14">
      <c r="A136" s="3272">
        <v>64</v>
      </c>
      <c r="B136" s="3934"/>
      <c r="C136" s="3272" t="s">
        <v>2666</v>
      </c>
      <c r="D136" s="3250" t="s">
        <v>2667</v>
      </c>
      <c r="E136" s="3273">
        <v>0.1</v>
      </c>
      <c r="F136" s="3272">
        <v>15</v>
      </c>
    </row>
    <row r="137" spans="1:14" ht="24">
      <c r="A137" s="3272">
        <v>65</v>
      </c>
      <c r="B137" s="3272" t="s">
        <v>2668</v>
      </c>
      <c r="C137" s="3272" t="s">
        <v>2669</v>
      </c>
      <c r="D137" s="3250" t="s">
        <v>2670</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35" t="s">
        <v>2811</v>
      </c>
      <c r="B1" s="3935"/>
      <c r="C1" s="3935"/>
      <c r="D1" s="3935"/>
      <c r="E1" s="3935"/>
      <c r="F1" s="3935"/>
      <c r="G1" s="3936"/>
      <c r="I1" s="1012"/>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2812</v>
      </c>
      <c r="B2" s="3417"/>
      <c r="C2" s="3417"/>
      <c r="D2" s="3417"/>
      <c r="E2" s="3417"/>
      <c r="F2" s="3417"/>
      <c r="G2" s="3412" t="s">
        <v>2813</v>
      </c>
      <c r="J2" s="3441" t="s">
        <v>2819</v>
      </c>
      <c r="K2" s="3421" t="s">
        <v>2821</v>
      </c>
      <c r="L2" s="3421" t="s">
        <v>2823</v>
      </c>
      <c r="M2" s="3421" t="s">
        <v>2829</v>
      </c>
      <c r="N2" s="3421" t="s">
        <v>2839</v>
      </c>
      <c r="O2" s="3421" t="s">
        <v>2854</v>
      </c>
      <c r="P2" s="3421" t="s">
        <v>2891</v>
      </c>
      <c r="Q2" s="3421" t="s">
        <v>2922</v>
      </c>
      <c r="R2" s="3421" t="s">
        <v>2950</v>
      </c>
      <c r="S2" s="3421" t="s">
        <v>2985</v>
      </c>
      <c r="T2" s="3421" t="s">
        <v>3005</v>
      </c>
      <c r="U2" s="3421" t="s">
        <v>3017</v>
      </c>
    </row>
    <row r="3" spans="1:21" s="1012" customFormat="1" ht="19.5" customHeight="1">
      <c r="A3" s="3937" t="s">
        <v>2814</v>
      </c>
      <c r="B3" s="3413"/>
      <c r="C3" s="3414" t="s">
        <v>2791</v>
      </c>
      <c r="D3" s="3414" t="s">
        <v>2815</v>
      </c>
      <c r="E3" s="3414" t="s">
        <v>2793</v>
      </c>
      <c r="F3" s="3414" t="s">
        <v>2816</v>
      </c>
      <c r="G3" s="3414" t="s">
        <v>2735</v>
      </c>
      <c r="H3" s="1015"/>
      <c r="J3" s="3441" t="s">
        <v>2820</v>
      </c>
      <c r="K3" s="3421" t="s">
        <v>973</v>
      </c>
      <c r="L3" s="3421" t="s">
        <v>974</v>
      </c>
      <c r="M3" s="3421" t="s">
        <v>975</v>
      </c>
      <c r="N3" s="3421" t="s">
        <v>976</v>
      </c>
      <c r="O3" s="3421" t="s">
        <v>977</v>
      </c>
      <c r="P3" s="3421" t="s">
        <v>978</v>
      </c>
      <c r="Q3" s="3421" t="s">
        <v>979</v>
      </c>
      <c r="R3" s="3421" t="s">
        <v>980</v>
      </c>
      <c r="S3" s="3421" t="s">
        <v>981</v>
      </c>
      <c r="T3" s="3421" t="s">
        <v>3006</v>
      </c>
      <c r="U3" s="3421" t="s">
        <v>3018</v>
      </c>
    </row>
    <row r="4" spans="1:21" s="1012" customFormat="1" ht="19.5" customHeight="1" thickBot="1">
      <c r="A4" s="3938"/>
      <c r="B4" s="3415" t="s">
        <v>2817</v>
      </c>
      <c r="C4" s="3415" t="s">
        <v>2818</v>
      </c>
      <c r="D4" s="3415" t="s">
        <v>2818</v>
      </c>
      <c r="E4" s="3415" t="s">
        <v>2818</v>
      </c>
      <c r="F4" s="3416" t="s">
        <v>2818</v>
      </c>
      <c r="G4" s="3416" t="s">
        <v>2818</v>
      </c>
      <c r="H4" s="1015"/>
      <c r="J4" s="3441" t="s">
        <v>982</v>
      </c>
      <c r="K4" s="3421" t="s">
        <v>983</v>
      </c>
      <c r="L4" s="3421" t="s">
        <v>984</v>
      </c>
      <c r="M4" s="3421" t="s">
        <v>985</v>
      </c>
      <c r="N4" s="3421" t="s">
        <v>986</v>
      </c>
      <c r="O4" s="3421" t="s">
        <v>987</v>
      </c>
      <c r="P4" s="3421" t="s">
        <v>988</v>
      </c>
      <c r="Q4" s="3421" t="s">
        <v>989</v>
      </c>
      <c r="R4" s="3421" t="s">
        <v>2951</v>
      </c>
      <c r="S4" s="3421" t="s">
        <v>2986</v>
      </c>
      <c r="T4" s="3421" t="s">
        <v>3007</v>
      </c>
      <c r="U4" s="3421" t="s">
        <v>3019</v>
      </c>
    </row>
    <row r="5" spans="1:21" ht="14.25" customHeight="1">
      <c r="A5" s="3418" t="s">
        <v>990</v>
      </c>
      <c r="B5" s="3419" t="s">
        <v>2819</v>
      </c>
      <c r="C5" s="3419">
        <v>34550</v>
      </c>
      <c r="D5" s="3419">
        <v>34470</v>
      </c>
      <c r="E5" s="3419">
        <v>34330</v>
      </c>
      <c r="F5" s="3420">
        <v>13400</v>
      </c>
      <c r="G5" s="3420">
        <v>25450</v>
      </c>
      <c r="H5" s="1016" t="s">
        <v>961</v>
      </c>
      <c r="I5" s="1017">
        <f>SUMPRODUCT((B5:B9=基准地价!I2)*(C3:G3=基准地价!E2)*(C5:G9))</f>
        <v>0</v>
      </c>
      <c r="J5" s="3441" t="s">
        <v>991</v>
      </c>
      <c r="K5" s="3421" t="s">
        <v>992</v>
      </c>
      <c r="L5" s="3421" t="s">
        <v>993</v>
      </c>
      <c r="M5" s="3421" t="s">
        <v>994</v>
      </c>
      <c r="N5" s="3421" t="s">
        <v>995</v>
      </c>
      <c r="O5" s="3421" t="s">
        <v>996</v>
      </c>
      <c r="P5" s="3421" t="s">
        <v>997</v>
      </c>
      <c r="Q5" s="3421" t="s">
        <v>998</v>
      </c>
      <c r="R5" s="3421" t="s">
        <v>2952</v>
      </c>
      <c r="S5" s="3421" t="s">
        <v>2987</v>
      </c>
      <c r="T5" s="3421" t="s">
        <v>999</v>
      </c>
      <c r="U5" s="3421" t="s">
        <v>3020</v>
      </c>
    </row>
    <row r="6" spans="1:21" ht="14.25" customHeight="1">
      <c r="A6" s="3421" t="s">
        <v>990</v>
      </c>
      <c r="B6" s="3421" t="s">
        <v>2820</v>
      </c>
      <c r="C6" s="3421">
        <v>36990</v>
      </c>
      <c r="D6" s="3421">
        <v>36850</v>
      </c>
      <c r="E6" s="3421">
        <v>36700</v>
      </c>
      <c r="F6" s="3422">
        <v>14590</v>
      </c>
      <c r="G6" s="3422">
        <v>27450</v>
      </c>
      <c r="H6" s="1018" t="s">
        <v>1000</v>
      </c>
      <c r="I6" s="1019">
        <f>SUMPRODUCT((B10:B29=基准地价!I2)*(C3:G3=基准地价!E2)*(C10:G29))</f>
        <v>0</v>
      </c>
      <c r="J6" s="3441" t="s">
        <v>1001</v>
      </c>
      <c r="K6" s="3421" t="s">
        <v>1002</v>
      </c>
      <c r="L6" s="3421" t="s">
        <v>1003</v>
      </c>
      <c r="M6" s="3421" t="s">
        <v>1004</v>
      </c>
      <c r="N6" s="3421" t="s">
        <v>1005</v>
      </c>
      <c r="O6" s="3421" t="s">
        <v>1006</v>
      </c>
      <c r="P6" s="3421" t="s">
        <v>1007</v>
      </c>
      <c r="Q6" s="3421" t="s">
        <v>2923</v>
      </c>
      <c r="R6" s="3421" t="s">
        <v>2953</v>
      </c>
      <c r="S6" s="3421" t="s">
        <v>1008</v>
      </c>
      <c r="T6" s="3421" t="s">
        <v>3008</v>
      </c>
      <c r="U6" s="3421" t="s">
        <v>3021</v>
      </c>
    </row>
    <row r="7" spans="1:21" ht="14.25" customHeight="1">
      <c r="A7" s="3421" t="s">
        <v>990</v>
      </c>
      <c r="B7" s="1289" t="s">
        <v>982</v>
      </c>
      <c r="C7" s="3421">
        <v>34850</v>
      </c>
      <c r="D7" s="3421">
        <v>34690</v>
      </c>
      <c r="E7" s="3421">
        <v>34550</v>
      </c>
      <c r="F7" s="3422">
        <v>14360</v>
      </c>
      <c r="G7" s="3422">
        <v>25620</v>
      </c>
      <c r="H7" s="1018" t="s">
        <v>838</v>
      </c>
      <c r="I7" s="1019">
        <f>SUMPRODUCT((B30:B54=基准地价!I2)*(C3:G3=基准地价!E2)*(C30:G54))</f>
        <v>0</v>
      </c>
      <c r="K7" s="3421" t="s">
        <v>1009</v>
      </c>
      <c r="L7" s="3421" t="s">
        <v>1010</v>
      </c>
      <c r="M7" s="3421" t="s">
        <v>1011</v>
      </c>
      <c r="N7" s="3421" t="s">
        <v>1012</v>
      </c>
      <c r="O7" s="3421" t="s">
        <v>1013</v>
      </c>
      <c r="P7" s="3421" t="s">
        <v>1014</v>
      </c>
      <c r="Q7" s="3421" t="s">
        <v>2924</v>
      </c>
      <c r="R7" s="3421" t="s">
        <v>2954</v>
      </c>
      <c r="S7" s="3421" t="s">
        <v>2988</v>
      </c>
      <c r="T7" s="3421" t="s">
        <v>3009</v>
      </c>
      <c r="U7" s="1289" t="s">
        <v>3022</v>
      </c>
    </row>
    <row r="8" spans="1:21" ht="14.25" customHeight="1">
      <c r="A8" s="3421" t="s">
        <v>990</v>
      </c>
      <c r="B8" s="3421" t="s">
        <v>991</v>
      </c>
      <c r="C8" s="3421">
        <v>32630</v>
      </c>
      <c r="D8" s="3421">
        <v>32510</v>
      </c>
      <c r="E8" s="3421">
        <v>32420</v>
      </c>
      <c r="F8" s="3422">
        <v>13300</v>
      </c>
      <c r="G8" s="3422">
        <v>24010</v>
      </c>
      <c r="H8" s="1018" t="s">
        <v>839</v>
      </c>
      <c r="I8" s="1019">
        <f>SUMPRODUCT((B55:B86=基准地价!I2)*(C3:G3=基准地价!E2)*(C55:G86))</f>
        <v>0</v>
      </c>
      <c r="K8" s="3421" t="s">
        <v>1015</v>
      </c>
      <c r="L8" s="3421" t="s">
        <v>1016</v>
      </c>
      <c r="M8" s="3421" t="s">
        <v>1017</v>
      </c>
      <c r="N8" s="3421" t="s">
        <v>1018</v>
      </c>
      <c r="O8" s="3421" t="s">
        <v>1019</v>
      </c>
      <c r="P8" s="3421" t="s">
        <v>1020</v>
      </c>
      <c r="Q8" s="3421" t="s">
        <v>2925</v>
      </c>
      <c r="R8" s="3421" t="s">
        <v>1021</v>
      </c>
      <c r="S8" s="3421" t="s">
        <v>2989</v>
      </c>
      <c r="T8" s="3421" t="s">
        <v>3010</v>
      </c>
      <c r="U8" s="3421" t="s">
        <v>3023</v>
      </c>
    </row>
    <row r="9" spans="1:21" ht="14.25" customHeight="1" thickBot="1">
      <c r="A9" s="3435" t="s">
        <v>990</v>
      </c>
      <c r="B9" s="3423" t="s">
        <v>1001</v>
      </c>
      <c r="C9" s="3424">
        <v>36370</v>
      </c>
      <c r="D9" s="3424">
        <v>36210</v>
      </c>
      <c r="E9" s="3424">
        <v>36050</v>
      </c>
      <c r="F9" s="3425"/>
      <c r="G9" s="3426">
        <v>26740</v>
      </c>
      <c r="H9" s="1018" t="s">
        <v>840</v>
      </c>
      <c r="I9" s="1019">
        <f>SUMPRODUCT((B87:B126=基准地价!I2)*(C3:G3=基准地价!E2)*(C87:G126))</f>
        <v>0</v>
      </c>
      <c r="K9" s="3421" t="s">
        <v>1022</v>
      </c>
      <c r="L9" s="3421" t="s">
        <v>1023</v>
      </c>
      <c r="M9" s="3421" t="s">
        <v>1024</v>
      </c>
      <c r="N9" s="3421" t="s">
        <v>1025</v>
      </c>
      <c r="O9" s="3421" t="s">
        <v>1026</v>
      </c>
      <c r="P9" s="3421" t="s">
        <v>1027</v>
      </c>
      <c r="Q9" s="3421" t="s">
        <v>2926</v>
      </c>
      <c r="R9" s="3421" t="s">
        <v>1029</v>
      </c>
      <c r="S9" s="3421" t="s">
        <v>1030</v>
      </c>
      <c r="T9" s="3421" t="s">
        <v>1047</v>
      </c>
    </row>
    <row r="10" spans="1:21" ht="14.25" customHeight="1">
      <c r="A10" s="3418" t="s">
        <v>1031</v>
      </c>
      <c r="B10" s="3419" t="s">
        <v>2821</v>
      </c>
      <c r="C10" s="3419">
        <v>32350</v>
      </c>
      <c r="D10" s="3419">
        <v>31430</v>
      </c>
      <c r="E10" s="3419">
        <v>31320</v>
      </c>
      <c r="F10" s="3420">
        <v>10850</v>
      </c>
      <c r="G10" s="3420">
        <v>22860</v>
      </c>
      <c r="H10" s="1018" t="s">
        <v>841</v>
      </c>
      <c r="I10" s="1019">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3011</v>
      </c>
    </row>
    <row r="11" spans="1:21" ht="14.25" customHeight="1">
      <c r="A11" s="3421" t="s">
        <v>1031</v>
      </c>
      <c r="B11" s="1289" t="s">
        <v>973</v>
      </c>
      <c r="C11" s="3421">
        <v>31590</v>
      </c>
      <c r="D11" s="3421">
        <v>29490</v>
      </c>
      <c r="E11" s="3421">
        <v>28700</v>
      </c>
      <c r="F11" s="3427">
        <v>10410</v>
      </c>
      <c r="G11" s="3427">
        <v>21460</v>
      </c>
      <c r="H11" s="1018" t="s">
        <v>842</v>
      </c>
      <c r="I11" s="1019">
        <f>SUMPRODUCT((B190:B233=基准地价!I2)*(C3:G3=基准地价!E2)*(C190:G233))</f>
        <v>0</v>
      </c>
      <c r="K11" s="3421" t="s">
        <v>1041</v>
      </c>
      <c r="L11" s="3421" t="s">
        <v>1042</v>
      </c>
      <c r="M11" s="3421" t="s">
        <v>1043</v>
      </c>
      <c r="N11" s="3421" t="s">
        <v>1044</v>
      </c>
      <c r="O11" s="3421" t="s">
        <v>1045</v>
      </c>
      <c r="P11" s="3421" t="s">
        <v>2892</v>
      </c>
      <c r="Q11" s="3421" t="s">
        <v>1038</v>
      </c>
      <c r="R11" s="3421" t="s">
        <v>1046</v>
      </c>
      <c r="S11" s="3421" t="s">
        <v>2990</v>
      </c>
      <c r="T11" s="3421" t="s">
        <v>3012</v>
      </c>
    </row>
    <row r="12" spans="1:21" ht="14.25" customHeight="1">
      <c r="A12" s="3421" t="s">
        <v>1031</v>
      </c>
      <c r="B12" s="1289" t="s">
        <v>983</v>
      </c>
      <c r="C12" s="3421">
        <v>29640</v>
      </c>
      <c r="D12" s="3421">
        <v>27550</v>
      </c>
      <c r="E12" s="3421">
        <v>28010</v>
      </c>
      <c r="F12" s="3427">
        <v>8730</v>
      </c>
      <c r="G12" s="3427">
        <v>20050</v>
      </c>
      <c r="H12" s="1018" t="s">
        <v>843</v>
      </c>
      <c r="I12" s="1019">
        <f>SUMPRODUCT((B234:B276=基准地价!I2)*(C3:G3=基准地价!E2)*(C234:G276))</f>
        <v>1150</v>
      </c>
      <c r="K12" s="3421" t="s">
        <v>1048</v>
      </c>
      <c r="L12" s="3421" t="s">
        <v>1049</v>
      </c>
      <c r="M12" s="3421" t="s">
        <v>1050</v>
      </c>
      <c r="N12" s="3421" t="s">
        <v>1051</v>
      </c>
      <c r="O12" s="3421" t="s">
        <v>1052</v>
      </c>
      <c r="P12" s="3421" t="s">
        <v>2893</v>
      </c>
      <c r="Q12" s="3421" t="s">
        <v>2927</v>
      </c>
      <c r="R12" s="3421" t="s">
        <v>2955</v>
      </c>
      <c r="S12" s="3421" t="s">
        <v>2991</v>
      </c>
      <c r="T12" s="3421" t="s">
        <v>3013</v>
      </c>
    </row>
    <row r="13" spans="1:21" ht="14.25" customHeight="1">
      <c r="A13" s="3421" t="s">
        <v>1031</v>
      </c>
      <c r="B13" s="1289" t="s">
        <v>992</v>
      </c>
      <c r="C13" s="3421">
        <v>29680</v>
      </c>
      <c r="D13" s="3421">
        <v>27660</v>
      </c>
      <c r="E13" s="3421">
        <v>28210</v>
      </c>
      <c r="F13" s="3427">
        <v>9590</v>
      </c>
      <c r="G13" s="3427">
        <v>20120</v>
      </c>
      <c r="H13" s="1018" t="s">
        <v>844</v>
      </c>
      <c r="I13" s="1019">
        <f>SUMPRODUCT((B277:B326=基准地价!I2)*(C3:G3=基准地价!E2)*(C277:G326))</f>
        <v>0</v>
      </c>
      <c r="K13" s="3421" t="s">
        <v>1055</v>
      </c>
      <c r="L13" s="3421" t="s">
        <v>1056</v>
      </c>
      <c r="M13" s="3421" t="s">
        <v>1057</v>
      </c>
      <c r="N13" s="3421" t="s">
        <v>1058</v>
      </c>
      <c r="O13" s="3421" t="s">
        <v>1059</v>
      </c>
      <c r="P13" s="3421" t="s">
        <v>2894</v>
      </c>
      <c r="Q13" s="3421" t="s">
        <v>1053</v>
      </c>
      <c r="R13" s="3421" t="s">
        <v>1067</v>
      </c>
      <c r="S13" s="3421" t="s">
        <v>1068</v>
      </c>
      <c r="T13" s="3421" t="s">
        <v>1061</v>
      </c>
    </row>
    <row r="14" spans="1:21" ht="14.25" customHeight="1">
      <c r="A14" s="3421" t="s">
        <v>1031</v>
      </c>
      <c r="B14" s="1289" t="s">
        <v>1002</v>
      </c>
      <c r="C14" s="3421">
        <v>30520</v>
      </c>
      <c r="D14" s="3421">
        <v>29510</v>
      </c>
      <c r="E14" s="3421">
        <v>29400</v>
      </c>
      <c r="F14" s="3427">
        <v>9630</v>
      </c>
      <c r="G14" s="3427">
        <v>21480</v>
      </c>
      <c r="H14" s="1018" t="s">
        <v>845</v>
      </c>
      <c r="I14" s="1019">
        <f>SUMPRODUCT((B327:B357=基准地价!I2)*(C3:G3=基准地价!E2)*(C327:G357))</f>
        <v>0</v>
      </c>
      <c r="K14" s="3421" t="s">
        <v>1062</v>
      </c>
      <c r="L14" s="3421" t="s">
        <v>1063</v>
      </c>
      <c r="M14" s="3421" t="s">
        <v>1064</v>
      </c>
      <c r="N14" s="3421" t="s">
        <v>1065</v>
      </c>
      <c r="O14" s="3421" t="s">
        <v>1066</v>
      </c>
      <c r="P14" s="3421" t="s">
        <v>1088</v>
      </c>
      <c r="Q14" s="3421" t="s">
        <v>1060</v>
      </c>
      <c r="R14" s="3421" t="s">
        <v>2956</v>
      </c>
      <c r="S14" s="3421" t="s">
        <v>1076</v>
      </c>
      <c r="T14" s="3421" t="s">
        <v>1069</v>
      </c>
    </row>
    <row r="15" spans="1:21" ht="14.25" customHeight="1">
      <c r="A15" s="3421" t="s">
        <v>1031</v>
      </c>
      <c r="B15" s="1289" t="s">
        <v>1009</v>
      </c>
      <c r="C15" s="3421">
        <v>29090</v>
      </c>
      <c r="D15" s="3421">
        <v>27590</v>
      </c>
      <c r="E15" s="3421">
        <v>28120</v>
      </c>
      <c r="F15" s="3427">
        <v>9110</v>
      </c>
      <c r="G15" s="3427">
        <v>20070</v>
      </c>
      <c r="H15" s="1018" t="s">
        <v>846</v>
      </c>
      <c r="I15" s="1019">
        <f>SUMPRODUCT((B358:B377=基准地价!I2)*(C3:G3=基准地价!E2)*(C358:G377))</f>
        <v>0</v>
      </c>
      <c r="K15" s="3421" t="s">
        <v>1070</v>
      </c>
      <c r="L15" s="3421" t="s">
        <v>1071</v>
      </c>
      <c r="M15" s="3421" t="s">
        <v>1072</v>
      </c>
      <c r="N15" s="3421" t="s">
        <v>1073</v>
      </c>
      <c r="O15" s="3421" t="s">
        <v>1074</v>
      </c>
      <c r="P15" s="3421" t="s">
        <v>2895</v>
      </c>
      <c r="Q15" s="3421" t="s">
        <v>2928</v>
      </c>
      <c r="R15" s="3421" t="s">
        <v>1090</v>
      </c>
      <c r="S15" s="3421" t="s">
        <v>2992</v>
      </c>
      <c r="T15" s="3421" t="s">
        <v>1077</v>
      </c>
    </row>
    <row r="16" spans="1:21" ht="14.25" customHeight="1" thickBot="1">
      <c r="A16" s="3421" t="s">
        <v>1031</v>
      </c>
      <c r="B16" s="1289" t="s">
        <v>1015</v>
      </c>
      <c r="C16" s="3421">
        <v>26790</v>
      </c>
      <c r="D16" s="3421">
        <v>30370</v>
      </c>
      <c r="E16" s="3421">
        <v>30240</v>
      </c>
      <c r="F16" s="3427">
        <v>11590</v>
      </c>
      <c r="G16" s="3427">
        <v>22090</v>
      </c>
      <c r="H16" s="1020" t="s">
        <v>847</v>
      </c>
      <c r="I16" s="1021">
        <f>SUMPRODUCT((B378:B384=基准地价!I2)*(C3:G3=基准地价!E2)*(C378:G384))</f>
        <v>0</v>
      </c>
      <c r="K16" s="3421" t="s">
        <v>1078</v>
      </c>
      <c r="L16" s="3421" t="s">
        <v>1079</v>
      </c>
      <c r="M16" s="3421" t="s">
        <v>1080</v>
      </c>
      <c r="N16" s="3421" t="s">
        <v>1081</v>
      </c>
      <c r="O16" s="3421" t="s">
        <v>1082</v>
      </c>
      <c r="P16" s="3421" t="s">
        <v>2896</v>
      </c>
      <c r="Q16" s="3421" t="s">
        <v>1075</v>
      </c>
      <c r="R16" s="3421" t="s">
        <v>1098</v>
      </c>
      <c r="S16" s="3421" t="s">
        <v>1054</v>
      </c>
      <c r="T16" s="3421" t="s">
        <v>3014</v>
      </c>
    </row>
    <row r="17" spans="1:20" ht="14.25" customHeight="1">
      <c r="A17" s="3421" t="s">
        <v>1031</v>
      </c>
      <c r="B17" s="1289" t="s">
        <v>1022</v>
      </c>
      <c r="C17" s="3421">
        <v>29180</v>
      </c>
      <c r="D17" s="3421">
        <v>27620</v>
      </c>
      <c r="E17" s="3421">
        <v>28180</v>
      </c>
      <c r="F17" s="3427">
        <v>10790</v>
      </c>
      <c r="G17" s="3428">
        <v>20090</v>
      </c>
      <c r="I17" s="1022"/>
      <c r="K17" s="3421" t="s">
        <v>1083</v>
      </c>
      <c r="L17" s="3421" t="s">
        <v>1084</v>
      </c>
      <c r="M17" s="3421" t="s">
        <v>1085</v>
      </c>
      <c r="N17" s="3421" t="s">
        <v>1086</v>
      </c>
      <c r="O17" s="3421" t="s">
        <v>1087</v>
      </c>
      <c r="P17" s="3421" t="s">
        <v>2897</v>
      </c>
      <c r="Q17" s="3421" t="s">
        <v>2929</v>
      </c>
      <c r="R17" s="3421" t="s">
        <v>1104</v>
      </c>
      <c r="S17" s="3421" t="s">
        <v>2993</v>
      </c>
      <c r="T17" s="3421" t="s">
        <v>1106</v>
      </c>
    </row>
    <row r="18" spans="1:20" ht="14.25" customHeight="1">
      <c r="A18" s="3421" t="s">
        <v>1031</v>
      </c>
      <c r="B18" s="1289" t="s">
        <v>1032</v>
      </c>
      <c r="C18" s="3421">
        <v>26840</v>
      </c>
      <c r="D18" s="3421">
        <v>28930</v>
      </c>
      <c r="E18" s="3421">
        <v>28820</v>
      </c>
      <c r="F18" s="3427"/>
      <c r="G18" s="3428">
        <v>21050</v>
      </c>
      <c r="I18" s="1022"/>
      <c r="K18" s="3421" t="s">
        <v>1092</v>
      </c>
      <c r="L18" s="3421" t="s">
        <v>1093</v>
      </c>
      <c r="M18" s="3421" t="s">
        <v>1094</v>
      </c>
      <c r="N18" s="3421" t="s">
        <v>1095</v>
      </c>
      <c r="O18" s="3421" t="s">
        <v>1096</v>
      </c>
      <c r="P18" s="3421" t="s">
        <v>2898</v>
      </c>
      <c r="Q18" s="3421" t="s">
        <v>1089</v>
      </c>
      <c r="R18" s="3421" t="s">
        <v>2957</v>
      </c>
      <c r="S18" s="3421" t="s">
        <v>1105</v>
      </c>
      <c r="T18" s="3421" t="s">
        <v>1114</v>
      </c>
    </row>
    <row r="19" spans="1:20" ht="14.25" customHeight="1">
      <c r="A19" s="3421" t="s">
        <v>1031</v>
      </c>
      <c r="B19" s="1289" t="s">
        <v>1041</v>
      </c>
      <c r="C19" s="3421">
        <v>27750</v>
      </c>
      <c r="D19" s="3421">
        <v>26680</v>
      </c>
      <c r="E19" s="3421">
        <v>26590</v>
      </c>
      <c r="F19" s="3427"/>
      <c r="G19" s="3428">
        <v>19420</v>
      </c>
      <c r="I19" s="1022"/>
      <c r="K19" s="3421" t="s">
        <v>1099</v>
      </c>
      <c r="L19" s="3421" t="s">
        <v>1100</v>
      </c>
      <c r="M19" s="3421" t="s">
        <v>1101</v>
      </c>
      <c r="N19" s="3421" t="s">
        <v>1102</v>
      </c>
      <c r="O19" s="3421" t="s">
        <v>1103</v>
      </c>
      <c r="P19" s="3421" t="s">
        <v>2899</v>
      </c>
      <c r="Q19" s="3421" t="s">
        <v>1097</v>
      </c>
      <c r="R19" s="3421" t="s">
        <v>2958</v>
      </c>
      <c r="S19" s="3421" t="s">
        <v>1113</v>
      </c>
      <c r="T19" s="3421" t="s">
        <v>3015</v>
      </c>
    </row>
    <row r="20" spans="1:20" ht="14.25" customHeight="1">
      <c r="A20" s="3421" t="s">
        <v>1031</v>
      </c>
      <c r="B20" s="1289" t="s">
        <v>1048</v>
      </c>
      <c r="C20" s="3421">
        <v>27050</v>
      </c>
      <c r="D20" s="3421">
        <v>29010</v>
      </c>
      <c r="E20" s="3421">
        <v>28910</v>
      </c>
      <c r="F20" s="3427"/>
      <c r="G20" s="3428">
        <v>21110</v>
      </c>
      <c r="K20" s="3421" t="s">
        <v>1107</v>
      </c>
      <c r="L20" s="3421" t="s">
        <v>1108</v>
      </c>
      <c r="M20" s="3421" t="s">
        <v>1109</v>
      </c>
      <c r="N20" s="3421" t="s">
        <v>1110</v>
      </c>
      <c r="O20" s="3421" t="s">
        <v>1111</v>
      </c>
      <c r="P20" s="3421" t="s">
        <v>2900</v>
      </c>
      <c r="Q20" s="3421" t="s">
        <v>2930</v>
      </c>
      <c r="R20" s="3421" t="s">
        <v>1139</v>
      </c>
      <c r="S20" s="3421" t="s">
        <v>2994</v>
      </c>
      <c r="T20" s="3421" t="s">
        <v>1126</v>
      </c>
    </row>
    <row r="21" spans="1:20" ht="14.25" customHeight="1">
      <c r="A21" s="3421" t="s">
        <v>1031</v>
      </c>
      <c r="B21" s="1289" t="s">
        <v>1055</v>
      </c>
      <c r="C21" s="3421">
        <v>32370</v>
      </c>
      <c r="D21" s="3421">
        <v>26730</v>
      </c>
      <c r="E21" s="3421">
        <v>26640</v>
      </c>
      <c r="F21" s="3427"/>
      <c r="G21" s="3428">
        <v>19440</v>
      </c>
      <c r="K21" s="3430" t="s">
        <v>2822</v>
      </c>
      <c r="L21" s="3421" t="s">
        <v>1115</v>
      </c>
      <c r="M21" s="3421" t="s">
        <v>1116</v>
      </c>
      <c r="N21" s="3421" t="s">
        <v>1117</v>
      </c>
      <c r="O21" s="3421" t="s">
        <v>1118</v>
      </c>
      <c r="P21" s="3421" t="s">
        <v>1112</v>
      </c>
      <c r="Q21" s="3421" t="s">
        <v>1132</v>
      </c>
      <c r="R21" s="3421" t="s">
        <v>1142</v>
      </c>
      <c r="S21" s="3421" t="s">
        <v>2995</v>
      </c>
      <c r="T21" s="3421" t="s">
        <v>3016</v>
      </c>
    </row>
    <row r="22" spans="1:20" ht="14.25" customHeight="1">
      <c r="A22" s="3421" t="s">
        <v>1031</v>
      </c>
      <c r="B22" s="1289" t="s">
        <v>1062</v>
      </c>
      <c r="C22" s="3421">
        <v>29830</v>
      </c>
      <c r="D22" s="3421">
        <v>27600</v>
      </c>
      <c r="E22" s="3421">
        <v>28150</v>
      </c>
      <c r="F22" s="3427"/>
      <c r="G22" s="3428">
        <v>20080</v>
      </c>
      <c r="L22" s="3430" t="s">
        <v>2824</v>
      </c>
      <c r="M22" s="3421" t="s">
        <v>1120</v>
      </c>
      <c r="N22" s="3421" t="s">
        <v>1121</v>
      </c>
      <c r="O22" s="3421" t="s">
        <v>1122</v>
      </c>
      <c r="P22" s="3421" t="s">
        <v>2901</v>
      </c>
      <c r="Q22" s="3421" t="s">
        <v>1135</v>
      </c>
      <c r="R22" s="3421" t="s">
        <v>1144</v>
      </c>
      <c r="S22" s="3421" t="s">
        <v>1091</v>
      </c>
      <c r="T22" s="1289"/>
    </row>
    <row r="23" spans="1:20" ht="14.25" customHeight="1">
      <c r="A23" s="3421" t="s">
        <v>1031</v>
      </c>
      <c r="B23" s="1289" t="s">
        <v>1070</v>
      </c>
      <c r="C23" s="3421">
        <v>27800</v>
      </c>
      <c r="D23" s="3421">
        <v>26900</v>
      </c>
      <c r="E23" s="3421">
        <v>27170</v>
      </c>
      <c r="F23" s="3427"/>
      <c r="G23" s="3428">
        <v>19570</v>
      </c>
      <c r="L23" s="3430" t="s">
        <v>2825</v>
      </c>
      <c r="M23" s="3421" t="s">
        <v>1127</v>
      </c>
      <c r="N23" s="3421" t="s">
        <v>1128</v>
      </c>
      <c r="O23" s="3421" t="s">
        <v>2855</v>
      </c>
      <c r="P23" s="3421" t="s">
        <v>2902</v>
      </c>
      <c r="Q23" s="3421" t="s">
        <v>1138</v>
      </c>
      <c r="R23" s="3421" t="s">
        <v>1147</v>
      </c>
      <c r="S23" s="3421" t="s">
        <v>2996</v>
      </c>
    </row>
    <row r="24" spans="1:20" ht="14.25" customHeight="1">
      <c r="A24" s="3421" t="s">
        <v>1031</v>
      </c>
      <c r="B24" s="1289" t="s">
        <v>1078</v>
      </c>
      <c r="C24" s="3421">
        <v>27930</v>
      </c>
      <c r="D24" s="3421">
        <v>32260</v>
      </c>
      <c r="E24" s="3421">
        <v>32120</v>
      </c>
      <c r="F24" s="3427"/>
      <c r="G24" s="3428">
        <v>23470</v>
      </c>
      <c r="L24" s="3430" t="s">
        <v>2826</v>
      </c>
      <c r="M24" s="3421" t="s">
        <v>1130</v>
      </c>
      <c r="N24" s="3421" t="s">
        <v>1131</v>
      </c>
      <c r="O24" s="3421" t="s">
        <v>2856</v>
      </c>
      <c r="P24" s="3421" t="s">
        <v>1134</v>
      </c>
      <c r="Q24" s="3421" t="s">
        <v>2931</v>
      </c>
      <c r="R24" s="3421" t="s">
        <v>2959</v>
      </c>
      <c r="S24" s="3421" t="s">
        <v>2997</v>
      </c>
    </row>
    <row r="25" spans="1:20" ht="14.25" customHeight="1">
      <c r="A25" s="3421" t="s">
        <v>1031</v>
      </c>
      <c r="B25" s="1289" t="s">
        <v>1083</v>
      </c>
      <c r="C25" s="3421">
        <v>32230</v>
      </c>
      <c r="D25" s="3421">
        <v>29640</v>
      </c>
      <c r="E25" s="3421">
        <v>29510</v>
      </c>
      <c r="F25" s="3427"/>
      <c r="G25" s="3428">
        <v>21560</v>
      </c>
      <c r="L25" s="3430" t="s">
        <v>2827</v>
      </c>
      <c r="M25" s="3421" t="s">
        <v>2830</v>
      </c>
      <c r="N25" s="3421" t="s">
        <v>1133</v>
      </c>
      <c r="O25" s="3421" t="s">
        <v>1141</v>
      </c>
      <c r="P25" s="3421" t="s">
        <v>1137</v>
      </c>
      <c r="Q25" s="3421" t="s">
        <v>1124</v>
      </c>
      <c r="R25" s="3421" t="s">
        <v>1119</v>
      </c>
      <c r="S25" s="3421" t="s">
        <v>2998</v>
      </c>
    </row>
    <row r="26" spans="1:20" ht="14.25" customHeight="1">
      <c r="A26" s="3421" t="s">
        <v>1031</v>
      </c>
      <c r="B26" s="1289" t="s">
        <v>1092</v>
      </c>
      <c r="C26" s="3421">
        <v>31690</v>
      </c>
      <c r="D26" s="3421">
        <v>27650</v>
      </c>
      <c r="E26" s="3421">
        <v>28200</v>
      </c>
      <c r="F26" s="3427"/>
      <c r="G26" s="3428">
        <v>20110</v>
      </c>
      <c r="L26" s="3430" t="s">
        <v>2828</v>
      </c>
      <c r="M26" s="3421" t="s">
        <v>2831</v>
      </c>
      <c r="N26" s="3421" t="s">
        <v>1136</v>
      </c>
      <c r="O26" s="3421" t="s">
        <v>1143</v>
      </c>
      <c r="P26" s="3421" t="s">
        <v>2903</v>
      </c>
      <c r="Q26" s="3421" t="s">
        <v>2932</v>
      </c>
      <c r="R26" s="3421" t="s">
        <v>1125</v>
      </c>
      <c r="S26" s="3421" t="s">
        <v>2999</v>
      </c>
    </row>
    <row r="27" spans="1:20" ht="14.25" customHeight="1">
      <c r="A27" s="3421" t="s">
        <v>1031</v>
      </c>
      <c r="B27" s="1289" t="s">
        <v>1099</v>
      </c>
      <c r="C27" s="3421">
        <v>29610</v>
      </c>
      <c r="D27" s="3421">
        <v>27770</v>
      </c>
      <c r="E27" s="3421">
        <v>28300</v>
      </c>
      <c r="F27" s="3427"/>
      <c r="G27" s="3428">
        <v>20210</v>
      </c>
      <c r="M27" s="3421" t="s">
        <v>2832</v>
      </c>
      <c r="N27" s="3421" t="s">
        <v>1140</v>
      </c>
      <c r="O27" s="3421" t="s">
        <v>1146</v>
      </c>
      <c r="P27" s="3421" t="s">
        <v>1123</v>
      </c>
      <c r="Q27" s="3421" t="s">
        <v>2933</v>
      </c>
      <c r="R27" s="3421" t="s">
        <v>2960</v>
      </c>
      <c r="S27" s="3421" t="s">
        <v>3000</v>
      </c>
    </row>
    <row r="28" spans="1:20" ht="14.25" customHeight="1">
      <c r="A28" s="3435" t="s">
        <v>1031</v>
      </c>
      <c r="B28" s="2600" t="s">
        <v>1107</v>
      </c>
      <c r="C28" s="1287"/>
      <c r="D28" s="1287">
        <v>31520</v>
      </c>
      <c r="E28" s="1287">
        <v>31410</v>
      </c>
      <c r="F28" s="3432"/>
      <c r="G28" s="3433">
        <v>22940</v>
      </c>
      <c r="M28" s="3421" t="s">
        <v>2833</v>
      </c>
      <c r="N28" s="3421" t="s">
        <v>2840</v>
      </c>
      <c r="O28" s="3421" t="s">
        <v>2857</v>
      </c>
      <c r="P28" s="3421" t="s">
        <v>2904</v>
      </c>
      <c r="Q28" s="3421" t="s">
        <v>2934</v>
      </c>
      <c r="R28" s="3421" t="s">
        <v>2961</v>
      </c>
      <c r="S28" s="3430" t="s">
        <v>3001</v>
      </c>
    </row>
    <row r="29" spans="1:20" ht="14.25" customHeight="1" thickBot="1">
      <c r="A29" s="3436" t="s">
        <v>1031</v>
      </c>
      <c r="B29" s="3424" t="s">
        <v>2822</v>
      </c>
      <c r="C29" s="3424"/>
      <c r="D29" s="3424">
        <v>29460</v>
      </c>
      <c r="E29" s="3424">
        <v>28640</v>
      </c>
      <c r="F29" s="3425"/>
      <c r="G29" s="3437">
        <v>21430</v>
      </c>
      <c r="M29" s="3430" t="s">
        <v>2834</v>
      </c>
      <c r="N29" s="3421" t="s">
        <v>2841</v>
      </c>
      <c r="O29" s="3421" t="s">
        <v>2858</v>
      </c>
      <c r="P29" s="3421" t="s">
        <v>2905</v>
      </c>
      <c r="Q29" s="3421" t="s">
        <v>2935</v>
      </c>
      <c r="R29" s="3421" t="s">
        <v>2962</v>
      </c>
      <c r="S29" s="3430" t="s">
        <v>1129</v>
      </c>
    </row>
    <row r="30" spans="1:20" ht="14.25" customHeight="1">
      <c r="A30" s="3435" t="s">
        <v>1145</v>
      </c>
      <c r="B30" s="1289" t="s">
        <v>2823</v>
      </c>
      <c r="C30" s="1289">
        <v>26890</v>
      </c>
      <c r="D30" s="1289">
        <v>26770</v>
      </c>
      <c r="E30" s="1289">
        <v>25700</v>
      </c>
      <c r="F30" s="3422">
        <v>8180</v>
      </c>
      <c r="G30" s="3422">
        <v>18740</v>
      </c>
      <c r="I30" s="1022"/>
      <c r="M30" s="3430" t="s">
        <v>2835</v>
      </c>
      <c r="N30" s="3421" t="s">
        <v>2842</v>
      </c>
      <c r="O30" s="3421" t="s">
        <v>2859</v>
      </c>
      <c r="P30" s="3421" t="s">
        <v>2906</v>
      </c>
      <c r="Q30" s="3421" t="s">
        <v>2936</v>
      </c>
      <c r="R30" s="3421" t="s">
        <v>2963</v>
      </c>
      <c r="S30" s="3430" t="s">
        <v>3002</v>
      </c>
    </row>
    <row r="31" spans="1:20" ht="14.25" customHeight="1">
      <c r="A31" s="3421" t="s">
        <v>1145</v>
      </c>
      <c r="B31" s="1289" t="s">
        <v>974</v>
      </c>
      <c r="C31" s="3421">
        <v>24550</v>
      </c>
      <c r="D31" s="3421">
        <v>23990</v>
      </c>
      <c r="E31" s="3421">
        <v>22930</v>
      </c>
      <c r="F31" s="3427">
        <v>7470</v>
      </c>
      <c r="G31" s="3427">
        <v>16790</v>
      </c>
      <c r="I31" s="1022"/>
      <c r="M31" s="3430" t="s">
        <v>2836</v>
      </c>
      <c r="N31" s="3421" t="s">
        <v>2843</v>
      </c>
      <c r="O31" s="3421" t="s">
        <v>2860</v>
      </c>
      <c r="P31" s="3421" t="s">
        <v>2907</v>
      </c>
      <c r="Q31" s="3421" t="s">
        <v>2937</v>
      </c>
      <c r="R31" s="3421" t="s">
        <v>2964</v>
      </c>
      <c r="S31" s="3430" t="s">
        <v>3003</v>
      </c>
    </row>
    <row r="32" spans="1:20" ht="14.25" customHeight="1">
      <c r="A32" s="3421" t="s">
        <v>1145</v>
      </c>
      <c r="B32" s="1289" t="s">
        <v>984</v>
      </c>
      <c r="C32" s="3421">
        <v>27210</v>
      </c>
      <c r="D32" s="3421">
        <v>23240</v>
      </c>
      <c r="E32" s="3421">
        <v>23260</v>
      </c>
      <c r="F32" s="3427">
        <v>7130</v>
      </c>
      <c r="G32" s="3427">
        <v>16270</v>
      </c>
      <c r="I32" s="1022"/>
      <c r="M32" s="3430" t="s">
        <v>2837</v>
      </c>
      <c r="N32" s="3421" t="s">
        <v>2844</v>
      </c>
      <c r="O32" s="3421" t="s">
        <v>1149</v>
      </c>
      <c r="P32" s="3421" t="s">
        <v>2908</v>
      </c>
      <c r="Q32" s="3421" t="s">
        <v>1148</v>
      </c>
      <c r="R32" s="3421" t="s">
        <v>2965</v>
      </c>
      <c r="S32" s="3430" t="s">
        <v>3004</v>
      </c>
    </row>
    <row r="33" spans="1:18" ht="14.25" customHeight="1">
      <c r="A33" s="3421" t="s">
        <v>1145</v>
      </c>
      <c r="B33" s="1289" t="s">
        <v>993</v>
      </c>
      <c r="C33" s="3421">
        <v>27300</v>
      </c>
      <c r="D33" s="3421">
        <v>22980</v>
      </c>
      <c r="E33" s="3421">
        <v>24260</v>
      </c>
      <c r="F33" s="3427">
        <v>5860</v>
      </c>
      <c r="G33" s="3427">
        <v>16090</v>
      </c>
      <c r="I33" s="1022"/>
      <c r="M33" s="3430" t="s">
        <v>2838</v>
      </c>
      <c r="N33" s="3421" t="s">
        <v>2845</v>
      </c>
      <c r="O33" s="3421" t="s">
        <v>1150</v>
      </c>
      <c r="P33" s="3421" t="s">
        <v>2909</v>
      </c>
      <c r="Q33" s="3421" t="s">
        <v>2938</v>
      </c>
      <c r="R33" s="3421" t="s">
        <v>2966</v>
      </c>
    </row>
    <row r="34" spans="1:18" ht="14.25" customHeight="1">
      <c r="A34" s="3421" t="s">
        <v>1145</v>
      </c>
      <c r="B34" s="1289" t="s">
        <v>1003</v>
      </c>
      <c r="C34" s="3421">
        <v>23090</v>
      </c>
      <c r="D34" s="3421">
        <v>23390</v>
      </c>
      <c r="E34" s="3421">
        <v>23510</v>
      </c>
      <c r="F34" s="3427">
        <v>6700</v>
      </c>
      <c r="G34" s="3427">
        <v>16370</v>
      </c>
      <c r="I34" s="1022"/>
      <c r="N34" s="3421" t="s">
        <v>2846</v>
      </c>
      <c r="O34" s="3421" t="s">
        <v>1151</v>
      </c>
      <c r="P34" s="3421" t="s">
        <v>2910</v>
      </c>
      <c r="Q34" s="3421" t="s">
        <v>2939</v>
      </c>
      <c r="R34" s="3421" t="s">
        <v>2967</v>
      </c>
    </row>
    <row r="35" spans="1:18" ht="14.25" customHeight="1">
      <c r="A35" s="3421" t="s">
        <v>1145</v>
      </c>
      <c r="B35" s="1289" t="s">
        <v>1010</v>
      </c>
      <c r="C35" s="3421">
        <v>27270</v>
      </c>
      <c r="D35" s="3421">
        <v>24270</v>
      </c>
      <c r="E35" s="3421">
        <v>24950</v>
      </c>
      <c r="F35" s="3427">
        <v>6600</v>
      </c>
      <c r="G35" s="3427">
        <v>16990</v>
      </c>
      <c r="I35" s="1022"/>
      <c r="N35" s="3421" t="s">
        <v>2847</v>
      </c>
      <c r="O35" s="3421" t="s">
        <v>2861</v>
      </c>
      <c r="P35" s="3421" t="s">
        <v>2911</v>
      </c>
      <c r="Q35" s="3421" t="s">
        <v>2940</v>
      </c>
      <c r="R35" s="3421" t="s">
        <v>2968</v>
      </c>
    </row>
    <row r="36" spans="1:18" ht="14.25" customHeight="1">
      <c r="A36" s="3421" t="s">
        <v>1145</v>
      </c>
      <c r="B36" s="1289" t="s">
        <v>1016</v>
      </c>
      <c r="C36" s="3421">
        <v>23490</v>
      </c>
      <c r="D36" s="3421">
        <v>23020</v>
      </c>
      <c r="E36" s="3421">
        <v>25230</v>
      </c>
      <c r="F36" s="3427">
        <v>6780</v>
      </c>
      <c r="G36" s="3427">
        <v>16120</v>
      </c>
      <c r="I36" s="1022"/>
      <c r="N36" s="3430" t="s">
        <v>2848</v>
      </c>
      <c r="O36" s="3458" t="s">
        <v>2862</v>
      </c>
      <c r="P36" s="3421" t="s">
        <v>2912</v>
      </c>
      <c r="Q36" s="3421" t="s">
        <v>2941</v>
      </c>
      <c r="R36" s="3421" t="s">
        <v>2969</v>
      </c>
    </row>
    <row r="37" spans="1:18" ht="14.25" customHeight="1">
      <c r="A37" s="3421" t="s">
        <v>1145</v>
      </c>
      <c r="B37" s="1289" t="s">
        <v>1023</v>
      </c>
      <c r="C37" s="3421">
        <v>24380</v>
      </c>
      <c r="D37" s="3421">
        <v>22240</v>
      </c>
      <c r="E37" s="3421">
        <v>25980</v>
      </c>
      <c r="F37" s="3427">
        <v>8160</v>
      </c>
      <c r="G37" s="3427">
        <v>15570</v>
      </c>
      <c r="I37" s="1023"/>
      <c r="N37" s="3430" t="s">
        <v>2849</v>
      </c>
      <c r="O37" s="3458" t="s">
        <v>2863</v>
      </c>
      <c r="P37" s="3421" t="s">
        <v>2913</v>
      </c>
      <c r="Q37" s="3421" t="s">
        <v>2942</v>
      </c>
      <c r="R37" s="3421" t="s">
        <v>2970</v>
      </c>
    </row>
    <row r="38" spans="1:18" ht="14.25" customHeight="1">
      <c r="A38" s="3421" t="s">
        <v>1145</v>
      </c>
      <c r="B38" s="1289" t="s">
        <v>1033</v>
      </c>
      <c r="C38" s="3421">
        <v>23120</v>
      </c>
      <c r="D38" s="3421">
        <v>24630</v>
      </c>
      <c r="E38" s="3421">
        <v>25030</v>
      </c>
      <c r="F38" s="3427">
        <v>7710</v>
      </c>
      <c r="G38" s="3427">
        <v>17240</v>
      </c>
      <c r="I38" s="1024"/>
      <c r="N38" s="3430" t="s">
        <v>2850</v>
      </c>
      <c r="O38" s="3458" t="s">
        <v>2864</v>
      </c>
      <c r="P38" s="3421" t="s">
        <v>2914</v>
      </c>
      <c r="Q38" s="3421" t="s">
        <v>2943</v>
      </c>
      <c r="R38" s="3421" t="s">
        <v>2971</v>
      </c>
    </row>
    <row r="39" spans="1:18" ht="14.25" customHeight="1">
      <c r="A39" s="3421" t="s">
        <v>1145</v>
      </c>
      <c r="B39" s="1289" t="s">
        <v>1042</v>
      </c>
      <c r="C39" s="3421">
        <v>22330</v>
      </c>
      <c r="D39" s="3421">
        <v>21140</v>
      </c>
      <c r="E39" s="3421">
        <v>23970</v>
      </c>
      <c r="F39" s="3427">
        <v>7940</v>
      </c>
      <c r="G39" s="3427">
        <v>14790</v>
      </c>
      <c r="I39" s="1024"/>
      <c r="N39" s="3430" t="s">
        <v>2851</v>
      </c>
      <c r="O39" s="3458" t="s">
        <v>2865</v>
      </c>
      <c r="P39" s="3421" t="s">
        <v>2915</v>
      </c>
      <c r="Q39" s="3421" t="s">
        <v>2944</v>
      </c>
      <c r="R39" s="3421" t="s">
        <v>2972</v>
      </c>
    </row>
    <row r="40" spans="1:18" ht="14.25" customHeight="1">
      <c r="A40" s="3421" t="s">
        <v>1145</v>
      </c>
      <c r="B40" s="1289" t="s">
        <v>1049</v>
      </c>
      <c r="C40" s="3421">
        <v>24740</v>
      </c>
      <c r="D40" s="3421">
        <v>24690</v>
      </c>
      <c r="E40" s="3421">
        <v>22610</v>
      </c>
      <c r="F40" s="3427"/>
      <c r="G40" s="3427">
        <v>17280</v>
      </c>
      <c r="I40" s="1024"/>
      <c r="N40" s="3430" t="s">
        <v>2852</v>
      </c>
      <c r="O40" s="3458" t="s">
        <v>2866</v>
      </c>
      <c r="P40" s="3421" t="s">
        <v>2916</v>
      </c>
      <c r="Q40" s="3421" t="s">
        <v>2945</v>
      </c>
      <c r="R40" s="3421" t="s">
        <v>2973</v>
      </c>
    </row>
    <row r="41" spans="1:18" ht="14.25" customHeight="1">
      <c r="A41" s="3421" t="s">
        <v>1145</v>
      </c>
      <c r="B41" s="1289" t="s">
        <v>1056</v>
      </c>
      <c r="C41" s="3421">
        <v>21220</v>
      </c>
      <c r="D41" s="3421">
        <v>21120</v>
      </c>
      <c r="E41" s="3421">
        <v>22590</v>
      </c>
      <c r="F41" s="3427"/>
      <c r="G41" s="3427">
        <v>14780</v>
      </c>
      <c r="I41" s="1024"/>
      <c r="N41" s="3430" t="s">
        <v>2853</v>
      </c>
      <c r="O41" s="3459" t="s">
        <v>2867</v>
      </c>
      <c r="P41" s="1289" t="s">
        <v>2917</v>
      </c>
      <c r="Q41" s="3430" t="s">
        <v>2946</v>
      </c>
      <c r="R41" s="1289" t="s">
        <v>2974</v>
      </c>
    </row>
    <row r="42" spans="1:18" ht="14.25" customHeight="1">
      <c r="A42" s="3421" t="s">
        <v>1145</v>
      </c>
      <c r="B42" s="1289" t="s">
        <v>1063</v>
      </c>
      <c r="C42" s="3421">
        <v>24800</v>
      </c>
      <c r="D42" s="3421">
        <v>22280</v>
      </c>
      <c r="E42" s="3421">
        <v>24350</v>
      </c>
      <c r="F42" s="3427"/>
      <c r="G42" s="3427">
        <v>15590</v>
      </c>
      <c r="I42" s="1024"/>
      <c r="O42" s="3421" t="s">
        <v>2868</v>
      </c>
      <c r="P42" s="3421" t="s">
        <v>2918</v>
      </c>
      <c r="Q42" s="3430" t="s">
        <v>2947</v>
      </c>
      <c r="R42" s="3421" t="s">
        <v>2975</v>
      </c>
    </row>
    <row r="43" spans="1:18" ht="14.25" customHeight="1">
      <c r="A43" s="3421" t="s">
        <v>1145</v>
      </c>
      <c r="B43" s="1289" t="s">
        <v>1071</v>
      </c>
      <c r="C43" s="3421">
        <v>21210</v>
      </c>
      <c r="D43" s="3421">
        <v>21160</v>
      </c>
      <c r="E43" s="3421">
        <v>22650</v>
      </c>
      <c r="F43" s="3427"/>
      <c r="G43" s="3427">
        <v>14800</v>
      </c>
      <c r="I43" s="1024"/>
      <c r="O43" s="3421" t="s">
        <v>2869</v>
      </c>
      <c r="P43" s="3421" t="s">
        <v>2919</v>
      </c>
      <c r="Q43" s="3430" t="s">
        <v>2948</v>
      </c>
      <c r="R43" s="3421" t="s">
        <v>2976</v>
      </c>
    </row>
    <row r="44" spans="1:18" ht="14.25" customHeight="1">
      <c r="A44" s="3421" t="s">
        <v>1145</v>
      </c>
      <c r="B44" s="1289" t="s">
        <v>1079</v>
      </c>
      <c r="C44" s="3421">
        <v>22370</v>
      </c>
      <c r="D44" s="3421">
        <v>23140</v>
      </c>
      <c r="E44" s="3421">
        <v>25090</v>
      </c>
      <c r="F44" s="3427"/>
      <c r="G44" s="3427">
        <v>16190</v>
      </c>
      <c r="I44" s="1024"/>
      <c r="O44" s="3421" t="s">
        <v>2870</v>
      </c>
      <c r="P44" s="3421" t="s">
        <v>2920</v>
      </c>
      <c r="Q44" s="3430" t="s">
        <v>2949</v>
      </c>
      <c r="R44" s="3421" t="s">
        <v>2977</v>
      </c>
    </row>
    <row r="45" spans="1:18" ht="14.25" customHeight="1">
      <c r="A45" s="3421" t="s">
        <v>1145</v>
      </c>
      <c r="B45" s="1289" t="s">
        <v>1084</v>
      </c>
      <c r="C45" s="3421">
        <v>21240</v>
      </c>
      <c r="D45" s="3421">
        <v>27050</v>
      </c>
      <c r="E45" s="3421">
        <v>28000</v>
      </c>
      <c r="F45" s="3427"/>
      <c r="G45" s="3427">
        <v>18940</v>
      </c>
      <c r="I45" s="1022"/>
      <c r="O45" s="3421" t="s">
        <v>2871</v>
      </c>
      <c r="P45" s="3421" t="s">
        <v>2921</v>
      </c>
      <c r="R45" s="3421" t="s">
        <v>2978</v>
      </c>
    </row>
    <row r="46" spans="1:18" ht="14.25" customHeight="1">
      <c r="A46" s="3421" t="s">
        <v>1145</v>
      </c>
      <c r="B46" s="1289" t="s">
        <v>1093</v>
      </c>
      <c r="C46" s="3421">
        <v>23240</v>
      </c>
      <c r="D46" s="3421">
        <v>23000</v>
      </c>
      <c r="E46" s="3421">
        <v>24980</v>
      </c>
      <c r="F46" s="3427"/>
      <c r="G46" s="3427">
        <v>16100</v>
      </c>
      <c r="I46" s="1024"/>
      <c r="O46" s="3421" t="s">
        <v>2872</v>
      </c>
      <c r="P46" s="3421"/>
      <c r="R46" s="3421" t="s">
        <v>2979</v>
      </c>
    </row>
    <row r="47" spans="1:18" ht="14.25" customHeight="1">
      <c r="A47" s="3421" t="s">
        <v>1145</v>
      </c>
      <c r="B47" s="2600" t="s">
        <v>1100</v>
      </c>
      <c r="C47" s="1287">
        <v>27150</v>
      </c>
      <c r="D47" s="1287">
        <v>23310</v>
      </c>
      <c r="E47" s="1287">
        <v>25150</v>
      </c>
      <c r="F47" s="3432"/>
      <c r="G47" s="3432">
        <v>16310</v>
      </c>
      <c r="I47" s="1024"/>
      <c r="O47" s="3421" t="s">
        <v>2873</v>
      </c>
      <c r="P47" s="3421"/>
      <c r="R47" s="3430" t="s">
        <v>2980</v>
      </c>
    </row>
    <row r="48" spans="1:18" ht="14.25" customHeight="1">
      <c r="A48" s="3421" t="s">
        <v>1145</v>
      </c>
      <c r="B48" s="3421" t="s">
        <v>1108</v>
      </c>
      <c r="C48" s="3421">
        <v>23100</v>
      </c>
      <c r="D48" s="3421">
        <v>21110</v>
      </c>
      <c r="E48" s="3421">
        <v>23080</v>
      </c>
      <c r="F48" s="3427"/>
      <c r="G48" s="3434">
        <v>14780</v>
      </c>
      <c r="I48" s="1022"/>
      <c r="O48" s="3421" t="s">
        <v>2874</v>
      </c>
      <c r="P48" s="3421"/>
      <c r="R48" s="3430" t="s">
        <v>2981</v>
      </c>
    </row>
    <row r="49" spans="1:18" ht="14.25" customHeight="1">
      <c r="A49" s="3421" t="s">
        <v>1145</v>
      </c>
      <c r="B49" s="1289" t="s">
        <v>1115</v>
      </c>
      <c r="C49" s="1289">
        <v>23400</v>
      </c>
      <c r="D49" s="1289">
        <v>22920</v>
      </c>
      <c r="E49" s="1289">
        <v>24900</v>
      </c>
      <c r="F49" s="3422"/>
      <c r="G49" s="3422">
        <v>16040</v>
      </c>
      <c r="I49" s="1024"/>
      <c r="O49" s="3421" t="s">
        <v>2875</v>
      </c>
      <c r="P49" s="3421"/>
      <c r="R49" s="3430" t="s">
        <v>2982</v>
      </c>
    </row>
    <row r="50" spans="1:18" ht="14.25" customHeight="1">
      <c r="A50" s="3421" t="s">
        <v>1145</v>
      </c>
      <c r="B50" s="3421" t="s">
        <v>2824</v>
      </c>
      <c r="C50" s="3421">
        <v>21200</v>
      </c>
      <c r="D50" s="3421">
        <v>26540</v>
      </c>
      <c r="E50" s="3421">
        <v>23200</v>
      </c>
      <c r="F50" s="3427"/>
      <c r="G50" s="3427">
        <v>18580</v>
      </c>
      <c r="I50" s="1024"/>
      <c r="O50" s="3430" t="s">
        <v>2876</v>
      </c>
      <c r="R50" s="3430" t="s">
        <v>2983</v>
      </c>
    </row>
    <row r="51" spans="1:18" ht="14.25" customHeight="1">
      <c r="A51" s="3421" t="s">
        <v>1145</v>
      </c>
      <c r="B51" s="3421" t="s">
        <v>2825</v>
      </c>
      <c r="C51" s="3421">
        <v>23000</v>
      </c>
      <c r="D51" s="3421">
        <v>23460</v>
      </c>
      <c r="E51" s="3421">
        <v>25290</v>
      </c>
      <c r="F51" s="3427"/>
      <c r="G51" s="3427">
        <v>16420</v>
      </c>
      <c r="I51" s="1024"/>
      <c r="O51" s="3430" t="s">
        <v>2877</v>
      </c>
      <c r="R51" s="3430" t="s">
        <v>2984</v>
      </c>
    </row>
    <row r="52" spans="1:18" ht="14.25" customHeight="1">
      <c r="A52" s="3421" t="s">
        <v>1145</v>
      </c>
      <c r="B52" s="3421" t="s">
        <v>2826</v>
      </c>
      <c r="C52" s="3421">
        <v>26660</v>
      </c>
      <c r="D52" s="3421">
        <v>22350</v>
      </c>
      <c r="E52" s="3421">
        <v>22920</v>
      </c>
      <c r="F52" s="3427"/>
      <c r="G52" s="3427">
        <v>15640</v>
      </c>
      <c r="I52" s="1024"/>
      <c r="O52" s="3430" t="s">
        <v>2878</v>
      </c>
    </row>
    <row r="53" spans="1:18" ht="14.25" customHeight="1">
      <c r="A53" s="3421" t="s">
        <v>1145</v>
      </c>
      <c r="B53" s="3421" t="s">
        <v>2827</v>
      </c>
      <c r="C53" s="3421">
        <v>23580</v>
      </c>
      <c r="D53" s="3421"/>
      <c r="E53" s="3421">
        <v>24280</v>
      </c>
      <c r="F53" s="3427"/>
      <c r="G53" s="3427"/>
      <c r="I53" s="1024"/>
      <c r="O53" s="3430" t="s">
        <v>2879</v>
      </c>
    </row>
    <row r="54" spans="1:18" ht="14.25" customHeight="1" thickBot="1">
      <c r="A54" s="3436" t="s">
        <v>1145</v>
      </c>
      <c r="B54" s="3424" t="s">
        <v>2828</v>
      </c>
      <c r="C54" s="3424">
        <v>22460</v>
      </c>
      <c r="D54" s="3424"/>
      <c r="E54" s="3424"/>
      <c r="F54" s="3425"/>
      <c r="G54" s="3437"/>
      <c r="I54" s="1024"/>
      <c r="O54" s="3430" t="s">
        <v>2880</v>
      </c>
    </row>
    <row r="55" spans="1:18" ht="14.25" customHeight="1">
      <c r="A55" s="3435" t="s">
        <v>853</v>
      </c>
      <c r="B55" s="1289" t="s">
        <v>2829</v>
      </c>
      <c r="C55" s="1289">
        <v>21970</v>
      </c>
      <c r="D55" s="1289">
        <v>20370</v>
      </c>
      <c r="E55" s="1289">
        <v>20180</v>
      </c>
      <c r="F55" s="3422">
        <v>5730</v>
      </c>
      <c r="G55" s="3422">
        <v>13820</v>
      </c>
      <c r="I55" s="1024"/>
      <c r="O55" s="3430" t="s">
        <v>2881</v>
      </c>
    </row>
    <row r="56" spans="1:18" ht="14.25" customHeight="1">
      <c r="A56" s="3421" t="s">
        <v>853</v>
      </c>
      <c r="B56" s="3421" t="s">
        <v>975</v>
      </c>
      <c r="C56" s="3421">
        <v>20470</v>
      </c>
      <c r="D56" s="3421">
        <v>20700</v>
      </c>
      <c r="E56" s="3421">
        <v>20380</v>
      </c>
      <c r="F56" s="3427">
        <v>4760</v>
      </c>
      <c r="G56" s="3427">
        <v>14050</v>
      </c>
      <c r="I56" s="1024"/>
      <c r="O56" s="3430" t="s">
        <v>2882</v>
      </c>
    </row>
    <row r="57" spans="1:18" ht="14.25" customHeight="1">
      <c r="A57" s="3421" t="s">
        <v>853</v>
      </c>
      <c r="B57" s="3421" t="s">
        <v>985</v>
      </c>
      <c r="C57" s="3421">
        <v>20790</v>
      </c>
      <c r="D57" s="3421">
        <v>21370</v>
      </c>
      <c r="E57" s="3421">
        <v>20890</v>
      </c>
      <c r="F57" s="3427">
        <v>4910</v>
      </c>
      <c r="G57" s="3427">
        <v>14510</v>
      </c>
      <c r="I57" s="1024"/>
      <c r="O57" s="3430" t="s">
        <v>2883</v>
      </c>
    </row>
    <row r="58" spans="1:18" ht="14.25" customHeight="1">
      <c r="A58" s="3421" t="s">
        <v>853</v>
      </c>
      <c r="B58" s="3421" t="s">
        <v>994</v>
      </c>
      <c r="C58" s="3421">
        <v>21460</v>
      </c>
      <c r="D58" s="3421">
        <v>20920</v>
      </c>
      <c r="E58" s="3421">
        <v>23410</v>
      </c>
      <c r="F58" s="3427">
        <v>5100</v>
      </c>
      <c r="G58" s="3427">
        <v>14200</v>
      </c>
      <c r="I58" s="1024"/>
      <c r="O58" s="3430" t="s">
        <v>2884</v>
      </c>
    </row>
    <row r="59" spans="1:18" ht="14.25" customHeight="1">
      <c r="A59" s="3421" t="s">
        <v>853</v>
      </c>
      <c r="B59" s="3421" t="s">
        <v>1004</v>
      </c>
      <c r="C59" s="3421">
        <v>21000</v>
      </c>
      <c r="D59" s="3421">
        <v>21550</v>
      </c>
      <c r="E59" s="3421">
        <v>21150</v>
      </c>
      <c r="F59" s="3427">
        <v>5250</v>
      </c>
      <c r="G59" s="3427">
        <v>14630</v>
      </c>
      <c r="I59" s="1024"/>
      <c r="O59" s="3430" t="s">
        <v>2885</v>
      </c>
    </row>
    <row r="60" spans="1:18" ht="14.25" customHeight="1">
      <c r="A60" s="3421" t="s">
        <v>853</v>
      </c>
      <c r="B60" s="3421" t="s">
        <v>1011</v>
      </c>
      <c r="C60" s="3421">
        <v>21640</v>
      </c>
      <c r="D60" s="3421">
        <v>21260</v>
      </c>
      <c r="E60" s="3421">
        <v>24040</v>
      </c>
      <c r="F60" s="3427">
        <v>4470</v>
      </c>
      <c r="G60" s="3427">
        <v>14430</v>
      </c>
      <c r="I60" s="1024"/>
      <c r="O60" s="3430" t="s">
        <v>2886</v>
      </c>
    </row>
    <row r="61" spans="1:18" ht="14.25" customHeight="1">
      <c r="A61" s="3421" t="s">
        <v>853</v>
      </c>
      <c r="B61" s="3421" t="s">
        <v>1017</v>
      </c>
      <c r="C61" s="3421">
        <v>21330</v>
      </c>
      <c r="D61" s="3421">
        <v>18640</v>
      </c>
      <c r="E61" s="3421">
        <v>21190</v>
      </c>
      <c r="F61" s="3427">
        <v>4180</v>
      </c>
      <c r="G61" s="3429">
        <v>12650</v>
      </c>
      <c r="I61" s="1024"/>
      <c r="O61" s="3430" t="s">
        <v>2887</v>
      </c>
    </row>
    <row r="62" spans="1:18" ht="14.25" customHeight="1">
      <c r="A62" s="3421" t="s">
        <v>853</v>
      </c>
      <c r="B62" s="3421" t="s">
        <v>1024</v>
      </c>
      <c r="C62" s="3421">
        <v>18710</v>
      </c>
      <c r="D62" s="3421">
        <v>19400</v>
      </c>
      <c r="E62" s="3421">
        <v>23750</v>
      </c>
      <c r="F62" s="3427">
        <v>4860</v>
      </c>
      <c r="G62" s="3429">
        <v>13170</v>
      </c>
      <c r="I62" s="1024"/>
      <c r="O62" s="3430" t="s">
        <v>2888</v>
      </c>
    </row>
    <row r="63" spans="1:18" ht="14.25" customHeight="1">
      <c r="A63" s="3421" t="s">
        <v>853</v>
      </c>
      <c r="B63" s="3421" t="s">
        <v>1034</v>
      </c>
      <c r="C63" s="3421">
        <v>19480</v>
      </c>
      <c r="D63" s="3421">
        <v>16830</v>
      </c>
      <c r="E63" s="3421">
        <v>21590</v>
      </c>
      <c r="F63" s="3427">
        <v>4560</v>
      </c>
      <c r="G63" s="3429">
        <v>11420</v>
      </c>
      <c r="I63" s="1024"/>
      <c r="O63" s="3430" t="s">
        <v>2889</v>
      </c>
    </row>
    <row r="64" spans="1:18" ht="14.25" customHeight="1">
      <c r="A64" s="3421" t="s">
        <v>853</v>
      </c>
      <c r="B64" s="3421" t="s">
        <v>1043</v>
      </c>
      <c r="C64" s="3421">
        <v>16920</v>
      </c>
      <c r="D64" s="3421">
        <v>19190</v>
      </c>
      <c r="E64" s="3421">
        <v>22200</v>
      </c>
      <c r="F64" s="3427">
        <v>4390</v>
      </c>
      <c r="G64" s="3429">
        <v>13030</v>
      </c>
      <c r="I64" s="1024"/>
      <c r="O64" s="3430" t="s">
        <v>2890</v>
      </c>
    </row>
    <row r="65" spans="1:21" s="1011" customFormat="1" ht="14.25" customHeight="1">
      <c r="A65" s="3421" t="s">
        <v>853</v>
      </c>
      <c r="B65" s="3421" t="s">
        <v>1050</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853</v>
      </c>
      <c r="B66" s="3421" t="s">
        <v>1057</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853</v>
      </c>
      <c r="B67" s="3421" t="s">
        <v>1064</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853</v>
      </c>
      <c r="B68" s="3421" t="s">
        <v>1072</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853</v>
      </c>
      <c r="B69" s="3421" t="s">
        <v>1080</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853</v>
      </c>
      <c r="B70" s="3421" t="s">
        <v>1085</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853</v>
      </c>
      <c r="B71" s="3421" t="s">
        <v>1094</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853</v>
      </c>
      <c r="B72" s="3421" t="s">
        <v>1101</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853</v>
      </c>
      <c r="B73" s="3421" t="s">
        <v>1109</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853</v>
      </c>
      <c r="B74" s="3421" t="s">
        <v>1116</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853</v>
      </c>
      <c r="B75" s="3421" t="s">
        <v>1120</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853</v>
      </c>
      <c r="B76" s="1289" t="s">
        <v>1127</v>
      </c>
      <c r="C76" s="1289">
        <v>17610</v>
      </c>
      <c r="D76" s="1289">
        <v>20800</v>
      </c>
      <c r="E76" s="1289">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853</v>
      </c>
      <c r="B77" s="3421" t="s">
        <v>1130</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853</v>
      </c>
      <c r="B78" s="3421" t="s">
        <v>2830</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853</v>
      </c>
      <c r="B79" s="3421" t="s">
        <v>2831</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853</v>
      </c>
      <c r="B80" s="3421" t="s">
        <v>2832</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853</v>
      </c>
      <c r="B81" s="3421" t="s">
        <v>2833</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853</v>
      </c>
      <c r="B82" s="3421" t="s">
        <v>2834</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853</v>
      </c>
      <c r="B83" s="3421" t="s">
        <v>2835</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853</v>
      </c>
      <c r="B84" s="3421" t="s">
        <v>2836</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853</v>
      </c>
      <c r="B85" s="1287" t="s">
        <v>2837</v>
      </c>
      <c r="C85" s="1287"/>
      <c r="D85" s="1287"/>
      <c r="E85" s="1287"/>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853</v>
      </c>
      <c r="B86" s="3424" t="s">
        <v>2838</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1152</v>
      </c>
      <c r="B87" s="1289" t="s">
        <v>2839</v>
      </c>
      <c r="C87" s="1289">
        <v>15240</v>
      </c>
      <c r="D87" s="1289">
        <v>15170</v>
      </c>
      <c r="E87" s="1289">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1152</v>
      </c>
      <c r="B88" s="3421" t="s">
        <v>976</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1152</v>
      </c>
      <c r="B89" s="3421" t="s">
        <v>986</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1152</v>
      </c>
      <c r="B90" s="3421" t="s">
        <v>995</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1152</v>
      </c>
      <c r="B91" s="3421" t="s">
        <v>1005</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1152</v>
      </c>
      <c r="B92" s="3421" t="s">
        <v>1012</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1152</v>
      </c>
      <c r="B93" s="3421" t="s">
        <v>1018</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1152</v>
      </c>
      <c r="B94" s="3421" t="s">
        <v>1025</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1152</v>
      </c>
      <c r="B95" s="3421" t="s">
        <v>1035</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1152</v>
      </c>
      <c r="B96" s="3421" t="s">
        <v>1044</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1152</v>
      </c>
      <c r="B97" s="3421" t="s">
        <v>1051</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1152</v>
      </c>
      <c r="B98" s="3421" t="s">
        <v>1058</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1152</v>
      </c>
      <c r="B99" s="3421" t="s">
        <v>1065</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1152</v>
      </c>
      <c r="B100" s="3421" t="s">
        <v>1073</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1152</v>
      </c>
      <c r="B101" s="3421" t="s">
        <v>1081</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1152</v>
      </c>
      <c r="B102" s="3421" t="s">
        <v>1086</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1152</v>
      </c>
      <c r="B103" s="3421" t="s">
        <v>1095</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1152</v>
      </c>
      <c r="B104" s="3421" t="s">
        <v>1102</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1152</v>
      </c>
      <c r="B105" s="3421" t="s">
        <v>1110</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1152</v>
      </c>
      <c r="B106" s="3421" t="s">
        <v>1117</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1152</v>
      </c>
      <c r="B107" s="3421" t="s">
        <v>1121</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1152</v>
      </c>
      <c r="B108" s="3421" t="s">
        <v>1128</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1152</v>
      </c>
      <c r="B109" s="3421" t="s">
        <v>1131</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1152</v>
      </c>
      <c r="B110" s="1289" t="s">
        <v>1133</v>
      </c>
      <c r="C110" s="1289">
        <v>13560</v>
      </c>
      <c r="D110" s="1289">
        <v>13490</v>
      </c>
      <c r="E110" s="1289">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1152</v>
      </c>
      <c r="B111" s="3421" t="s">
        <v>1136</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1152</v>
      </c>
      <c r="B112" s="3421" t="s">
        <v>1140</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1152</v>
      </c>
      <c r="B113" s="3421" t="s">
        <v>2840</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1152</v>
      </c>
      <c r="B114" s="3421" t="s">
        <v>2841</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1152</v>
      </c>
      <c r="B115" s="3421" t="s">
        <v>2842</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1152</v>
      </c>
      <c r="B116" s="3421" t="s">
        <v>2843</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1152</v>
      </c>
      <c r="B117" s="3421" t="s">
        <v>2844</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1152</v>
      </c>
      <c r="B118" s="3421" t="s">
        <v>2845</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1152</v>
      </c>
      <c r="B119" s="3421" t="s">
        <v>2846</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1152</v>
      </c>
      <c r="B120" s="3421" t="s">
        <v>2847</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1152</v>
      </c>
      <c r="B121" s="3421" t="s">
        <v>2848</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1152</v>
      </c>
      <c r="B122" s="3421" t="s">
        <v>2849</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1152</v>
      </c>
      <c r="B123" s="3421" t="s">
        <v>2850</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1152</v>
      </c>
      <c r="B124" s="3421" t="s">
        <v>2851</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1152</v>
      </c>
      <c r="B125" s="1287" t="s">
        <v>2852</v>
      </c>
      <c r="C125" s="1287">
        <v>12860</v>
      </c>
      <c r="D125" s="1287">
        <v>12790</v>
      </c>
      <c r="E125" s="1287">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1152</v>
      </c>
      <c r="B126" s="3424" t="s">
        <v>2853</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1153</v>
      </c>
      <c r="B127" s="1289" t="s">
        <v>2854</v>
      </c>
      <c r="C127" s="1289">
        <v>12280</v>
      </c>
      <c r="D127" s="1289">
        <v>12250</v>
      </c>
      <c r="E127" s="1289">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1153</v>
      </c>
      <c r="B128" s="3421" t="s">
        <v>977</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1153</v>
      </c>
      <c r="B129" s="3421" t="s">
        <v>987</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1153</v>
      </c>
      <c r="B130" s="3421" t="s">
        <v>996</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1153</v>
      </c>
      <c r="B131" s="3421" t="s">
        <v>1006</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1153</v>
      </c>
      <c r="B132" s="3421" t="s">
        <v>1013</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1153</v>
      </c>
      <c r="B133" s="3421" t="s">
        <v>1019</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1153</v>
      </c>
      <c r="B134" s="3421" t="s">
        <v>1026</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1153</v>
      </c>
      <c r="B135" s="3421" t="s">
        <v>1036</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1153</v>
      </c>
      <c r="B136" s="3421" t="s">
        <v>1045</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1153</v>
      </c>
      <c r="B137" s="3421" t="s">
        <v>1052</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1153</v>
      </c>
      <c r="B138" s="3421" t="s">
        <v>1059</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1153</v>
      </c>
      <c r="B139" s="3421" t="s">
        <v>1066</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1153</v>
      </c>
      <c r="B140" s="3421" t="s">
        <v>1074</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1153</v>
      </c>
      <c r="B141" s="3421" t="s">
        <v>1082</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1153</v>
      </c>
      <c r="B142" s="3421" t="s">
        <v>1087</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1153</v>
      </c>
      <c r="B143" s="3421" t="s">
        <v>1096</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1153</v>
      </c>
      <c r="B144" s="3421" t="s">
        <v>1103</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1153</v>
      </c>
      <c r="B145" s="3421" t="s">
        <v>1111</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1153</v>
      </c>
      <c r="B146" s="3421" t="s">
        <v>1118</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1153</v>
      </c>
      <c r="B147" s="3421" t="s">
        <v>1122</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1153</v>
      </c>
      <c r="B148" s="3421" t="s">
        <v>2855</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1153</v>
      </c>
      <c r="B149" s="3421" t="s">
        <v>2856</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1153</v>
      </c>
      <c r="B150" s="3421" t="s">
        <v>1141</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1153</v>
      </c>
      <c r="B151" s="3421" t="s">
        <v>1143</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1153</v>
      </c>
      <c r="B152" s="3421" t="s">
        <v>1146</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1153</v>
      </c>
      <c r="B153" s="3421" t="s">
        <v>2857</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1153</v>
      </c>
      <c r="B154" s="3421" t="s">
        <v>2858</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1153</v>
      </c>
      <c r="B155" s="3421" t="s">
        <v>2859</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1153</v>
      </c>
      <c r="B156" s="3421" t="s">
        <v>2860</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1153</v>
      </c>
      <c r="B157" s="3421" t="s">
        <v>1149</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9" t="s">
        <v>1153</v>
      </c>
      <c r="B158" s="1289" t="s">
        <v>1150</v>
      </c>
      <c r="C158" s="1289">
        <v>9590</v>
      </c>
      <c r="D158" s="1289">
        <v>9540</v>
      </c>
      <c r="E158" s="1289">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1153</v>
      </c>
      <c r="B159" s="3421" t="s">
        <v>1151</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1153</v>
      </c>
      <c r="B160" s="3421" t="s">
        <v>2861</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1153</v>
      </c>
      <c r="B161" s="3421" t="s">
        <v>2862</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1153</v>
      </c>
      <c r="B162" s="3421" t="s">
        <v>2863</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1153</v>
      </c>
      <c r="B163" s="3421" t="s">
        <v>2864</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1153</v>
      </c>
      <c r="B164" s="3421" t="s">
        <v>2865</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1153</v>
      </c>
      <c r="B165" s="3421" t="s">
        <v>2866</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1153</v>
      </c>
      <c r="B166" s="3421" t="s">
        <v>2867</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1153</v>
      </c>
      <c r="B167" s="3421" t="s">
        <v>2868</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1153</v>
      </c>
      <c r="B168" s="3421" t="s">
        <v>2869</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1153</v>
      </c>
      <c r="B169" s="3421" t="s">
        <v>2870</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1153</v>
      </c>
      <c r="B170" s="3421" t="s">
        <v>2871</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1153</v>
      </c>
      <c r="B171" s="3421" t="s">
        <v>2872</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1153</v>
      </c>
      <c r="B172" s="3421" t="s">
        <v>2873</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1153</v>
      </c>
      <c r="B173" s="3421" t="s">
        <v>2874</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1153</v>
      </c>
      <c r="B174" s="3421" t="s">
        <v>2875</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1153</v>
      </c>
      <c r="B175" s="3421" t="s">
        <v>2876</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1153</v>
      </c>
      <c r="B176" s="3421" t="s">
        <v>2877</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1153</v>
      </c>
      <c r="B177" s="3421" t="s">
        <v>2878</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1153</v>
      </c>
      <c r="B178" s="3421" t="s">
        <v>2879</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1153</v>
      </c>
      <c r="B179" s="3421" t="s">
        <v>2880</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1153</v>
      </c>
      <c r="B180" s="3421" t="s">
        <v>2881</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1153</v>
      </c>
      <c r="B181" s="3421" t="s">
        <v>2882</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1153</v>
      </c>
      <c r="B182" s="3421" t="s">
        <v>2883</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1153</v>
      </c>
      <c r="B183" s="3421" t="s">
        <v>2884</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1153</v>
      </c>
      <c r="B184" s="3421" t="s">
        <v>2885</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1153</v>
      </c>
      <c r="B185" s="3421" t="s">
        <v>2886</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1153</v>
      </c>
      <c r="B186" s="3421" t="s">
        <v>2887</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1153</v>
      </c>
      <c r="B187" s="3421" t="s">
        <v>2888</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1153</v>
      </c>
      <c r="B188" s="3421" t="s">
        <v>2889</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1153</v>
      </c>
      <c r="B189" s="3424" t="s">
        <v>2890</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1154</v>
      </c>
      <c r="B190" s="1289" t="s">
        <v>2891</v>
      </c>
      <c r="C190" s="1289">
        <v>8830</v>
      </c>
      <c r="D190" s="1289">
        <v>8790</v>
      </c>
      <c r="E190" s="1289">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1154</v>
      </c>
      <c r="B191" s="3421" t="s">
        <v>978</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1154</v>
      </c>
      <c r="B192" s="3421" t="s">
        <v>988</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1154</v>
      </c>
      <c r="B193" s="3421" t="s">
        <v>997</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1154</v>
      </c>
      <c r="B194" s="3421" t="s">
        <v>1007</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1154</v>
      </c>
      <c r="B195" s="3421" t="s">
        <v>1014</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1154</v>
      </c>
      <c r="B196" s="3421" t="s">
        <v>1020</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1154</v>
      </c>
      <c r="B197" s="3421" t="s">
        <v>1027</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1154</v>
      </c>
      <c r="B198" s="3421" t="s">
        <v>1037</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1154</v>
      </c>
      <c r="B199" s="3421" t="s">
        <v>2892</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1154</v>
      </c>
      <c r="B200" s="3421" t="s">
        <v>2893</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1154</v>
      </c>
      <c r="B201" s="3421" t="s">
        <v>2894</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1154</v>
      </c>
      <c r="B202" s="3421" t="s">
        <v>1088</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1154</v>
      </c>
      <c r="B203" s="3421" t="s">
        <v>2895</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1154</v>
      </c>
      <c r="B204" s="3421" t="s">
        <v>2896</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1154</v>
      </c>
      <c r="B205" s="3421" t="s">
        <v>2897</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9" t="s">
        <v>1154</v>
      </c>
      <c r="B206" s="1289" t="s">
        <v>2898</v>
      </c>
      <c r="C206" s="1289">
        <v>7000</v>
      </c>
      <c r="D206" s="1289">
        <v>6950</v>
      </c>
      <c r="E206" s="1289">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1154</v>
      </c>
      <c r="B207" s="3421" t="s">
        <v>2899</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1154</v>
      </c>
      <c r="B208" s="3421" t="s">
        <v>2900</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1154</v>
      </c>
      <c r="B209" s="3421" t="s">
        <v>1112</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1154</v>
      </c>
      <c r="B210" s="3421" t="s">
        <v>2901</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1154</v>
      </c>
      <c r="B211" s="3421" t="s">
        <v>2902</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1154</v>
      </c>
      <c r="B212" s="3421" t="s">
        <v>1134</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1154</v>
      </c>
      <c r="B213" s="3421" t="s">
        <v>1137</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1154</v>
      </c>
      <c r="B214" s="3421" t="s">
        <v>2903</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1154</v>
      </c>
      <c r="B215" s="3421" t="s">
        <v>1123</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1154</v>
      </c>
      <c r="B216" s="3421" t="s">
        <v>2904</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1154</v>
      </c>
      <c r="B217" s="3421" t="s">
        <v>2905</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1154</v>
      </c>
      <c r="B218" s="3421" t="s">
        <v>2906</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1154</v>
      </c>
      <c r="B219" s="3421" t="s">
        <v>2907</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1154</v>
      </c>
      <c r="B220" s="3421" t="s">
        <v>2908</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1154</v>
      </c>
      <c r="B221" s="3421" t="s">
        <v>2909</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1154</v>
      </c>
      <c r="B222" s="3421" t="s">
        <v>2910</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1154</v>
      </c>
      <c r="B223" s="3421" t="s">
        <v>2911</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1154</v>
      </c>
      <c r="B224" s="3421" t="s">
        <v>2912</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1154</v>
      </c>
      <c r="B225" s="3421" t="s">
        <v>2913</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1154</v>
      </c>
      <c r="B226" s="3421" t="s">
        <v>2914</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1154</v>
      </c>
      <c r="B227" s="3421" t="s">
        <v>2915</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1154</v>
      </c>
      <c r="B228" s="3421" t="s">
        <v>2916</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1154</v>
      </c>
      <c r="B229" s="3421" t="s">
        <v>2917</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1154</v>
      </c>
      <c r="B230" s="3421" t="s">
        <v>2918</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1154</v>
      </c>
      <c r="B231" s="3421" t="s">
        <v>2919</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1154</v>
      </c>
      <c r="B232" s="3421" t="s">
        <v>2920</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1154</v>
      </c>
      <c r="B233" s="3424" t="s">
        <v>2921</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1155</v>
      </c>
      <c r="B234" s="1289" t="s">
        <v>2922</v>
      </c>
      <c r="C234" s="1289">
        <v>6980</v>
      </c>
      <c r="D234" s="1289">
        <v>6970</v>
      </c>
      <c r="E234" s="1289">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1155</v>
      </c>
      <c r="B235" s="3421" t="s">
        <v>979</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1155</v>
      </c>
      <c r="B236" s="3421" t="s">
        <v>989</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1155</v>
      </c>
      <c r="B237" s="3421" t="s">
        <v>998</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1155</v>
      </c>
      <c r="B238" s="3421" t="s">
        <v>2923</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1155</v>
      </c>
      <c r="B239" s="3421" t="s">
        <v>2924</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1155</v>
      </c>
      <c r="B240" s="3421" t="s">
        <v>2925</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1155</v>
      </c>
      <c r="B241" s="3421" t="s">
        <v>2926</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1155</v>
      </c>
      <c r="B242" s="3421" t="s">
        <v>1028</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1155</v>
      </c>
      <c r="B243" s="3421" t="s">
        <v>1038</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1155</v>
      </c>
      <c r="B244" s="3421" t="s">
        <v>2927</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9" t="s">
        <v>1155</v>
      </c>
      <c r="B245" s="1289" t="s">
        <v>1053</v>
      </c>
      <c r="C245" s="1289">
        <v>6040</v>
      </c>
      <c r="D245" s="1289">
        <v>6000</v>
      </c>
      <c r="E245" s="1289">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1155</v>
      </c>
      <c r="B246" s="3421" t="s">
        <v>1060</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1155</v>
      </c>
      <c r="B247" s="3421" t="s">
        <v>2928</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1155</v>
      </c>
      <c r="B248" s="3421" t="s">
        <v>1075</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1155</v>
      </c>
      <c r="B249" s="3421" t="s">
        <v>2929</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1155</v>
      </c>
      <c r="B250" s="3421" t="s">
        <v>1089</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1155</v>
      </c>
      <c r="B251" s="3421" t="s">
        <v>1097</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1155</v>
      </c>
      <c r="B252" s="3421" t="s">
        <v>2930</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1155</v>
      </c>
      <c r="B253" s="3421" t="s">
        <v>1132</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1155</v>
      </c>
      <c r="B254" s="3421" t="s">
        <v>1135</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1155</v>
      </c>
      <c r="B255" s="3421" t="s">
        <v>1138</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1155</v>
      </c>
      <c r="B256" s="3421" t="s">
        <v>2931</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1155</v>
      </c>
      <c r="B257" s="3421" t="s">
        <v>1124</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1155</v>
      </c>
      <c r="B258" s="3421" t="s">
        <v>2932</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1155</v>
      </c>
      <c r="B259" s="3421" t="s">
        <v>2933</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1155</v>
      </c>
      <c r="B260" s="3421" t="s">
        <v>2934</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1155</v>
      </c>
      <c r="B261" s="3421" t="s">
        <v>2935</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1155</v>
      </c>
      <c r="B262" s="3421" t="s">
        <v>2936</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1155</v>
      </c>
      <c r="B263" s="3421" t="s">
        <v>2937</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1155</v>
      </c>
      <c r="B264" s="3421" t="s">
        <v>1148</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1155</v>
      </c>
      <c r="B265" s="3421" t="s">
        <v>2938</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1155</v>
      </c>
      <c r="B266" s="3421" t="s">
        <v>2939</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1155</v>
      </c>
      <c r="B267" s="3421" t="s">
        <v>2940</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1155</v>
      </c>
      <c r="B268" s="3421" t="s">
        <v>2941</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1155</v>
      </c>
      <c r="B269" s="3421" t="s">
        <v>2942</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1155</v>
      </c>
      <c r="B270" s="3421" t="s">
        <v>2943</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1155</v>
      </c>
      <c r="B271" s="3421" t="s">
        <v>2944</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1155</v>
      </c>
      <c r="B272" s="3421" t="s">
        <v>2945</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1155</v>
      </c>
      <c r="B273" s="3421" t="s">
        <v>2946</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1155</v>
      </c>
      <c r="B274" s="3421" t="s">
        <v>2947</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1155</v>
      </c>
      <c r="B275" s="3421" t="s">
        <v>2948</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1155</v>
      </c>
      <c r="B276" s="3424" t="s">
        <v>2949</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1156</v>
      </c>
      <c r="B277" s="1289" t="s">
        <v>2950</v>
      </c>
      <c r="C277" s="1289">
        <v>5790</v>
      </c>
      <c r="D277" s="1289">
        <v>5740</v>
      </c>
      <c r="E277" s="1289">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1156</v>
      </c>
      <c r="B278" s="3421" t="s">
        <v>980</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1156</v>
      </c>
      <c r="B279" s="3421" t="s">
        <v>2951</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1156</v>
      </c>
      <c r="B280" s="3421" t="s">
        <v>2952</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1156</v>
      </c>
      <c r="B281" s="3421" t="s">
        <v>2953</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1156</v>
      </c>
      <c r="B282" s="3421" t="s">
        <v>2954</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1156</v>
      </c>
      <c r="B283" s="3421" t="s">
        <v>1021</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1156</v>
      </c>
      <c r="B284" s="3421" t="s">
        <v>1029</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1156</v>
      </c>
      <c r="B285" s="3421" t="s">
        <v>1039</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1156</v>
      </c>
      <c r="B286" s="3421" t="s">
        <v>1046</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1156</v>
      </c>
      <c r="B287" s="3421" t="s">
        <v>2955</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1156</v>
      </c>
      <c r="B288" s="3421" t="s">
        <v>1067</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1156</v>
      </c>
      <c r="B289" s="3421" t="s">
        <v>2956</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9" t="s">
        <v>1156</v>
      </c>
      <c r="B290" s="1289" t="s">
        <v>1090</v>
      </c>
      <c r="C290" s="1289">
        <v>5550</v>
      </c>
      <c r="D290" s="1289">
        <v>5500</v>
      </c>
      <c r="E290" s="1289">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1156</v>
      </c>
      <c r="B291" s="3421" t="s">
        <v>1098</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1156</v>
      </c>
      <c r="B292" s="3421" t="s">
        <v>1104</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1156</v>
      </c>
      <c r="B293" s="3421" t="s">
        <v>2957</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1156</v>
      </c>
      <c r="B294" s="3421" t="s">
        <v>2958</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1156</v>
      </c>
      <c r="B295" s="3421" t="s">
        <v>1139</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1156</v>
      </c>
      <c r="B296" s="3421" t="s">
        <v>1142</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1156</v>
      </c>
      <c r="B297" s="3421" t="s">
        <v>1144</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1156</v>
      </c>
      <c r="B298" s="3421" t="s">
        <v>1147</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1156</v>
      </c>
      <c r="B299" s="3421" t="s">
        <v>2959</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1156</v>
      </c>
      <c r="B300" s="3421" t="s">
        <v>1119</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1156</v>
      </c>
      <c r="B301" s="3421" t="s">
        <v>1125</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1156</v>
      </c>
      <c r="B302" s="3421" t="s">
        <v>2960</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1156</v>
      </c>
      <c r="B303" s="3421" t="s">
        <v>2961</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1156</v>
      </c>
      <c r="B304" s="3421" t="s">
        <v>2962</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1156</v>
      </c>
      <c r="B305" s="3421" t="s">
        <v>2963</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1156</v>
      </c>
      <c r="B306" s="3421" t="s">
        <v>2964</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1156</v>
      </c>
      <c r="B307" s="3421" t="s">
        <v>2965</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1156</v>
      </c>
      <c r="B308" s="3421" t="s">
        <v>2966</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1156</v>
      </c>
      <c r="B309" s="3421" t="s">
        <v>2967</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1156</v>
      </c>
      <c r="B310" s="3421" t="s">
        <v>2968</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1156</v>
      </c>
      <c r="B311" s="3421" t="s">
        <v>2969</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1156</v>
      </c>
      <c r="B312" s="3421" t="s">
        <v>2970</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1156</v>
      </c>
      <c r="B313" s="3421" t="s">
        <v>2971</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1156</v>
      </c>
      <c r="B314" s="3421" t="s">
        <v>2972</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1156</v>
      </c>
      <c r="B315" s="3421" t="s">
        <v>2973</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1156</v>
      </c>
      <c r="B316" s="3421" t="s">
        <v>2974</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9" t="s">
        <v>1156</v>
      </c>
      <c r="B317" s="1289" t="s">
        <v>2975</v>
      </c>
      <c r="C317" s="1289"/>
      <c r="D317" s="1289"/>
      <c r="E317" s="1289"/>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1156</v>
      </c>
      <c r="B318" s="3421" t="s">
        <v>2976</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1156</v>
      </c>
      <c r="B319" s="3421" t="s">
        <v>2977</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1156</v>
      </c>
      <c r="B320" s="3421" t="s">
        <v>2978</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1156</v>
      </c>
      <c r="B321" s="3421" t="s">
        <v>2979</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1156</v>
      </c>
      <c r="B322" s="3421" t="s">
        <v>2980</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1156</v>
      </c>
      <c r="B323" s="3421" t="s">
        <v>2981</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1156</v>
      </c>
      <c r="B324" s="3421" t="s">
        <v>2982</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1156</v>
      </c>
      <c r="B325" s="3421" t="s">
        <v>2983</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1156</v>
      </c>
      <c r="B326" s="3424" t="s">
        <v>2984</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1157</v>
      </c>
      <c r="B327" s="2600" t="s">
        <v>2985</v>
      </c>
      <c r="C327" s="2600">
        <v>3750</v>
      </c>
      <c r="D327" s="2600">
        <v>3710</v>
      </c>
      <c r="E327" s="2600">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1157</v>
      </c>
      <c r="B328" s="3421" t="s">
        <v>981</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1157</v>
      </c>
      <c r="B329" s="3421" t="s">
        <v>2986</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1157</v>
      </c>
      <c r="B330" s="3421" t="s">
        <v>2987</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1157</v>
      </c>
      <c r="B331" s="3421" t="s">
        <v>1008</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1157</v>
      </c>
      <c r="B332" s="3421" t="s">
        <v>2988</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1157</v>
      </c>
      <c r="B333" s="3421" t="s">
        <v>2989</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1157</v>
      </c>
      <c r="B334" s="3421" t="s">
        <v>1030</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1157</v>
      </c>
      <c r="B335" s="3421" t="s">
        <v>1040</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1157</v>
      </c>
      <c r="B336" s="3421" t="s">
        <v>2990</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1157</v>
      </c>
      <c r="B337" s="3421" t="s">
        <v>2991</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1157</v>
      </c>
      <c r="B338" s="3421" t="s">
        <v>1068</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1157</v>
      </c>
      <c r="B339" s="3421" t="s">
        <v>1076</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1157</v>
      </c>
      <c r="B340" s="3421" t="s">
        <v>2992</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1157</v>
      </c>
      <c r="B341" s="3421" t="s">
        <v>1054</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1157</v>
      </c>
      <c r="B342" s="3421" t="s">
        <v>2993</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1157</v>
      </c>
      <c r="B343" s="3421" t="s">
        <v>1105</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1157</v>
      </c>
      <c r="B344" s="3421" t="s">
        <v>1113</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1157</v>
      </c>
      <c r="B345" s="3430" t="s">
        <v>2994</v>
      </c>
      <c r="C345" s="3430">
        <v>3190</v>
      </c>
      <c r="D345" s="3430">
        <v>3140</v>
      </c>
      <c r="E345" s="3430">
        <v>3450</v>
      </c>
      <c r="F345" s="3430">
        <v>720</v>
      </c>
      <c r="G345" s="3430">
        <v>1880</v>
      </c>
      <c r="H345" s="3443"/>
    </row>
    <row r="346" spans="1:21">
      <c r="A346" s="3430" t="s">
        <v>1157</v>
      </c>
      <c r="B346" s="3430" t="s">
        <v>2995</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2996</v>
      </c>
      <c r="C348" s="3430">
        <v>4000</v>
      </c>
      <c r="D348" s="3430">
        <v>3950</v>
      </c>
      <c r="E348" s="3430">
        <v>4430</v>
      </c>
      <c r="F348" s="3430">
        <v>760</v>
      </c>
      <c r="G348" s="3430">
        <v>2360</v>
      </c>
      <c r="H348" s="3443"/>
    </row>
    <row r="349" spans="1:21">
      <c r="A349" s="3430" t="s">
        <v>1157</v>
      </c>
      <c r="B349" s="3430" t="s">
        <v>2997</v>
      </c>
      <c r="C349" s="3430">
        <v>3820</v>
      </c>
      <c r="D349" s="3430">
        <v>3780</v>
      </c>
      <c r="E349" s="3430">
        <v>4170</v>
      </c>
      <c r="F349" s="3430">
        <v>710</v>
      </c>
      <c r="G349" s="3430">
        <v>2260</v>
      </c>
      <c r="H349" s="3443"/>
    </row>
    <row r="350" spans="1:21">
      <c r="A350" s="3430" t="s">
        <v>1157</v>
      </c>
      <c r="B350" s="3430" t="s">
        <v>2998</v>
      </c>
      <c r="C350" s="3430">
        <v>3760</v>
      </c>
      <c r="D350" s="3430">
        <v>3730</v>
      </c>
      <c r="E350" s="3430">
        <v>4100</v>
      </c>
      <c r="F350" s="3430">
        <v>800</v>
      </c>
      <c r="G350" s="3430">
        <v>2230</v>
      </c>
      <c r="H350" s="3443"/>
    </row>
    <row r="351" spans="1:21">
      <c r="A351" s="3430" t="s">
        <v>1157</v>
      </c>
      <c r="B351" s="3430" t="s">
        <v>2999</v>
      </c>
      <c r="C351" s="3430">
        <v>3610</v>
      </c>
      <c r="D351" s="3430">
        <v>3580</v>
      </c>
      <c r="E351" s="3430">
        <v>3930</v>
      </c>
      <c r="F351" s="3430">
        <v>700</v>
      </c>
      <c r="G351" s="3430">
        <v>2140</v>
      </c>
      <c r="H351" s="3443"/>
    </row>
    <row r="352" spans="1:21">
      <c r="A352" s="3430" t="s">
        <v>1157</v>
      </c>
      <c r="B352" s="3430" t="s">
        <v>3000</v>
      </c>
      <c r="C352" s="3430">
        <v>3670</v>
      </c>
      <c r="D352" s="3430">
        <v>3630</v>
      </c>
      <c r="E352" s="3430">
        <v>4000</v>
      </c>
      <c r="F352" s="3430">
        <v>750</v>
      </c>
      <c r="G352" s="3430">
        <v>2180</v>
      </c>
      <c r="H352" s="3443"/>
    </row>
    <row r="353" spans="1:8">
      <c r="A353" s="3430" t="s">
        <v>1157</v>
      </c>
      <c r="B353" s="3430" t="s">
        <v>3001</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3002</v>
      </c>
      <c r="C355" s="3430">
        <v>3650</v>
      </c>
      <c r="D355" s="3430">
        <v>3610</v>
      </c>
      <c r="E355" s="3430">
        <v>4200</v>
      </c>
      <c r="F355" s="3430">
        <v>640</v>
      </c>
      <c r="G355" s="3430">
        <v>2160</v>
      </c>
      <c r="H355" s="3443"/>
    </row>
    <row r="356" spans="1:8">
      <c r="A356" s="3430" t="s">
        <v>1157</v>
      </c>
      <c r="B356" s="3430" t="s">
        <v>3003</v>
      </c>
      <c r="C356" s="3430">
        <v>3260</v>
      </c>
      <c r="D356" s="3430">
        <v>3230</v>
      </c>
      <c r="E356" s="3430">
        <v>3740</v>
      </c>
      <c r="F356" s="3430">
        <v>600</v>
      </c>
      <c r="G356" s="3430">
        <v>1930</v>
      </c>
      <c r="H356" s="3443"/>
    </row>
    <row r="357" spans="1:8" ht="14.25" thickBot="1">
      <c r="A357" s="3446" t="s">
        <v>1157</v>
      </c>
      <c r="B357" s="3446" t="s">
        <v>3004</v>
      </c>
      <c r="C357" s="3446">
        <v>3690</v>
      </c>
      <c r="D357" s="3446">
        <v>3650</v>
      </c>
      <c r="E357" s="3446">
        <v>4020</v>
      </c>
      <c r="F357" s="3446">
        <v>700</v>
      </c>
      <c r="G357" s="3446">
        <v>2190</v>
      </c>
      <c r="H357" s="3443"/>
    </row>
    <row r="358" spans="1:8">
      <c r="A358" s="3447" t="s">
        <v>2760</v>
      </c>
      <c r="B358" s="3448" t="s">
        <v>3005</v>
      </c>
      <c r="C358" s="3448">
        <v>2080</v>
      </c>
      <c r="D358" s="3448">
        <v>2040</v>
      </c>
      <c r="E358" s="3448">
        <v>2010</v>
      </c>
      <c r="F358" s="3448">
        <v>530</v>
      </c>
      <c r="G358" s="3449">
        <v>1230</v>
      </c>
      <c r="H358" s="3443"/>
    </row>
    <row r="359" spans="1:8">
      <c r="A359" s="3450" t="s">
        <v>2760</v>
      </c>
      <c r="B359" s="3430" t="s">
        <v>3006</v>
      </c>
      <c r="C359" s="3430">
        <v>1850</v>
      </c>
      <c r="D359" s="3430">
        <v>1820</v>
      </c>
      <c r="E359" s="3430">
        <v>1780</v>
      </c>
      <c r="F359" s="3430">
        <v>520</v>
      </c>
      <c r="G359" s="3442">
        <v>1100</v>
      </c>
      <c r="H359" s="3443"/>
    </row>
    <row r="360" spans="1:8">
      <c r="A360" s="3450" t="s">
        <v>2760</v>
      </c>
      <c r="B360" s="3430" t="s">
        <v>3007</v>
      </c>
      <c r="C360" s="3430">
        <v>2020</v>
      </c>
      <c r="D360" s="3430">
        <v>1990</v>
      </c>
      <c r="E360" s="3430">
        <v>1950</v>
      </c>
      <c r="F360" s="3430">
        <v>500</v>
      </c>
      <c r="G360" s="3442">
        <v>1200</v>
      </c>
      <c r="H360" s="3443"/>
    </row>
    <row r="361" spans="1:8">
      <c r="A361" s="3450" t="s">
        <v>2760</v>
      </c>
      <c r="B361" s="3430" t="s">
        <v>999</v>
      </c>
      <c r="C361" s="3430">
        <v>2260</v>
      </c>
      <c r="D361" s="3430">
        <v>2220</v>
      </c>
      <c r="E361" s="3430">
        <v>2180</v>
      </c>
      <c r="F361" s="3430">
        <v>580</v>
      </c>
      <c r="G361" s="3442">
        <v>1340</v>
      </c>
      <c r="H361" s="3443"/>
    </row>
    <row r="362" spans="1:8">
      <c r="A362" s="3450" t="s">
        <v>2760</v>
      </c>
      <c r="B362" s="3430" t="s">
        <v>3008</v>
      </c>
      <c r="C362" s="3430">
        <v>2650</v>
      </c>
      <c r="D362" s="3430">
        <v>2610</v>
      </c>
      <c r="E362" s="3430">
        <v>2570</v>
      </c>
      <c r="F362" s="3430">
        <v>630</v>
      </c>
      <c r="G362" s="3442">
        <v>1570</v>
      </c>
      <c r="H362" s="3443"/>
    </row>
    <row r="363" spans="1:8">
      <c r="A363" s="3450" t="s">
        <v>2760</v>
      </c>
      <c r="B363" s="3430" t="s">
        <v>3009</v>
      </c>
      <c r="C363" s="3430">
        <v>2390</v>
      </c>
      <c r="D363" s="3430">
        <v>2360</v>
      </c>
      <c r="E363" s="3430">
        <v>2320</v>
      </c>
      <c r="F363" s="3430">
        <v>600</v>
      </c>
      <c r="G363" s="3442">
        <v>1420</v>
      </c>
      <c r="H363" s="3443"/>
    </row>
    <row r="364" spans="1:8">
      <c r="A364" s="3450" t="s">
        <v>2760</v>
      </c>
      <c r="B364" s="3430" t="s">
        <v>3010</v>
      </c>
      <c r="C364" s="3430">
        <v>2050</v>
      </c>
      <c r="D364" s="3430">
        <v>2030</v>
      </c>
      <c r="E364" s="3430">
        <v>1990</v>
      </c>
      <c r="F364" s="3430">
        <v>550</v>
      </c>
      <c r="G364" s="3442">
        <v>1220</v>
      </c>
      <c r="H364" s="3443"/>
    </row>
    <row r="365" spans="1:8">
      <c r="A365" s="3450" t="s">
        <v>2760</v>
      </c>
      <c r="B365" s="3430" t="s">
        <v>1047</v>
      </c>
      <c r="C365" s="3430">
        <v>2140</v>
      </c>
      <c r="D365" s="3430">
        <v>2100</v>
      </c>
      <c r="E365" s="3430">
        <v>2060</v>
      </c>
      <c r="F365" s="3430">
        <v>540</v>
      </c>
      <c r="G365" s="3442">
        <v>1270</v>
      </c>
      <c r="H365" s="3443"/>
    </row>
    <row r="366" spans="1:8">
      <c r="A366" s="3450" t="s">
        <v>2760</v>
      </c>
      <c r="B366" s="3430" t="s">
        <v>3011</v>
      </c>
      <c r="C366" s="3430">
        <v>2410</v>
      </c>
      <c r="D366" s="3430">
        <v>2370</v>
      </c>
      <c r="E366" s="3430">
        <v>2330</v>
      </c>
      <c r="F366" s="3430">
        <v>570</v>
      </c>
      <c r="G366" s="3442">
        <v>1440</v>
      </c>
      <c r="H366" s="3443"/>
    </row>
    <row r="367" spans="1:8">
      <c r="A367" s="3450" t="s">
        <v>2760</v>
      </c>
      <c r="B367" s="3430" t="s">
        <v>3012</v>
      </c>
      <c r="C367" s="3430">
        <v>2300</v>
      </c>
      <c r="D367" s="3430">
        <v>2260</v>
      </c>
      <c r="E367" s="3430">
        <v>2220</v>
      </c>
      <c r="F367" s="3430">
        <v>560</v>
      </c>
      <c r="G367" s="3442">
        <v>1370</v>
      </c>
      <c r="H367" s="3443"/>
    </row>
    <row r="368" spans="1:8">
      <c r="A368" s="3450" t="s">
        <v>2760</v>
      </c>
      <c r="B368" s="3430" t="s">
        <v>3013</v>
      </c>
      <c r="C368" s="3430">
        <v>2430</v>
      </c>
      <c r="D368" s="3430">
        <v>2390</v>
      </c>
      <c r="E368" s="3430">
        <v>2350</v>
      </c>
      <c r="F368" s="3430">
        <v>570</v>
      </c>
      <c r="G368" s="3442">
        <v>1450</v>
      </c>
      <c r="H368" s="3443"/>
    </row>
    <row r="369" spans="1:8">
      <c r="A369" s="3450" t="s">
        <v>2760</v>
      </c>
      <c r="B369" s="3430" t="s">
        <v>1061</v>
      </c>
      <c r="C369" s="3430">
        <v>2320</v>
      </c>
      <c r="D369" s="3430">
        <v>2290</v>
      </c>
      <c r="E369" s="3430">
        <v>2250</v>
      </c>
      <c r="F369" s="3430">
        <v>550</v>
      </c>
      <c r="G369" s="3442">
        <v>1380</v>
      </c>
      <c r="H369" s="3443"/>
    </row>
    <row r="370" spans="1:8">
      <c r="A370" s="3450" t="s">
        <v>2760</v>
      </c>
      <c r="B370" s="3430" t="s">
        <v>1069</v>
      </c>
      <c r="C370" s="3430">
        <v>2190</v>
      </c>
      <c r="D370" s="3430">
        <v>2170</v>
      </c>
      <c r="E370" s="3430">
        <v>2130</v>
      </c>
      <c r="F370" s="3430">
        <v>530</v>
      </c>
      <c r="G370" s="3442">
        <v>1310</v>
      </c>
      <c r="H370" s="3443"/>
    </row>
    <row r="371" spans="1:8">
      <c r="A371" s="3450" t="s">
        <v>2760</v>
      </c>
      <c r="B371" s="3430" t="s">
        <v>1077</v>
      </c>
      <c r="C371" s="3430">
        <v>2460</v>
      </c>
      <c r="D371" s="3430">
        <v>2420</v>
      </c>
      <c r="E371" s="3430">
        <v>2370</v>
      </c>
      <c r="F371" s="3430">
        <v>560</v>
      </c>
      <c r="G371" s="3442">
        <v>1470</v>
      </c>
      <c r="H371" s="3443"/>
    </row>
    <row r="372" spans="1:8">
      <c r="A372" s="3450" t="s">
        <v>2760</v>
      </c>
      <c r="B372" s="3430" t="s">
        <v>3014</v>
      </c>
      <c r="C372" s="3430">
        <v>2250</v>
      </c>
      <c r="D372" s="3430">
        <v>2210</v>
      </c>
      <c r="E372" s="3430">
        <v>2180</v>
      </c>
      <c r="F372" s="3430">
        <v>550</v>
      </c>
      <c r="G372" s="3442">
        <v>1340</v>
      </c>
      <c r="H372" s="3443"/>
    </row>
    <row r="373" spans="1:8">
      <c r="A373" s="3450" t="s">
        <v>2760</v>
      </c>
      <c r="B373" s="3430" t="s">
        <v>1106</v>
      </c>
      <c r="C373" s="3430">
        <v>2210</v>
      </c>
      <c r="D373" s="3430">
        <v>2190</v>
      </c>
      <c r="E373" s="3430">
        <v>2150</v>
      </c>
      <c r="F373" s="3430">
        <v>530</v>
      </c>
      <c r="G373" s="3442">
        <v>1320</v>
      </c>
      <c r="H373" s="3443"/>
    </row>
    <row r="374" spans="1:8">
      <c r="A374" s="3450" t="s">
        <v>2760</v>
      </c>
      <c r="B374" s="3430" t="s">
        <v>1114</v>
      </c>
      <c r="C374" s="3430">
        <v>2320</v>
      </c>
      <c r="D374" s="3430">
        <v>2280</v>
      </c>
      <c r="E374" s="3430">
        <v>2230</v>
      </c>
      <c r="F374" s="3430">
        <v>580</v>
      </c>
      <c r="G374" s="3442">
        <v>1380</v>
      </c>
      <c r="H374" s="3443"/>
    </row>
    <row r="375" spans="1:8">
      <c r="A375" s="3450" t="s">
        <v>2760</v>
      </c>
      <c r="B375" s="3430" t="s">
        <v>3015</v>
      </c>
      <c r="C375" s="3430">
        <v>2090</v>
      </c>
      <c r="D375" s="3430">
        <v>2050</v>
      </c>
      <c r="E375" s="3430">
        <v>2020</v>
      </c>
      <c r="F375" s="3430">
        <v>520</v>
      </c>
      <c r="G375" s="3442">
        <v>1240</v>
      </c>
      <c r="H375" s="3443"/>
    </row>
    <row r="376" spans="1:8">
      <c r="A376" s="3450" t="s">
        <v>2760</v>
      </c>
      <c r="B376" s="3430" t="s">
        <v>1126</v>
      </c>
      <c r="C376" s="3430">
        <v>2010</v>
      </c>
      <c r="D376" s="3430">
        <v>1980</v>
      </c>
      <c r="E376" s="3430">
        <v>1940</v>
      </c>
      <c r="F376" s="3430">
        <v>540</v>
      </c>
      <c r="G376" s="3442">
        <v>1190</v>
      </c>
      <c r="H376" s="3443"/>
    </row>
    <row r="377" spans="1:8" ht="14.25" thickBot="1">
      <c r="A377" s="3452" t="s">
        <v>2760</v>
      </c>
      <c r="B377" s="3446" t="s">
        <v>3016</v>
      </c>
      <c r="C377" s="3446">
        <v>1930</v>
      </c>
      <c r="D377" s="3446">
        <v>1890</v>
      </c>
      <c r="E377" s="3446">
        <v>1860</v>
      </c>
      <c r="F377" s="3446">
        <v>530</v>
      </c>
      <c r="G377" s="3453">
        <v>1150</v>
      </c>
      <c r="H377" s="3443"/>
    </row>
    <row r="378" spans="1:8">
      <c r="A378" s="3447" t="s">
        <v>2761</v>
      </c>
      <c r="B378" s="3448" t="s">
        <v>3017</v>
      </c>
      <c r="C378" s="3448">
        <v>1520</v>
      </c>
      <c r="D378" s="3448">
        <v>1490</v>
      </c>
      <c r="E378" s="3448">
        <v>1460</v>
      </c>
      <c r="F378" s="3448">
        <v>460</v>
      </c>
      <c r="G378" s="3449">
        <v>940</v>
      </c>
      <c r="H378" s="3443"/>
    </row>
    <row r="379" spans="1:8">
      <c r="A379" s="3450" t="s">
        <v>2761</v>
      </c>
      <c r="B379" s="3430" t="s">
        <v>3018</v>
      </c>
      <c r="C379" s="3430">
        <v>1500</v>
      </c>
      <c r="D379" s="3430">
        <v>1470</v>
      </c>
      <c r="E379" s="3430">
        <v>1430</v>
      </c>
      <c r="F379" s="3430">
        <v>460</v>
      </c>
      <c r="G379" s="3442">
        <v>920</v>
      </c>
      <c r="H379" s="3443"/>
    </row>
    <row r="380" spans="1:8">
      <c r="A380" s="3450" t="s">
        <v>2761</v>
      </c>
      <c r="B380" s="3430" t="s">
        <v>3019</v>
      </c>
      <c r="C380" s="3430">
        <v>1620</v>
      </c>
      <c r="D380" s="3430">
        <v>1590</v>
      </c>
      <c r="E380" s="3430">
        <v>1560</v>
      </c>
      <c r="F380" s="3430">
        <v>480</v>
      </c>
      <c r="G380" s="3442">
        <v>1000</v>
      </c>
      <c r="H380" s="3443"/>
    </row>
    <row r="381" spans="1:8">
      <c r="A381" s="3450" t="s">
        <v>2761</v>
      </c>
      <c r="B381" s="3430" t="s">
        <v>3020</v>
      </c>
      <c r="C381" s="3430">
        <v>1460</v>
      </c>
      <c r="D381" s="3430">
        <v>1430</v>
      </c>
      <c r="E381" s="3430">
        <v>1390</v>
      </c>
      <c r="F381" s="3430">
        <v>450</v>
      </c>
      <c r="G381" s="3442">
        <v>900</v>
      </c>
      <c r="H381" s="3443"/>
    </row>
    <row r="382" spans="1:8">
      <c r="A382" s="3450" t="s">
        <v>2761</v>
      </c>
      <c r="B382" s="3430" t="s">
        <v>3021</v>
      </c>
      <c r="C382" s="3430">
        <v>1310</v>
      </c>
      <c r="D382" s="3430">
        <v>1280</v>
      </c>
      <c r="E382" s="3430">
        <v>1250</v>
      </c>
      <c r="F382" s="3430">
        <v>440</v>
      </c>
      <c r="G382" s="3442">
        <v>800</v>
      </c>
      <c r="H382" s="3443"/>
    </row>
    <row r="383" spans="1:8">
      <c r="A383" s="3450" t="s">
        <v>2761</v>
      </c>
      <c r="B383" s="3430" t="s">
        <v>3022</v>
      </c>
      <c r="C383" s="3430">
        <v>1260</v>
      </c>
      <c r="D383" s="3430">
        <v>1230</v>
      </c>
      <c r="E383" s="3430">
        <v>1200</v>
      </c>
      <c r="F383" s="3430">
        <v>420</v>
      </c>
      <c r="G383" s="3442">
        <v>770</v>
      </c>
      <c r="H383" s="3443"/>
    </row>
    <row r="384" spans="1:8" ht="14.25" thickBot="1">
      <c r="A384" s="3451" t="s">
        <v>2761</v>
      </c>
      <c r="B384" s="3445" t="s">
        <v>3023</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9" t="s">
        <v>3186</v>
      </c>
      <c r="B1" s="3939"/>
      <c r="C1" s="3939"/>
      <c r="D1" s="3939"/>
      <c r="E1" s="3939"/>
      <c r="F1" s="3940"/>
    </row>
    <row r="2" spans="1:6">
      <c r="A2" s="3497" t="s">
        <v>3187</v>
      </c>
      <c r="B2" s="3498"/>
      <c r="C2" s="3498"/>
      <c r="D2" s="3498"/>
      <c r="E2" s="3498"/>
      <c r="F2" s="3498"/>
    </row>
    <row r="3" spans="1:6">
      <c r="A3" s="3497" t="s">
        <v>3188</v>
      </c>
      <c r="B3" s="3498"/>
      <c r="C3" s="3498"/>
      <c r="D3" s="3498"/>
      <c r="E3" s="3498"/>
      <c r="F3" s="3499" t="s">
        <v>3189</v>
      </c>
    </row>
    <row r="4" spans="1:6">
      <c r="A4" s="3500" t="s">
        <v>3184</v>
      </c>
      <c r="B4" s="3500" t="s">
        <v>2736</v>
      </c>
      <c r="C4" s="3500" t="s">
        <v>1212</v>
      </c>
      <c r="D4" s="3500" t="s">
        <v>3185</v>
      </c>
      <c r="E4" s="3500" t="s">
        <v>905</v>
      </c>
      <c r="F4" s="3500" t="s">
        <v>3190</v>
      </c>
    </row>
    <row r="5" spans="1:6">
      <c r="A5" s="3501" t="s">
        <v>2759</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2760</v>
      </c>
      <c r="B16" s="3503">
        <v>2230</v>
      </c>
      <c r="C16" s="3503">
        <v>2200</v>
      </c>
      <c r="D16" s="3503">
        <v>2180</v>
      </c>
      <c r="E16" s="3503">
        <v>570</v>
      </c>
      <c r="F16" s="3503">
        <v>1330</v>
      </c>
    </row>
    <row r="17" spans="1:6">
      <c r="A17" s="3501" t="s">
        <v>2761</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2773</v>
      </c>
      <c r="B1" s="970"/>
      <c r="C1" s="970"/>
      <c r="D1" s="970"/>
      <c r="E1" s="970"/>
      <c r="F1" s="970"/>
      <c r="G1" s="970"/>
      <c r="H1" s="970"/>
      <c r="I1" s="970"/>
      <c r="J1" s="970"/>
      <c r="K1" s="970"/>
      <c r="L1" s="970"/>
      <c r="M1" s="970"/>
      <c r="N1" s="970"/>
    </row>
    <row r="2" spans="1:14">
      <c r="A2" s="972" t="s">
        <v>1548</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2774</v>
      </c>
      <c r="B93" s="981"/>
      <c r="C93" s="981"/>
      <c r="D93" s="981"/>
      <c r="E93" s="981"/>
      <c r="F93" s="981"/>
      <c r="G93" s="981"/>
      <c r="H93" s="981"/>
      <c r="I93" s="981"/>
      <c r="J93" s="981"/>
      <c r="K93" s="981"/>
      <c r="L93" s="981"/>
      <c r="M93" s="981"/>
    </row>
    <row r="94" spans="1:14">
      <c r="A94" s="989" t="s">
        <v>1548</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2775</v>
      </c>
      <c r="B185" s="981"/>
      <c r="C185" s="981"/>
      <c r="D185" s="981"/>
      <c r="E185" s="981"/>
      <c r="F185" s="981"/>
      <c r="G185" s="981"/>
      <c r="H185" s="981"/>
      <c r="I185" s="981"/>
      <c r="J185" s="981"/>
      <c r="K185" s="981"/>
      <c r="L185" s="981"/>
      <c r="M185" s="981"/>
    </row>
    <row r="186" spans="1:13">
      <c r="A186" s="972" t="s">
        <v>1548</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2776</v>
      </c>
      <c r="B277" s="981"/>
      <c r="C277" s="981"/>
      <c r="D277" s="981"/>
      <c r="E277" s="981"/>
      <c r="F277" s="981"/>
      <c r="G277" s="981"/>
      <c r="H277" s="981"/>
      <c r="I277" s="981"/>
      <c r="J277" s="981"/>
      <c r="K277" s="981"/>
      <c r="L277" s="981"/>
      <c r="M277" s="981"/>
    </row>
    <row r="278" spans="1:13">
      <c r="A278" s="972" t="s">
        <v>1548</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2777</v>
      </c>
      <c r="B369" s="981"/>
      <c r="C369" s="981"/>
      <c r="D369" s="981"/>
      <c r="E369" s="981"/>
      <c r="F369" s="981"/>
      <c r="G369" s="981"/>
      <c r="H369" s="981"/>
      <c r="I369" s="981"/>
      <c r="J369" s="981"/>
      <c r="K369" s="981"/>
      <c r="L369" s="981"/>
      <c r="M369" s="981"/>
    </row>
    <row r="370" spans="1:14">
      <c r="A370" s="972" t="s">
        <v>1548</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0"/>
  </cols>
  <sheetData>
    <row r="1" spans="1:7">
      <c r="A1" s="3941" t="s">
        <v>3024</v>
      </c>
      <c r="B1" s="3941"/>
    </row>
    <row r="2" spans="1:7" ht="14.25" thickBot="1">
      <c r="A2" s="3462"/>
      <c r="B2" s="3462"/>
    </row>
    <row r="3" spans="1:7" ht="14.25" thickBot="1">
      <c r="A3" s="3462"/>
      <c r="B3" s="3462"/>
      <c r="C3" s="3463" t="s">
        <v>3025</v>
      </c>
      <c r="D3" s="3463" t="s">
        <v>3026</v>
      </c>
      <c r="E3" s="3463" t="s">
        <v>3027</v>
      </c>
      <c r="F3" s="3463" t="s">
        <v>3028</v>
      </c>
      <c r="G3" s="3463" t="s">
        <v>3029</v>
      </c>
    </row>
    <row r="4" spans="1:7" ht="14.25" thickBot="1">
      <c r="A4" s="3464" t="s">
        <v>3030</v>
      </c>
      <c r="B4" s="3465" t="s">
        <v>3031</v>
      </c>
      <c r="C4" s="3463"/>
      <c r="D4" s="3463"/>
      <c r="E4" s="3463"/>
      <c r="F4" s="3463"/>
      <c r="G4" s="3463"/>
    </row>
    <row r="5" spans="1:7">
      <c r="A5" s="3466" t="s">
        <v>3032</v>
      </c>
      <c r="B5" s="3467" t="s">
        <v>3033</v>
      </c>
      <c r="C5" s="3468">
        <v>9.8000000000000004E-2</v>
      </c>
      <c r="D5" s="3468">
        <v>8.6999999999999994E-2</v>
      </c>
      <c r="E5" s="3468">
        <v>8.6999999999999994E-2</v>
      </c>
      <c r="F5" s="3468">
        <v>9.8000000000000004E-2</v>
      </c>
      <c r="G5" s="3469">
        <v>9.5000000000000001E-2</v>
      </c>
    </row>
    <row r="6" spans="1:7">
      <c r="A6" s="3470" t="s">
        <v>990</v>
      </c>
      <c r="B6" s="3471" t="s">
        <v>3034</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3035</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3036</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2822</v>
      </c>
      <c r="C29" s="3480"/>
      <c r="D29" s="3476">
        <v>5.1999999999999998E-2</v>
      </c>
      <c r="E29" s="3476">
        <v>7.0000000000000007E-2</v>
      </c>
      <c r="F29" s="3480"/>
      <c r="G29" s="3478">
        <v>7.0999999999999994E-2</v>
      </c>
    </row>
    <row r="30" spans="1:7">
      <c r="A30" s="3481" t="s">
        <v>1145</v>
      </c>
      <c r="B30" s="3467" t="s">
        <v>3037</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3038</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2824</v>
      </c>
      <c r="C50" s="3472">
        <v>9.8000000000000004E-2</v>
      </c>
      <c r="D50" s="3472">
        <v>7.2999999999999995E-2</v>
      </c>
      <c r="E50" s="3472">
        <v>7.0999999999999994E-2</v>
      </c>
      <c r="F50" s="3483"/>
      <c r="G50" s="3473">
        <v>7.2999999999999995E-2</v>
      </c>
    </row>
    <row r="51" spans="1:7">
      <c r="A51" s="3482" t="s">
        <v>1145</v>
      </c>
      <c r="B51" s="3471" t="s">
        <v>2825</v>
      </c>
      <c r="C51" s="3472">
        <v>9.9000000000000005E-2</v>
      </c>
      <c r="D51" s="3472">
        <v>8.5000000000000006E-2</v>
      </c>
      <c r="E51" s="3472">
        <v>6.3E-2</v>
      </c>
      <c r="F51" s="3483"/>
      <c r="G51" s="3473">
        <v>9.6000000000000002E-2</v>
      </c>
    </row>
    <row r="52" spans="1:7">
      <c r="A52" s="3482" t="s">
        <v>1145</v>
      </c>
      <c r="B52" s="3471" t="s">
        <v>2826</v>
      </c>
      <c r="C52" s="3472">
        <v>7.3999999999999996E-2</v>
      </c>
      <c r="D52" s="3472">
        <v>9.6000000000000002E-2</v>
      </c>
      <c r="E52" s="3472">
        <v>0.05</v>
      </c>
      <c r="F52" s="3483"/>
      <c r="G52" s="3473">
        <v>9.8000000000000004E-2</v>
      </c>
    </row>
    <row r="53" spans="1:7">
      <c r="A53" s="3482" t="s">
        <v>1145</v>
      </c>
      <c r="B53" s="3471" t="s">
        <v>2827</v>
      </c>
      <c r="C53" s="3472">
        <v>8.5999999999999993E-2</v>
      </c>
      <c r="D53" s="3483"/>
      <c r="E53" s="3472">
        <v>9.1999999999999998E-2</v>
      </c>
      <c r="F53" s="3483"/>
      <c r="G53" s="3484"/>
    </row>
    <row r="54" spans="1:7" ht="14.25" thickBot="1">
      <c r="A54" s="3485" t="s">
        <v>1145</v>
      </c>
      <c r="B54" s="3475" t="s">
        <v>2828</v>
      </c>
      <c r="C54" s="3476">
        <v>9.6000000000000002E-2</v>
      </c>
      <c r="D54" s="3477"/>
      <c r="E54" s="3486"/>
      <c r="F54" s="3477"/>
      <c r="G54" s="3487"/>
    </row>
    <row r="55" spans="1:7">
      <c r="A55" s="3481" t="s">
        <v>853</v>
      </c>
      <c r="B55" s="3467" t="s">
        <v>3039</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2830</v>
      </c>
      <c r="C78" s="3472">
        <v>0.1</v>
      </c>
      <c r="D78" s="3472">
        <v>8.5000000000000006E-2</v>
      </c>
      <c r="E78" s="3472">
        <v>9.6000000000000002E-2</v>
      </c>
      <c r="F78" s="3483"/>
      <c r="G78" s="3473">
        <v>9.6000000000000002E-2</v>
      </c>
    </row>
    <row r="79" spans="1:7">
      <c r="A79" s="3482" t="s">
        <v>853</v>
      </c>
      <c r="B79" s="3471" t="s">
        <v>2831</v>
      </c>
      <c r="C79" s="3472">
        <v>0.05</v>
      </c>
      <c r="D79" s="3472">
        <v>9.6000000000000002E-2</v>
      </c>
      <c r="E79" s="3472">
        <v>9.5000000000000001E-2</v>
      </c>
      <c r="F79" s="3483"/>
      <c r="G79" s="3473">
        <v>9.8000000000000004E-2</v>
      </c>
    </row>
    <row r="80" spans="1:7">
      <c r="A80" s="3482" t="s">
        <v>853</v>
      </c>
      <c r="B80" s="3471" t="s">
        <v>2832</v>
      </c>
      <c r="C80" s="3472">
        <v>8.5999999999999993E-2</v>
      </c>
      <c r="D80" s="3488"/>
      <c r="E80" s="3472">
        <v>0.1</v>
      </c>
      <c r="F80" s="3483"/>
      <c r="G80" s="3484"/>
    </row>
    <row r="81" spans="1:7">
      <c r="A81" s="3482" t="s">
        <v>853</v>
      </c>
      <c r="B81" s="3471" t="s">
        <v>2833</v>
      </c>
      <c r="C81" s="3472">
        <v>9.6000000000000002E-2</v>
      </c>
      <c r="D81" s="3483"/>
      <c r="E81" s="3472">
        <v>9.8000000000000004E-2</v>
      </c>
      <c r="F81" s="3483"/>
      <c r="G81" s="3484"/>
    </row>
    <row r="82" spans="1:7">
      <c r="A82" s="3482" t="s">
        <v>853</v>
      </c>
      <c r="B82" s="3471" t="s">
        <v>2834</v>
      </c>
      <c r="C82" s="3488"/>
      <c r="D82" s="3483"/>
      <c r="E82" s="3472">
        <v>7.6999999999999999E-2</v>
      </c>
      <c r="F82" s="3483"/>
      <c r="G82" s="3484"/>
    </row>
    <row r="83" spans="1:7">
      <c r="A83" s="3482" t="s">
        <v>853</v>
      </c>
      <c r="B83" s="3471" t="s">
        <v>3040</v>
      </c>
      <c r="C83" s="3483"/>
      <c r="D83" s="3483"/>
      <c r="E83" s="3483"/>
      <c r="F83" s="3472">
        <v>0.1</v>
      </c>
      <c r="G83" s="3489"/>
    </row>
    <row r="84" spans="1:7">
      <c r="A84" s="3482" t="s">
        <v>853</v>
      </c>
      <c r="B84" s="3471" t="s">
        <v>3041</v>
      </c>
      <c r="C84" s="3483"/>
      <c r="D84" s="3483"/>
      <c r="E84" s="3483"/>
      <c r="F84" s="3472">
        <v>0.1</v>
      </c>
      <c r="G84" s="3489"/>
    </row>
    <row r="85" spans="1:7">
      <c r="A85" s="3482" t="s">
        <v>853</v>
      </c>
      <c r="B85" s="3471" t="s">
        <v>3042</v>
      </c>
      <c r="C85" s="3483"/>
      <c r="D85" s="3483"/>
      <c r="E85" s="3483"/>
      <c r="F85" s="3472">
        <v>0.1</v>
      </c>
      <c r="G85" s="3489"/>
    </row>
    <row r="86" spans="1:7" ht="14.25" thickBot="1">
      <c r="A86" s="3485" t="s">
        <v>853</v>
      </c>
      <c r="B86" s="3475" t="s">
        <v>3043</v>
      </c>
      <c r="C86" s="3476">
        <v>9.8000000000000004E-2</v>
      </c>
      <c r="D86" s="3476">
        <v>9.8000000000000004E-2</v>
      </c>
      <c r="E86" s="3476">
        <v>9.6000000000000002E-2</v>
      </c>
      <c r="F86" s="3486"/>
      <c r="G86" s="3478">
        <v>0.1</v>
      </c>
    </row>
    <row r="87" spans="1:7">
      <c r="A87" s="3481" t="s">
        <v>1152</v>
      </c>
      <c r="B87" s="3467" t="s">
        <v>3044</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2840</v>
      </c>
      <c r="C113" s="3472">
        <v>0.1</v>
      </c>
      <c r="D113" s="3472">
        <v>0.1</v>
      </c>
      <c r="E113" s="3483"/>
      <c r="F113" s="3483"/>
      <c r="G113" s="3473">
        <v>0.1</v>
      </c>
    </row>
    <row r="114" spans="1:7">
      <c r="A114" s="3482" t="s">
        <v>1152</v>
      </c>
      <c r="B114" s="3471" t="s">
        <v>2841</v>
      </c>
      <c r="C114" s="3472">
        <v>9.7000000000000003E-2</v>
      </c>
      <c r="D114" s="3472">
        <v>9.7000000000000003E-2</v>
      </c>
      <c r="E114" s="3483"/>
      <c r="F114" s="3483"/>
      <c r="G114" s="3473">
        <v>9.9000000000000005E-2</v>
      </c>
    </row>
    <row r="115" spans="1:7">
      <c r="A115" s="3482" t="s">
        <v>1152</v>
      </c>
      <c r="B115" s="3471" t="s">
        <v>2842</v>
      </c>
      <c r="C115" s="3472">
        <v>0.1</v>
      </c>
      <c r="D115" s="3472">
        <v>0.1</v>
      </c>
      <c r="E115" s="3483"/>
      <c r="F115" s="3483"/>
      <c r="G115" s="3473">
        <v>0.1</v>
      </c>
    </row>
    <row r="116" spans="1:7">
      <c r="A116" s="3482" t="s">
        <v>1152</v>
      </c>
      <c r="B116" s="3471" t="s">
        <v>2843</v>
      </c>
      <c r="C116" s="3472">
        <v>0.1</v>
      </c>
      <c r="D116" s="3472">
        <v>0.1</v>
      </c>
      <c r="E116" s="3483"/>
      <c r="F116" s="3483"/>
      <c r="G116" s="3473">
        <v>0.1</v>
      </c>
    </row>
    <row r="117" spans="1:7">
      <c r="A117" s="3482" t="s">
        <v>1152</v>
      </c>
      <c r="B117" s="3471" t="s">
        <v>2844</v>
      </c>
      <c r="C117" s="3472">
        <v>9.7000000000000003E-2</v>
      </c>
      <c r="D117" s="3472">
        <v>9.7000000000000003E-2</v>
      </c>
      <c r="E117" s="3483"/>
      <c r="F117" s="3483"/>
      <c r="G117" s="3473">
        <v>9.7000000000000003E-2</v>
      </c>
    </row>
    <row r="118" spans="1:7">
      <c r="A118" s="3482" t="s">
        <v>1152</v>
      </c>
      <c r="B118" s="3471" t="s">
        <v>2845</v>
      </c>
      <c r="C118" s="3472">
        <v>0.1</v>
      </c>
      <c r="D118" s="3472">
        <v>0.1</v>
      </c>
      <c r="E118" s="3483"/>
      <c r="F118" s="3483"/>
      <c r="G118" s="3473">
        <v>0.1</v>
      </c>
    </row>
    <row r="119" spans="1:7">
      <c r="A119" s="3482" t="s">
        <v>1152</v>
      </c>
      <c r="B119" s="3471" t="s">
        <v>2846</v>
      </c>
      <c r="C119" s="3472">
        <v>5.0999999999999997E-2</v>
      </c>
      <c r="D119" s="3472">
        <v>5.1999999999999998E-2</v>
      </c>
      <c r="E119" s="3483"/>
      <c r="F119" s="3488"/>
      <c r="G119" s="3473">
        <v>0.06</v>
      </c>
    </row>
    <row r="120" spans="1:7">
      <c r="A120" s="3482" t="s">
        <v>1152</v>
      </c>
      <c r="B120" s="3471" t="s">
        <v>3045</v>
      </c>
      <c r="C120" s="3483"/>
      <c r="D120" s="3483"/>
      <c r="E120" s="3483"/>
      <c r="F120" s="3472">
        <v>0.1</v>
      </c>
      <c r="G120" s="3489"/>
    </row>
    <row r="121" spans="1:7">
      <c r="A121" s="3482" t="s">
        <v>1152</v>
      </c>
      <c r="B121" s="3471" t="s">
        <v>3046</v>
      </c>
      <c r="C121" s="3483"/>
      <c r="D121" s="3483"/>
      <c r="E121" s="3483"/>
      <c r="F121" s="3472">
        <v>0.1</v>
      </c>
      <c r="G121" s="3489"/>
    </row>
    <row r="122" spans="1:7">
      <c r="A122" s="3482" t="s">
        <v>1152</v>
      </c>
      <c r="B122" s="3471" t="s">
        <v>3047</v>
      </c>
      <c r="C122" s="3472">
        <v>0.1</v>
      </c>
      <c r="D122" s="3472">
        <v>0.1</v>
      </c>
      <c r="E122" s="3472">
        <v>9.8000000000000004E-2</v>
      </c>
      <c r="F122" s="3472">
        <v>0.1</v>
      </c>
      <c r="G122" s="3473">
        <v>0.1</v>
      </c>
    </row>
    <row r="123" spans="1:7">
      <c r="A123" s="3482" t="s">
        <v>1152</v>
      </c>
      <c r="B123" s="3471" t="s">
        <v>2850</v>
      </c>
      <c r="C123" s="3472">
        <v>0.1</v>
      </c>
      <c r="D123" s="3472">
        <v>0.1</v>
      </c>
      <c r="E123" s="3472">
        <v>9.8000000000000004E-2</v>
      </c>
      <c r="F123" s="3472">
        <v>0.1</v>
      </c>
      <c r="G123" s="3473">
        <v>0.1</v>
      </c>
    </row>
    <row r="124" spans="1:7">
      <c r="A124" s="3482" t="s">
        <v>1152</v>
      </c>
      <c r="B124" s="3471" t="s">
        <v>2851</v>
      </c>
      <c r="C124" s="3472">
        <v>0.1</v>
      </c>
      <c r="D124" s="3472">
        <v>0.1</v>
      </c>
      <c r="E124" s="3472">
        <v>9.8000000000000004E-2</v>
      </c>
      <c r="F124" s="3488"/>
      <c r="G124" s="3473">
        <v>0.1</v>
      </c>
    </row>
    <row r="125" spans="1:7">
      <c r="A125" s="3482" t="s">
        <v>1152</v>
      </c>
      <c r="B125" s="3471" t="s">
        <v>2852</v>
      </c>
      <c r="C125" s="3472">
        <v>9.8000000000000004E-2</v>
      </c>
      <c r="D125" s="3472">
        <v>9.8000000000000004E-2</v>
      </c>
      <c r="E125" s="3472">
        <v>9.6000000000000002E-2</v>
      </c>
      <c r="F125" s="3488"/>
      <c r="G125" s="3473">
        <v>0.1</v>
      </c>
    </row>
    <row r="126" spans="1:7" ht="14.25" thickBot="1">
      <c r="A126" s="3485" t="s">
        <v>1152</v>
      </c>
      <c r="B126" s="3475" t="s">
        <v>3048</v>
      </c>
      <c r="C126" s="3476">
        <v>0.1</v>
      </c>
      <c r="D126" s="3476">
        <v>0.1</v>
      </c>
      <c r="E126" s="3476">
        <v>9.8000000000000004E-2</v>
      </c>
      <c r="F126" s="3476">
        <v>0.1</v>
      </c>
      <c r="G126" s="3478">
        <v>0.1</v>
      </c>
    </row>
    <row r="127" spans="1:7">
      <c r="A127" s="3481" t="s">
        <v>1153</v>
      </c>
      <c r="B127" s="3467" t="s">
        <v>3049</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3050</v>
      </c>
      <c r="C148" s="3472">
        <v>0.13</v>
      </c>
      <c r="D148" s="3472">
        <v>0.13</v>
      </c>
      <c r="E148" s="3472">
        <v>0.13</v>
      </c>
      <c r="F148" s="3483"/>
      <c r="G148" s="3473">
        <v>0.13</v>
      </c>
    </row>
    <row r="149" spans="1:7">
      <c r="A149" s="3482" t="s">
        <v>1153</v>
      </c>
      <c r="B149" s="3471" t="s">
        <v>3051</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2857</v>
      </c>
      <c r="C153" s="3472">
        <v>0.13</v>
      </c>
      <c r="D153" s="3472">
        <v>0.13</v>
      </c>
      <c r="E153" s="3472">
        <v>0.13</v>
      </c>
      <c r="F153" s="3472">
        <v>0.13</v>
      </c>
      <c r="G153" s="3473">
        <v>0.13</v>
      </c>
    </row>
    <row r="154" spans="1:7">
      <c r="A154" s="3482" t="s">
        <v>1153</v>
      </c>
      <c r="B154" s="3471" t="s">
        <v>3052</v>
      </c>
      <c r="C154" s="3472">
        <v>0.121</v>
      </c>
      <c r="D154" s="3472">
        <v>0.121</v>
      </c>
      <c r="E154" s="3472">
        <v>0.105</v>
      </c>
      <c r="F154" s="3472">
        <v>0.121</v>
      </c>
      <c r="G154" s="3473">
        <v>0.123</v>
      </c>
    </row>
    <row r="155" spans="1:7">
      <c r="A155" s="3482" t="s">
        <v>1153</v>
      </c>
      <c r="B155" s="3471" t="s">
        <v>2859</v>
      </c>
      <c r="C155" s="3472">
        <v>0.1</v>
      </c>
      <c r="D155" s="3472">
        <v>0.1</v>
      </c>
      <c r="E155" s="3472">
        <v>0.1</v>
      </c>
      <c r="F155" s="3472">
        <v>0.1</v>
      </c>
      <c r="G155" s="3473">
        <v>0.1</v>
      </c>
    </row>
    <row r="156" spans="1:7">
      <c r="A156" s="3482" t="s">
        <v>1153</v>
      </c>
      <c r="B156" s="3471" t="s">
        <v>3053</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3054</v>
      </c>
      <c r="C160" s="3472">
        <v>0.13</v>
      </c>
      <c r="D160" s="3472">
        <v>0.13</v>
      </c>
      <c r="E160" s="3472">
        <v>0.124</v>
      </c>
      <c r="F160" s="3472">
        <v>0.126</v>
      </c>
      <c r="G160" s="3473">
        <v>0.13</v>
      </c>
    </row>
    <row r="161" spans="1:7">
      <c r="A161" s="3482" t="s">
        <v>1153</v>
      </c>
      <c r="B161" s="3471" t="s">
        <v>2862</v>
      </c>
      <c r="C161" s="3472">
        <v>0.13</v>
      </c>
      <c r="D161" s="3472">
        <v>0.13</v>
      </c>
      <c r="E161" s="3472">
        <v>0.124</v>
      </c>
      <c r="F161" s="3472">
        <v>0.127</v>
      </c>
      <c r="G161" s="3473">
        <v>0.13</v>
      </c>
    </row>
    <row r="162" spans="1:7">
      <c r="A162" s="3482" t="s">
        <v>1153</v>
      </c>
      <c r="B162" s="3471" t="s">
        <v>2863</v>
      </c>
      <c r="C162" s="3472">
        <v>0.1</v>
      </c>
      <c r="D162" s="3472">
        <v>0.1</v>
      </c>
      <c r="E162" s="3472">
        <v>0.1</v>
      </c>
      <c r="F162" s="3472">
        <v>0.121</v>
      </c>
      <c r="G162" s="3473">
        <v>0.105</v>
      </c>
    </row>
    <row r="163" spans="1:7">
      <c r="A163" s="3482" t="s">
        <v>1153</v>
      </c>
      <c r="B163" s="3471" t="s">
        <v>2864</v>
      </c>
      <c r="C163" s="3472">
        <v>0.1</v>
      </c>
      <c r="D163" s="3472">
        <v>0.1</v>
      </c>
      <c r="E163" s="3472">
        <v>0.1</v>
      </c>
      <c r="F163" s="3472">
        <v>0.1</v>
      </c>
      <c r="G163" s="3473">
        <v>0.1</v>
      </c>
    </row>
    <row r="164" spans="1:7">
      <c r="A164" s="3482" t="s">
        <v>1153</v>
      </c>
      <c r="B164" s="3471" t="s">
        <v>2865</v>
      </c>
      <c r="C164" s="3488"/>
      <c r="D164" s="3488"/>
      <c r="E164" s="3488"/>
      <c r="F164" s="3472">
        <v>0.1</v>
      </c>
      <c r="G164" s="3484"/>
    </row>
    <row r="165" spans="1:7">
      <c r="A165" s="3482" t="s">
        <v>1153</v>
      </c>
      <c r="B165" s="3471" t="s">
        <v>3055</v>
      </c>
      <c r="C165" s="3472">
        <v>0.126</v>
      </c>
      <c r="D165" s="3472">
        <v>0.126</v>
      </c>
      <c r="E165" s="3472">
        <v>0.11899999999999999</v>
      </c>
      <c r="F165" s="3472">
        <v>0.13</v>
      </c>
      <c r="G165" s="3473">
        <v>0.128</v>
      </c>
    </row>
    <row r="166" spans="1:7">
      <c r="A166" s="3482" t="s">
        <v>1153</v>
      </c>
      <c r="B166" s="3471" t="s">
        <v>2867</v>
      </c>
      <c r="C166" s="3472">
        <v>0.129</v>
      </c>
      <c r="D166" s="3472">
        <v>0.129</v>
      </c>
      <c r="E166" s="3472">
        <v>0.123</v>
      </c>
      <c r="F166" s="3472">
        <v>0.128</v>
      </c>
      <c r="G166" s="3473">
        <v>0.13</v>
      </c>
    </row>
    <row r="167" spans="1:7">
      <c r="A167" s="3482" t="s">
        <v>1153</v>
      </c>
      <c r="B167" s="3471" t="s">
        <v>2868</v>
      </c>
      <c r="C167" s="3472">
        <v>0.125</v>
      </c>
      <c r="D167" s="3472">
        <v>0.125</v>
      </c>
      <c r="E167" s="3472">
        <v>0.11700000000000001</v>
      </c>
      <c r="F167" s="3472">
        <v>0.13</v>
      </c>
      <c r="G167" s="3473">
        <v>0.126</v>
      </c>
    </row>
    <row r="168" spans="1:7">
      <c r="A168" s="3482" t="s">
        <v>1153</v>
      </c>
      <c r="B168" s="3471" t="s">
        <v>2869</v>
      </c>
      <c r="C168" s="3472">
        <v>0.128</v>
      </c>
      <c r="D168" s="3472">
        <v>0.128</v>
      </c>
      <c r="E168" s="3472">
        <v>0.123</v>
      </c>
      <c r="F168" s="3483"/>
      <c r="G168" s="3473">
        <v>0.13</v>
      </c>
    </row>
    <row r="169" spans="1:7">
      <c r="A169" s="3482" t="s">
        <v>1153</v>
      </c>
      <c r="B169" s="3471" t="s">
        <v>3056</v>
      </c>
      <c r="C169" s="3488"/>
      <c r="D169" s="3488"/>
      <c r="E169" s="3488"/>
      <c r="F169" s="3472">
        <v>0.05</v>
      </c>
      <c r="G169" s="3484"/>
    </row>
    <row r="170" spans="1:7">
      <c r="A170" s="3482" t="s">
        <v>1153</v>
      </c>
      <c r="B170" s="3471" t="s">
        <v>3057</v>
      </c>
      <c r="C170" s="3488"/>
      <c r="D170" s="3488"/>
      <c r="E170" s="3488"/>
      <c r="F170" s="3472">
        <v>0.05</v>
      </c>
      <c r="G170" s="3484"/>
    </row>
    <row r="171" spans="1:7">
      <c r="A171" s="3482" t="s">
        <v>1153</v>
      </c>
      <c r="B171" s="3471" t="s">
        <v>3058</v>
      </c>
      <c r="C171" s="3488"/>
      <c r="D171" s="3488"/>
      <c r="E171" s="3488"/>
      <c r="F171" s="3472">
        <v>0.05</v>
      </c>
      <c r="G171" s="3489"/>
    </row>
    <row r="172" spans="1:7">
      <c r="A172" s="3482" t="s">
        <v>1153</v>
      </c>
      <c r="B172" s="3471" t="s">
        <v>3059</v>
      </c>
      <c r="C172" s="3488"/>
      <c r="D172" s="3488"/>
      <c r="E172" s="3488"/>
      <c r="F172" s="3472">
        <v>0.05</v>
      </c>
      <c r="G172" s="3489"/>
    </row>
    <row r="173" spans="1:7">
      <c r="A173" s="3482" t="s">
        <v>1153</v>
      </c>
      <c r="B173" s="3471" t="s">
        <v>3060</v>
      </c>
      <c r="C173" s="3488"/>
      <c r="D173" s="3488"/>
      <c r="E173" s="3488"/>
      <c r="F173" s="3472">
        <v>0.05</v>
      </c>
      <c r="G173" s="3484"/>
    </row>
    <row r="174" spans="1:7">
      <c r="A174" s="3482" t="s">
        <v>1153</v>
      </c>
      <c r="B174" s="3471" t="s">
        <v>3061</v>
      </c>
      <c r="C174" s="3488"/>
      <c r="D174" s="3488"/>
      <c r="E174" s="3488"/>
      <c r="F174" s="3472">
        <v>0.05</v>
      </c>
      <c r="G174" s="3484"/>
    </row>
    <row r="175" spans="1:7">
      <c r="A175" s="3482" t="s">
        <v>1153</v>
      </c>
      <c r="B175" s="3471" t="s">
        <v>3062</v>
      </c>
      <c r="C175" s="3488"/>
      <c r="D175" s="3488"/>
      <c r="E175" s="3488"/>
      <c r="F175" s="3472">
        <v>0.05</v>
      </c>
      <c r="G175" s="3484"/>
    </row>
    <row r="176" spans="1:7">
      <c r="A176" s="3482" t="s">
        <v>1153</v>
      </c>
      <c r="B176" s="3471" t="s">
        <v>3063</v>
      </c>
      <c r="C176" s="3488"/>
      <c r="D176" s="3488"/>
      <c r="E176" s="3488"/>
      <c r="F176" s="3472">
        <v>0.05</v>
      </c>
      <c r="G176" s="3484"/>
    </row>
    <row r="177" spans="1:7">
      <c r="A177" s="3482" t="s">
        <v>1153</v>
      </c>
      <c r="B177" s="3471" t="s">
        <v>3064</v>
      </c>
      <c r="C177" s="3483"/>
      <c r="D177" s="3483"/>
      <c r="E177" s="3483"/>
      <c r="F177" s="3472">
        <v>0.05</v>
      </c>
      <c r="G177" s="3489"/>
    </row>
    <row r="178" spans="1:7">
      <c r="A178" s="3482" t="s">
        <v>1153</v>
      </c>
      <c r="B178" s="3471" t="s">
        <v>3065</v>
      </c>
      <c r="C178" s="3483"/>
      <c r="D178" s="3483"/>
      <c r="E178" s="3483"/>
      <c r="F178" s="3472">
        <v>0.05</v>
      </c>
      <c r="G178" s="3489"/>
    </row>
    <row r="179" spans="1:7">
      <c r="A179" s="3482" t="s">
        <v>1153</v>
      </c>
      <c r="B179" s="3471" t="s">
        <v>3066</v>
      </c>
      <c r="C179" s="3483"/>
      <c r="D179" s="3483"/>
      <c r="E179" s="3483"/>
      <c r="F179" s="3472">
        <v>0.05</v>
      </c>
      <c r="G179" s="3489"/>
    </row>
    <row r="180" spans="1:7">
      <c r="A180" s="3482" t="s">
        <v>1153</v>
      </c>
      <c r="B180" s="3471" t="s">
        <v>3067</v>
      </c>
      <c r="C180" s="3483"/>
      <c r="D180" s="3483"/>
      <c r="E180" s="3483"/>
      <c r="F180" s="3472">
        <v>0.05</v>
      </c>
      <c r="G180" s="3489"/>
    </row>
    <row r="181" spans="1:7">
      <c r="A181" s="3482" t="s">
        <v>1153</v>
      </c>
      <c r="B181" s="3471" t="s">
        <v>3068</v>
      </c>
      <c r="C181" s="3483"/>
      <c r="D181" s="3483"/>
      <c r="E181" s="3483"/>
      <c r="F181" s="3472">
        <v>0.05</v>
      </c>
      <c r="G181" s="3489"/>
    </row>
    <row r="182" spans="1:7">
      <c r="A182" s="3482" t="s">
        <v>1153</v>
      </c>
      <c r="B182" s="3471" t="s">
        <v>3069</v>
      </c>
      <c r="C182" s="3483"/>
      <c r="D182" s="3483"/>
      <c r="E182" s="3483"/>
      <c r="F182" s="3472">
        <v>0.05</v>
      </c>
      <c r="G182" s="3489"/>
    </row>
    <row r="183" spans="1:7">
      <c r="A183" s="3482" t="s">
        <v>1153</v>
      </c>
      <c r="B183" s="3471" t="s">
        <v>3070</v>
      </c>
      <c r="C183" s="3483"/>
      <c r="D183" s="3483"/>
      <c r="E183" s="3483"/>
      <c r="F183" s="3472">
        <v>0.05</v>
      </c>
      <c r="G183" s="3489"/>
    </row>
    <row r="184" spans="1:7">
      <c r="A184" s="3482" t="s">
        <v>1153</v>
      </c>
      <c r="B184" s="3471" t="s">
        <v>3071</v>
      </c>
      <c r="C184" s="3483"/>
      <c r="D184" s="3483"/>
      <c r="E184" s="3483"/>
      <c r="F184" s="3472">
        <v>0.05</v>
      </c>
      <c r="G184" s="3489"/>
    </row>
    <row r="185" spans="1:7">
      <c r="A185" s="3482" t="s">
        <v>1153</v>
      </c>
      <c r="B185" s="3471" t="s">
        <v>3072</v>
      </c>
      <c r="C185" s="3483"/>
      <c r="D185" s="3483"/>
      <c r="E185" s="3483"/>
      <c r="F185" s="3472">
        <v>0.05</v>
      </c>
      <c r="G185" s="3489"/>
    </row>
    <row r="186" spans="1:7">
      <c r="A186" s="3482" t="s">
        <v>1153</v>
      </c>
      <c r="B186" s="3471" t="s">
        <v>3073</v>
      </c>
      <c r="C186" s="3483"/>
      <c r="D186" s="3483"/>
      <c r="E186" s="3483"/>
      <c r="F186" s="3472">
        <v>0.05</v>
      </c>
      <c r="G186" s="3489"/>
    </row>
    <row r="187" spans="1:7">
      <c r="A187" s="3482" t="s">
        <v>1153</v>
      </c>
      <c r="B187" s="3471" t="s">
        <v>3074</v>
      </c>
      <c r="C187" s="3483"/>
      <c r="D187" s="3483"/>
      <c r="E187" s="3483"/>
      <c r="F187" s="3472">
        <v>0.05</v>
      </c>
      <c r="G187" s="3489"/>
    </row>
    <row r="188" spans="1:7">
      <c r="A188" s="3482" t="s">
        <v>1153</v>
      </c>
      <c r="B188" s="3471" t="s">
        <v>3075</v>
      </c>
      <c r="C188" s="3483"/>
      <c r="D188" s="3483"/>
      <c r="E188" s="3483"/>
      <c r="F188" s="3472">
        <v>0.05</v>
      </c>
      <c r="G188" s="3489"/>
    </row>
    <row r="189" spans="1:7" ht="14.25" thickBot="1">
      <c r="A189" s="3485" t="s">
        <v>1153</v>
      </c>
      <c r="B189" s="3475" t="s">
        <v>3076</v>
      </c>
      <c r="C189" s="3477"/>
      <c r="D189" s="3477"/>
      <c r="E189" s="3477"/>
      <c r="F189" s="3476">
        <v>0.05</v>
      </c>
      <c r="G189" s="3490"/>
    </row>
    <row r="190" spans="1:7">
      <c r="A190" s="3481" t="s">
        <v>1154</v>
      </c>
      <c r="B190" s="3467" t="s">
        <v>3077</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3078</v>
      </c>
      <c r="C199" s="3472">
        <v>0.13</v>
      </c>
      <c r="D199" s="3472">
        <v>0.13</v>
      </c>
      <c r="E199" s="3472">
        <v>0.13</v>
      </c>
      <c r="F199" s="3472">
        <v>0.13</v>
      </c>
      <c r="G199" s="3473">
        <v>0.13</v>
      </c>
    </row>
    <row r="200" spans="1:7">
      <c r="A200" s="3482" t="s">
        <v>1154</v>
      </c>
      <c r="B200" s="3471" t="s">
        <v>2893</v>
      </c>
      <c r="C200" s="3488"/>
      <c r="D200" s="3488"/>
      <c r="E200" s="3488"/>
      <c r="F200" s="3472">
        <v>0.13</v>
      </c>
      <c r="G200" s="3484"/>
    </row>
    <row r="201" spans="1:7">
      <c r="A201" s="3482" t="s">
        <v>1154</v>
      </c>
      <c r="B201" s="3471" t="s">
        <v>3079</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3080</v>
      </c>
      <c r="C203" s="3472">
        <v>0.129</v>
      </c>
      <c r="D203" s="3472">
        <v>0.129</v>
      </c>
      <c r="E203" s="3472">
        <v>0.13</v>
      </c>
      <c r="F203" s="3472">
        <v>0.13</v>
      </c>
      <c r="G203" s="3473">
        <v>0.13</v>
      </c>
    </row>
    <row r="204" spans="1:7">
      <c r="A204" s="3482" t="s">
        <v>1154</v>
      </c>
      <c r="B204" s="3471" t="s">
        <v>2896</v>
      </c>
      <c r="C204" s="3472">
        <v>0.129</v>
      </c>
      <c r="D204" s="3472">
        <v>0.129</v>
      </c>
      <c r="E204" s="3472">
        <v>0.123</v>
      </c>
      <c r="F204" s="3472">
        <v>0.13</v>
      </c>
      <c r="G204" s="3473">
        <v>0.13</v>
      </c>
    </row>
    <row r="205" spans="1:7">
      <c r="A205" s="3482" t="s">
        <v>1154</v>
      </c>
      <c r="B205" s="3471" t="s">
        <v>2897</v>
      </c>
      <c r="C205" s="3472">
        <v>0.13</v>
      </c>
      <c r="D205" s="3472">
        <v>0.13</v>
      </c>
      <c r="E205" s="3472">
        <v>0.13</v>
      </c>
      <c r="F205" s="3472">
        <v>0.13</v>
      </c>
      <c r="G205" s="3473">
        <v>0.13</v>
      </c>
    </row>
    <row r="206" spans="1:7">
      <c r="A206" s="3482" t="s">
        <v>1154</v>
      </c>
      <c r="B206" s="3471" t="s">
        <v>2898</v>
      </c>
      <c r="C206" s="3472">
        <v>0.13</v>
      </c>
      <c r="D206" s="3472">
        <v>0.13</v>
      </c>
      <c r="E206" s="3472">
        <v>0.13</v>
      </c>
      <c r="F206" s="3472">
        <v>0.128</v>
      </c>
      <c r="G206" s="3473">
        <v>0.13</v>
      </c>
    </row>
    <row r="207" spans="1:7">
      <c r="A207" s="3482" t="s">
        <v>1154</v>
      </c>
      <c r="B207" s="3471" t="s">
        <v>2899</v>
      </c>
      <c r="C207" s="3472">
        <v>0.13</v>
      </c>
      <c r="D207" s="3472">
        <v>0.13</v>
      </c>
      <c r="E207" s="3472">
        <v>0.13</v>
      </c>
      <c r="F207" s="3472">
        <v>0.13</v>
      </c>
      <c r="G207" s="3473">
        <v>0.13</v>
      </c>
    </row>
    <row r="208" spans="1:7">
      <c r="A208" s="3482" t="s">
        <v>1154</v>
      </c>
      <c r="B208" s="3471" t="s">
        <v>3081</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2901</v>
      </c>
      <c r="C210" s="3472">
        <v>0.121</v>
      </c>
      <c r="D210" s="3472">
        <v>0.121</v>
      </c>
      <c r="E210" s="3472">
        <v>0.125</v>
      </c>
      <c r="F210" s="3472">
        <v>0.13</v>
      </c>
      <c r="G210" s="3473">
        <v>0.123</v>
      </c>
    </row>
    <row r="211" spans="1:7">
      <c r="A211" s="3482" t="s">
        <v>1154</v>
      </c>
      <c r="B211" s="3471" t="s">
        <v>3082</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3083</v>
      </c>
      <c r="C214" s="3472">
        <v>0.128</v>
      </c>
      <c r="D214" s="3472">
        <v>0.128</v>
      </c>
      <c r="E214" s="3472">
        <v>0.13</v>
      </c>
      <c r="F214" s="3472">
        <v>0.13</v>
      </c>
      <c r="G214" s="3473">
        <v>0.13</v>
      </c>
    </row>
    <row r="215" spans="1:7">
      <c r="A215" s="3482" t="s">
        <v>1154</v>
      </c>
      <c r="B215" s="3471" t="s">
        <v>3084</v>
      </c>
      <c r="C215" s="3472">
        <v>0.13</v>
      </c>
      <c r="D215" s="3472">
        <v>0.13</v>
      </c>
      <c r="E215" s="3472">
        <v>0.13</v>
      </c>
      <c r="F215" s="3472">
        <v>0.129</v>
      </c>
      <c r="G215" s="3473">
        <v>0.13</v>
      </c>
    </row>
    <row r="216" spans="1:7">
      <c r="A216" s="3482" t="s">
        <v>1154</v>
      </c>
      <c r="B216" s="3471" t="s">
        <v>3085</v>
      </c>
      <c r="C216" s="3472">
        <v>0.13</v>
      </c>
      <c r="D216" s="3472">
        <v>0.13</v>
      </c>
      <c r="E216" s="3472">
        <v>0.13</v>
      </c>
      <c r="F216" s="3472">
        <v>0.13</v>
      </c>
      <c r="G216" s="3473">
        <v>0.13</v>
      </c>
    </row>
    <row r="217" spans="1:7">
      <c r="A217" s="3482" t="s">
        <v>1154</v>
      </c>
      <c r="B217" s="3471" t="s">
        <v>2905</v>
      </c>
      <c r="C217" s="3472">
        <v>0.129</v>
      </c>
      <c r="D217" s="3472">
        <v>0.129</v>
      </c>
      <c r="E217" s="3472">
        <v>0.13</v>
      </c>
      <c r="F217" s="3472">
        <v>0.13</v>
      </c>
      <c r="G217" s="3473">
        <v>0.13</v>
      </c>
    </row>
    <row r="218" spans="1:7">
      <c r="A218" s="3482" t="s">
        <v>1154</v>
      </c>
      <c r="B218" s="3471" t="s">
        <v>3086</v>
      </c>
      <c r="C218" s="3483"/>
      <c r="D218" s="3483"/>
      <c r="E218" s="3483"/>
      <c r="F218" s="3472">
        <v>0.05</v>
      </c>
      <c r="G218" s="3489"/>
    </row>
    <row r="219" spans="1:7">
      <c r="A219" s="3482" t="s">
        <v>1154</v>
      </c>
      <c r="B219" s="3471" t="s">
        <v>3087</v>
      </c>
      <c r="C219" s="3483"/>
      <c r="D219" s="3483"/>
      <c r="E219" s="3483"/>
      <c r="F219" s="3472">
        <v>0.05</v>
      </c>
      <c r="G219" s="3489"/>
    </row>
    <row r="220" spans="1:7">
      <c r="A220" s="3482" t="s">
        <v>1154</v>
      </c>
      <c r="B220" s="3471" t="s">
        <v>3088</v>
      </c>
      <c r="C220" s="3483"/>
      <c r="D220" s="3483"/>
      <c r="E220" s="3483"/>
      <c r="F220" s="3472">
        <v>0.05</v>
      </c>
      <c r="G220" s="3489"/>
    </row>
    <row r="221" spans="1:7">
      <c r="A221" s="3482" t="s">
        <v>1154</v>
      </c>
      <c r="B221" s="3471" t="s">
        <v>3089</v>
      </c>
      <c r="C221" s="3483"/>
      <c r="D221" s="3483"/>
      <c r="E221" s="3483"/>
      <c r="F221" s="3472">
        <v>0.05</v>
      </c>
      <c r="G221" s="3489"/>
    </row>
    <row r="222" spans="1:7">
      <c r="A222" s="3482" t="s">
        <v>1154</v>
      </c>
      <c r="B222" s="3471" t="s">
        <v>3090</v>
      </c>
      <c r="C222" s="3483"/>
      <c r="D222" s="3483"/>
      <c r="E222" s="3483"/>
      <c r="F222" s="3472">
        <v>0.05</v>
      </c>
      <c r="G222" s="3489"/>
    </row>
    <row r="223" spans="1:7">
      <c r="A223" s="3482" t="s">
        <v>1154</v>
      </c>
      <c r="B223" s="3471" t="s">
        <v>3091</v>
      </c>
      <c r="C223" s="3483"/>
      <c r="D223" s="3483"/>
      <c r="E223" s="3483"/>
      <c r="F223" s="3472">
        <v>0.05</v>
      </c>
      <c r="G223" s="3489"/>
    </row>
    <row r="224" spans="1:7">
      <c r="A224" s="3482" t="s">
        <v>1154</v>
      </c>
      <c r="B224" s="3471" t="s">
        <v>3092</v>
      </c>
      <c r="C224" s="3483"/>
      <c r="D224" s="3483"/>
      <c r="E224" s="3483"/>
      <c r="F224" s="3472">
        <v>0.05</v>
      </c>
      <c r="G224" s="3489"/>
    </row>
    <row r="225" spans="1:7">
      <c r="A225" s="3482" t="s">
        <v>1154</v>
      </c>
      <c r="B225" s="3471" t="s">
        <v>3093</v>
      </c>
      <c r="C225" s="3483"/>
      <c r="D225" s="3483"/>
      <c r="E225" s="3483"/>
      <c r="F225" s="3472">
        <v>0.05</v>
      </c>
      <c r="G225" s="3489"/>
    </row>
    <row r="226" spans="1:7">
      <c r="A226" s="3482" t="s">
        <v>1154</v>
      </c>
      <c r="B226" s="3471" t="s">
        <v>3094</v>
      </c>
      <c r="C226" s="3483"/>
      <c r="D226" s="3483"/>
      <c r="E226" s="3483"/>
      <c r="F226" s="3472">
        <v>0.05</v>
      </c>
      <c r="G226" s="3489"/>
    </row>
    <row r="227" spans="1:7">
      <c r="A227" s="3482" t="s">
        <v>1154</v>
      </c>
      <c r="B227" s="3471" t="s">
        <v>3095</v>
      </c>
      <c r="C227" s="3483"/>
      <c r="D227" s="3483"/>
      <c r="E227" s="3483"/>
      <c r="F227" s="3472">
        <v>0.05</v>
      </c>
      <c r="G227" s="3489"/>
    </row>
    <row r="228" spans="1:7">
      <c r="A228" s="3482" t="s">
        <v>1154</v>
      </c>
      <c r="B228" s="3471" t="s">
        <v>3096</v>
      </c>
      <c r="C228" s="3483"/>
      <c r="D228" s="3483"/>
      <c r="E228" s="3483"/>
      <c r="F228" s="3472">
        <v>0.05</v>
      </c>
      <c r="G228" s="3489"/>
    </row>
    <row r="229" spans="1:7">
      <c r="A229" s="3482" t="s">
        <v>1154</v>
      </c>
      <c r="B229" s="3471" t="s">
        <v>3097</v>
      </c>
      <c r="C229" s="3483"/>
      <c r="D229" s="3483"/>
      <c r="E229" s="3483"/>
      <c r="F229" s="3472">
        <v>0.05</v>
      </c>
      <c r="G229" s="3489"/>
    </row>
    <row r="230" spans="1:7">
      <c r="A230" s="3482" t="s">
        <v>1154</v>
      </c>
      <c r="B230" s="3471" t="s">
        <v>3098</v>
      </c>
      <c r="C230" s="3483"/>
      <c r="D230" s="3483"/>
      <c r="E230" s="3483"/>
      <c r="F230" s="3472">
        <v>0.05</v>
      </c>
      <c r="G230" s="3489"/>
    </row>
    <row r="231" spans="1:7">
      <c r="A231" s="3482" t="s">
        <v>1154</v>
      </c>
      <c r="B231" s="3471" t="s">
        <v>3099</v>
      </c>
      <c r="C231" s="3483"/>
      <c r="D231" s="3483"/>
      <c r="E231" s="3483"/>
      <c r="F231" s="3472">
        <v>0.05</v>
      </c>
      <c r="G231" s="3489"/>
    </row>
    <row r="232" spans="1:7">
      <c r="A232" s="3482" t="s">
        <v>1154</v>
      </c>
      <c r="B232" s="3471" t="s">
        <v>3100</v>
      </c>
      <c r="C232" s="3483"/>
      <c r="D232" s="3483"/>
      <c r="E232" s="3483"/>
      <c r="F232" s="3472">
        <v>0.05</v>
      </c>
      <c r="G232" s="3489"/>
    </row>
    <row r="233" spans="1:7" ht="14.25" thickBot="1">
      <c r="A233" s="3485" t="s">
        <v>1154</v>
      </c>
      <c r="B233" s="3475" t="s">
        <v>3101</v>
      </c>
      <c r="C233" s="3477"/>
      <c r="D233" s="3477"/>
      <c r="E233" s="3477"/>
      <c r="F233" s="3476">
        <v>0.05</v>
      </c>
      <c r="G233" s="3490"/>
    </row>
    <row r="234" spans="1:7">
      <c r="A234" s="3481" t="s">
        <v>1155</v>
      </c>
      <c r="B234" s="3467" t="s">
        <v>3102</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2923</v>
      </c>
      <c r="C238" s="3472">
        <v>0.14899999999999999</v>
      </c>
      <c r="D238" s="3472">
        <v>0.14899999999999999</v>
      </c>
      <c r="E238" s="3472">
        <v>0.15</v>
      </c>
      <c r="F238" s="3472">
        <v>0.15</v>
      </c>
      <c r="G238" s="3473">
        <v>0.15</v>
      </c>
    </row>
    <row r="239" spans="1:7">
      <c r="A239" s="3482" t="s">
        <v>1155</v>
      </c>
      <c r="B239" s="3471" t="s">
        <v>3103</v>
      </c>
      <c r="C239" s="3472">
        <v>0.15</v>
      </c>
      <c r="D239" s="3472">
        <v>0.15</v>
      </c>
      <c r="E239" s="3472">
        <v>0.15</v>
      </c>
      <c r="F239" s="3472">
        <v>0.15</v>
      </c>
      <c r="G239" s="3473">
        <v>0.15</v>
      </c>
    </row>
    <row r="240" spans="1:7">
      <c r="A240" s="3482" t="s">
        <v>1155</v>
      </c>
      <c r="B240" s="3471" t="s">
        <v>3104</v>
      </c>
      <c r="C240" s="3472">
        <v>0.15</v>
      </c>
      <c r="D240" s="3472">
        <v>0.15</v>
      </c>
      <c r="E240" s="3472">
        <v>0.15</v>
      </c>
      <c r="F240" s="3472">
        <v>0.15</v>
      </c>
      <c r="G240" s="3473">
        <v>0.15</v>
      </c>
    </row>
    <row r="241" spans="1:7">
      <c r="A241" s="3482" t="s">
        <v>1155</v>
      </c>
      <c r="B241" s="3471" t="s">
        <v>3105</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3106</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3107</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3108</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3109</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3110</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2932</v>
      </c>
      <c r="C258" s="3472">
        <v>0.14299999999999999</v>
      </c>
      <c r="D258" s="3472">
        <v>0.14299999999999999</v>
      </c>
      <c r="E258" s="3472">
        <v>0.15</v>
      </c>
      <c r="F258" s="3472">
        <v>0.14799999999999999</v>
      </c>
      <c r="G258" s="3473">
        <v>0.14599999999999999</v>
      </c>
    </row>
    <row r="259" spans="1:7">
      <c r="A259" s="3482" t="s">
        <v>1155</v>
      </c>
      <c r="B259" s="3471" t="s">
        <v>3111</v>
      </c>
      <c r="C259" s="3472">
        <v>0.14399999999999999</v>
      </c>
      <c r="D259" s="3472">
        <v>0.14399999999999999</v>
      </c>
      <c r="E259" s="3472">
        <v>0.14899999999999999</v>
      </c>
      <c r="F259" s="3472">
        <v>0.14699999999999999</v>
      </c>
      <c r="G259" s="3473">
        <v>0.14599999999999999</v>
      </c>
    </row>
    <row r="260" spans="1:7">
      <c r="A260" s="3482" t="s">
        <v>1155</v>
      </c>
      <c r="B260" s="3471" t="s">
        <v>3112</v>
      </c>
      <c r="C260" s="3472">
        <v>0.109</v>
      </c>
      <c r="D260" s="3472">
        <v>0.111</v>
      </c>
      <c r="E260" s="3472">
        <v>0.13100000000000001</v>
      </c>
      <c r="F260" s="3472">
        <v>0.126</v>
      </c>
      <c r="G260" s="3473">
        <v>0.11899999999999999</v>
      </c>
    </row>
    <row r="261" spans="1:7">
      <c r="A261" s="3482" t="s">
        <v>1155</v>
      </c>
      <c r="B261" s="3471" t="s">
        <v>3113</v>
      </c>
      <c r="C261" s="3472">
        <v>0.1</v>
      </c>
      <c r="D261" s="3472">
        <v>0.1</v>
      </c>
      <c r="E261" s="3472">
        <v>0.11799999999999999</v>
      </c>
      <c r="F261" s="3472">
        <v>0.108</v>
      </c>
      <c r="G261" s="3473">
        <v>0.107</v>
      </c>
    </row>
    <row r="262" spans="1:7">
      <c r="A262" s="3482" t="s">
        <v>1155</v>
      </c>
      <c r="B262" s="3471" t="s">
        <v>3114</v>
      </c>
      <c r="C262" s="3472">
        <v>0.1</v>
      </c>
      <c r="D262" s="3472">
        <v>0.1</v>
      </c>
      <c r="E262" s="3472">
        <v>0.1</v>
      </c>
      <c r="F262" s="3472">
        <v>0.14099999999999999</v>
      </c>
      <c r="G262" s="3473">
        <v>0.1</v>
      </c>
    </row>
    <row r="263" spans="1:7">
      <c r="A263" s="3482" t="s">
        <v>1155</v>
      </c>
      <c r="B263" s="3471" t="s">
        <v>3115</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3116</v>
      </c>
      <c r="C265" s="3483"/>
      <c r="D265" s="3483"/>
      <c r="E265" s="3483"/>
      <c r="F265" s="3472">
        <v>0.05</v>
      </c>
      <c r="G265" s="3489"/>
    </row>
    <row r="266" spans="1:7">
      <c r="A266" s="3482" t="s">
        <v>1155</v>
      </c>
      <c r="B266" s="3471" t="s">
        <v>3117</v>
      </c>
      <c r="C266" s="3483"/>
      <c r="D266" s="3483"/>
      <c r="E266" s="3483"/>
      <c r="F266" s="3472">
        <v>0.05</v>
      </c>
      <c r="G266" s="3489"/>
    </row>
    <row r="267" spans="1:7">
      <c r="A267" s="3482" t="s">
        <v>1155</v>
      </c>
      <c r="B267" s="3471" t="s">
        <v>3118</v>
      </c>
      <c r="C267" s="3483"/>
      <c r="D267" s="3483"/>
      <c r="E267" s="3483"/>
      <c r="F267" s="3472">
        <v>0.05</v>
      </c>
      <c r="G267" s="3489"/>
    </row>
    <row r="268" spans="1:7">
      <c r="A268" s="3482" t="s">
        <v>1155</v>
      </c>
      <c r="B268" s="3471" t="s">
        <v>3119</v>
      </c>
      <c r="C268" s="3483"/>
      <c r="D268" s="3483"/>
      <c r="E268" s="3483"/>
      <c r="F268" s="3472">
        <v>0.05</v>
      </c>
      <c r="G268" s="3489"/>
    </row>
    <row r="269" spans="1:7">
      <c r="A269" s="3482" t="s">
        <v>1155</v>
      </c>
      <c r="B269" s="3471" t="s">
        <v>3120</v>
      </c>
      <c r="C269" s="3483"/>
      <c r="D269" s="3483"/>
      <c r="E269" s="3483"/>
      <c r="F269" s="3472">
        <v>0.05</v>
      </c>
      <c r="G269" s="3489"/>
    </row>
    <row r="270" spans="1:7">
      <c r="A270" s="3482" t="s">
        <v>1155</v>
      </c>
      <c r="B270" s="3471" t="s">
        <v>3121</v>
      </c>
      <c r="C270" s="3483"/>
      <c r="D270" s="3483"/>
      <c r="E270" s="3483"/>
      <c r="F270" s="3472">
        <v>0.05</v>
      </c>
      <c r="G270" s="3489"/>
    </row>
    <row r="271" spans="1:7">
      <c r="A271" s="3482" t="s">
        <v>1155</v>
      </c>
      <c r="B271" s="3471" t="s">
        <v>3122</v>
      </c>
      <c r="C271" s="3483"/>
      <c r="D271" s="3483"/>
      <c r="E271" s="3483"/>
      <c r="F271" s="3472">
        <v>0.05</v>
      </c>
      <c r="G271" s="3489"/>
    </row>
    <row r="272" spans="1:7">
      <c r="A272" s="3482" t="s">
        <v>1155</v>
      </c>
      <c r="B272" s="3471" t="s">
        <v>3123</v>
      </c>
      <c r="C272" s="3483"/>
      <c r="D272" s="3483"/>
      <c r="E272" s="3483"/>
      <c r="F272" s="3472">
        <v>0.05</v>
      </c>
      <c r="G272" s="3489"/>
    </row>
    <row r="273" spans="1:7">
      <c r="A273" s="3482" t="s">
        <v>1155</v>
      </c>
      <c r="B273" s="3471" t="s">
        <v>3124</v>
      </c>
      <c r="C273" s="3483"/>
      <c r="D273" s="3483"/>
      <c r="E273" s="3483"/>
      <c r="F273" s="3472">
        <v>0.05</v>
      </c>
      <c r="G273" s="3489"/>
    </row>
    <row r="274" spans="1:7">
      <c r="A274" s="3482" t="s">
        <v>1155</v>
      </c>
      <c r="B274" s="3471" t="s">
        <v>3125</v>
      </c>
      <c r="C274" s="3483"/>
      <c r="D274" s="3483"/>
      <c r="E274" s="3483"/>
      <c r="F274" s="3472">
        <v>0.05</v>
      </c>
      <c r="G274" s="3489"/>
    </row>
    <row r="275" spans="1:7">
      <c r="A275" s="3482" t="s">
        <v>1155</v>
      </c>
      <c r="B275" s="3471" t="s">
        <v>3126</v>
      </c>
      <c r="C275" s="3483"/>
      <c r="D275" s="3483"/>
      <c r="E275" s="3483"/>
      <c r="F275" s="3472">
        <v>0.05</v>
      </c>
      <c r="G275" s="3489"/>
    </row>
    <row r="276" spans="1:7" ht="14.25" thickBot="1">
      <c r="A276" s="3485" t="s">
        <v>1155</v>
      </c>
      <c r="B276" s="3475" t="s">
        <v>3127</v>
      </c>
      <c r="C276" s="3477"/>
      <c r="D276" s="3477"/>
      <c r="E276" s="3477"/>
      <c r="F276" s="3476">
        <v>0.05</v>
      </c>
      <c r="G276" s="3490"/>
    </row>
    <row r="277" spans="1:7">
      <c r="A277" s="3481" t="s">
        <v>1156</v>
      </c>
      <c r="B277" s="3467" t="s">
        <v>3128</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3129</v>
      </c>
      <c r="C279" s="3472">
        <v>0.15</v>
      </c>
      <c r="D279" s="3472">
        <v>0.15</v>
      </c>
      <c r="E279" s="3472">
        <v>0.15</v>
      </c>
      <c r="F279" s="3472">
        <v>0.15</v>
      </c>
      <c r="G279" s="3473">
        <v>0.15</v>
      </c>
    </row>
    <row r="280" spans="1:7">
      <c r="A280" s="3482" t="s">
        <v>1156</v>
      </c>
      <c r="B280" s="3471" t="s">
        <v>3130</v>
      </c>
      <c r="C280" s="3472">
        <v>0.15</v>
      </c>
      <c r="D280" s="3472">
        <v>0.15</v>
      </c>
      <c r="E280" s="3472">
        <v>0.15</v>
      </c>
      <c r="F280" s="3472">
        <v>0.15</v>
      </c>
      <c r="G280" s="3473">
        <v>0.15</v>
      </c>
    </row>
    <row r="281" spans="1:7">
      <c r="A281" s="3482" t="s">
        <v>1156</v>
      </c>
      <c r="B281" s="3471" t="s">
        <v>3131</v>
      </c>
      <c r="C281" s="3472">
        <v>0.15</v>
      </c>
      <c r="D281" s="3472">
        <v>0.15</v>
      </c>
      <c r="E281" s="3472">
        <v>0.15</v>
      </c>
      <c r="F281" s="3472">
        <v>0.15</v>
      </c>
      <c r="G281" s="3473">
        <v>0.15</v>
      </c>
    </row>
    <row r="282" spans="1:7">
      <c r="A282" s="3482" t="s">
        <v>1156</v>
      </c>
      <c r="B282" s="3471" t="s">
        <v>3132</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3133</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3134</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2957</v>
      </c>
      <c r="C293" s="3472">
        <v>0.15</v>
      </c>
      <c r="D293" s="3472">
        <v>0.15</v>
      </c>
      <c r="E293" s="3472">
        <v>0.15</v>
      </c>
      <c r="F293" s="3472">
        <v>0.14499999999999999</v>
      </c>
      <c r="G293" s="3473">
        <v>0.15</v>
      </c>
    </row>
    <row r="294" spans="1:7">
      <c r="A294" s="3482" t="s">
        <v>1156</v>
      </c>
      <c r="B294" s="3471" t="s">
        <v>3135</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2959</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3136</v>
      </c>
      <c r="C302" s="3472">
        <v>0.15</v>
      </c>
      <c r="D302" s="3472">
        <v>0.15</v>
      </c>
      <c r="E302" s="3472">
        <v>0.15</v>
      </c>
      <c r="F302" s="3472">
        <v>0.14699999999999999</v>
      </c>
      <c r="G302" s="3473">
        <v>0.15</v>
      </c>
    </row>
    <row r="303" spans="1:7">
      <c r="A303" s="3482" t="s">
        <v>1156</v>
      </c>
      <c r="B303" s="3471" t="s">
        <v>2961</v>
      </c>
      <c r="C303" s="3472">
        <v>0.15</v>
      </c>
      <c r="D303" s="3472">
        <v>0.15</v>
      </c>
      <c r="E303" s="3472">
        <v>0.15</v>
      </c>
      <c r="F303" s="3472">
        <v>0.14199999999999999</v>
      </c>
      <c r="G303" s="3473">
        <v>0.15</v>
      </c>
    </row>
    <row r="304" spans="1:7">
      <c r="A304" s="3482" t="s">
        <v>1156</v>
      </c>
      <c r="B304" s="3471" t="s">
        <v>2962</v>
      </c>
      <c r="C304" s="3472">
        <v>0.15</v>
      </c>
      <c r="D304" s="3472">
        <v>0.15</v>
      </c>
      <c r="E304" s="3472">
        <v>0.15</v>
      </c>
      <c r="F304" s="3472">
        <v>0.14499999999999999</v>
      </c>
      <c r="G304" s="3473">
        <v>0.15</v>
      </c>
    </row>
    <row r="305" spans="1:7">
      <c r="A305" s="3482" t="s">
        <v>1156</v>
      </c>
      <c r="B305" s="3471" t="s">
        <v>2963</v>
      </c>
      <c r="C305" s="3472">
        <v>0.15</v>
      </c>
      <c r="D305" s="3472">
        <v>0.15</v>
      </c>
      <c r="E305" s="3472">
        <v>0.15</v>
      </c>
      <c r="F305" s="3472">
        <v>0.111</v>
      </c>
      <c r="G305" s="3473">
        <v>0.15</v>
      </c>
    </row>
    <row r="306" spans="1:7">
      <c r="A306" s="3482" t="s">
        <v>1156</v>
      </c>
      <c r="B306" s="3471" t="s">
        <v>3137</v>
      </c>
      <c r="C306" s="3472">
        <v>0.15</v>
      </c>
      <c r="D306" s="3472">
        <v>0.15</v>
      </c>
      <c r="E306" s="3472">
        <v>0.15</v>
      </c>
      <c r="F306" s="3472">
        <v>0.126</v>
      </c>
      <c r="G306" s="3473">
        <v>0.15</v>
      </c>
    </row>
    <row r="307" spans="1:7">
      <c r="A307" s="3482" t="s">
        <v>1156</v>
      </c>
      <c r="B307" s="3471" t="s">
        <v>2965</v>
      </c>
      <c r="C307" s="3472">
        <v>0.15</v>
      </c>
      <c r="D307" s="3472">
        <v>0.15</v>
      </c>
      <c r="E307" s="3472">
        <v>0.15</v>
      </c>
      <c r="F307" s="3472">
        <v>0.12</v>
      </c>
      <c r="G307" s="3473">
        <v>0.15</v>
      </c>
    </row>
    <row r="308" spans="1:7">
      <c r="A308" s="3482" t="s">
        <v>1156</v>
      </c>
      <c r="B308" s="3471" t="s">
        <v>3138</v>
      </c>
      <c r="C308" s="3472">
        <v>0.15</v>
      </c>
      <c r="D308" s="3472">
        <v>0.15</v>
      </c>
      <c r="E308" s="3472">
        <v>0.15</v>
      </c>
      <c r="F308" s="3472">
        <v>0.13</v>
      </c>
      <c r="G308" s="3473">
        <v>0.15</v>
      </c>
    </row>
    <row r="309" spans="1:7">
      <c r="A309" s="3482" t="s">
        <v>1156</v>
      </c>
      <c r="B309" s="3471" t="s">
        <v>3139</v>
      </c>
      <c r="C309" s="3472">
        <v>0.15</v>
      </c>
      <c r="D309" s="3472">
        <v>0.15</v>
      </c>
      <c r="E309" s="3472">
        <v>0.15</v>
      </c>
      <c r="F309" s="3472">
        <v>0.14099999999999999</v>
      </c>
      <c r="G309" s="3473">
        <v>0.15</v>
      </c>
    </row>
    <row r="310" spans="1:7">
      <c r="A310" s="3482" t="s">
        <v>1156</v>
      </c>
      <c r="B310" s="3471" t="s">
        <v>2968</v>
      </c>
      <c r="C310" s="3472">
        <v>0.15</v>
      </c>
      <c r="D310" s="3472">
        <v>0.15</v>
      </c>
      <c r="E310" s="3472">
        <v>0.15</v>
      </c>
      <c r="F310" s="3472">
        <v>0.15</v>
      </c>
      <c r="G310" s="3473">
        <v>0.15</v>
      </c>
    </row>
    <row r="311" spans="1:7">
      <c r="A311" s="3482" t="s">
        <v>1156</v>
      </c>
      <c r="B311" s="3471" t="s">
        <v>3140</v>
      </c>
      <c r="C311" s="3472">
        <v>0.13200000000000001</v>
      </c>
      <c r="D311" s="3472">
        <v>0.13300000000000001</v>
      </c>
      <c r="E311" s="3472">
        <v>0.14499999999999999</v>
      </c>
      <c r="F311" s="3472">
        <v>0.14199999999999999</v>
      </c>
      <c r="G311" s="3473">
        <v>0.14000000000000001</v>
      </c>
    </row>
    <row r="312" spans="1:7">
      <c r="A312" s="3482" t="s">
        <v>1156</v>
      </c>
      <c r="B312" s="3471" t="s">
        <v>2970</v>
      </c>
      <c r="C312" s="3472">
        <v>0.13800000000000001</v>
      </c>
      <c r="D312" s="3472">
        <v>0.14000000000000001</v>
      </c>
      <c r="E312" s="3472">
        <v>0.14599999999999999</v>
      </c>
      <c r="F312" s="3472">
        <v>0.14899999999999999</v>
      </c>
      <c r="G312" s="3473">
        <v>0.14199999999999999</v>
      </c>
    </row>
    <row r="313" spans="1:7">
      <c r="A313" s="3482" t="s">
        <v>1156</v>
      </c>
      <c r="B313" s="3471" t="s">
        <v>2971</v>
      </c>
      <c r="C313" s="3472">
        <v>0.125</v>
      </c>
      <c r="D313" s="3472">
        <v>0.127</v>
      </c>
      <c r="E313" s="3472">
        <v>0.14399999999999999</v>
      </c>
      <c r="F313" s="3472">
        <v>0.115</v>
      </c>
      <c r="G313" s="3473">
        <v>0.13600000000000001</v>
      </c>
    </row>
    <row r="314" spans="1:7">
      <c r="A314" s="3482" t="s">
        <v>1156</v>
      </c>
      <c r="B314" s="3471" t="s">
        <v>3141</v>
      </c>
      <c r="C314" s="3488"/>
      <c r="D314" s="3488"/>
      <c r="E314" s="3488"/>
      <c r="F314" s="3472">
        <v>0.05</v>
      </c>
      <c r="G314" s="3489"/>
    </row>
    <row r="315" spans="1:7">
      <c r="A315" s="3482" t="s">
        <v>1156</v>
      </c>
      <c r="B315" s="3471" t="s">
        <v>3142</v>
      </c>
      <c r="C315" s="3488"/>
      <c r="D315" s="3488"/>
      <c r="E315" s="3488"/>
      <c r="F315" s="3472">
        <v>0.05</v>
      </c>
      <c r="G315" s="3489"/>
    </row>
    <row r="316" spans="1:7">
      <c r="A316" s="3482" t="s">
        <v>1156</v>
      </c>
      <c r="B316" s="3471" t="s">
        <v>3143</v>
      </c>
      <c r="C316" s="3483"/>
      <c r="D316" s="3483"/>
      <c r="E316" s="3483"/>
      <c r="F316" s="3472">
        <v>0.05</v>
      </c>
      <c r="G316" s="3489"/>
    </row>
    <row r="317" spans="1:7">
      <c r="A317" s="3482" t="s">
        <v>1156</v>
      </c>
      <c r="B317" s="3471" t="s">
        <v>3144</v>
      </c>
      <c r="C317" s="3483"/>
      <c r="D317" s="3483"/>
      <c r="E317" s="3483"/>
      <c r="F317" s="3472">
        <v>0.05</v>
      </c>
      <c r="G317" s="3489"/>
    </row>
    <row r="318" spans="1:7">
      <c r="A318" s="3482" t="s">
        <v>1156</v>
      </c>
      <c r="B318" s="3471" t="s">
        <v>3145</v>
      </c>
      <c r="C318" s="3483"/>
      <c r="D318" s="3483"/>
      <c r="E318" s="3483"/>
      <c r="F318" s="3472">
        <v>0.05</v>
      </c>
      <c r="G318" s="3489"/>
    </row>
    <row r="319" spans="1:7">
      <c r="A319" s="3482" t="s">
        <v>1156</v>
      </c>
      <c r="B319" s="3471" t="s">
        <v>3146</v>
      </c>
      <c r="C319" s="3483"/>
      <c r="D319" s="3483"/>
      <c r="E319" s="3483"/>
      <c r="F319" s="3472">
        <v>0.05</v>
      </c>
      <c r="G319" s="3489"/>
    </row>
    <row r="320" spans="1:7">
      <c r="A320" s="3482" t="s">
        <v>1156</v>
      </c>
      <c r="B320" s="3471" t="s">
        <v>3147</v>
      </c>
      <c r="C320" s="3483"/>
      <c r="D320" s="3483"/>
      <c r="E320" s="3483"/>
      <c r="F320" s="3472">
        <v>0.05</v>
      </c>
      <c r="G320" s="3489"/>
    </row>
    <row r="321" spans="1:7">
      <c r="A321" s="3482" t="s">
        <v>1156</v>
      </c>
      <c r="B321" s="3471" t="s">
        <v>3148</v>
      </c>
      <c r="C321" s="3483"/>
      <c r="D321" s="3483"/>
      <c r="E321" s="3483"/>
      <c r="F321" s="3472">
        <v>0.05</v>
      </c>
      <c r="G321" s="3489"/>
    </row>
    <row r="322" spans="1:7">
      <c r="A322" s="3482" t="s">
        <v>1156</v>
      </c>
      <c r="B322" s="3471" t="s">
        <v>3149</v>
      </c>
      <c r="C322" s="3483"/>
      <c r="D322" s="3483"/>
      <c r="E322" s="3483"/>
      <c r="F322" s="3472">
        <v>0.05</v>
      </c>
      <c r="G322" s="3489"/>
    </row>
    <row r="323" spans="1:7">
      <c r="A323" s="3482" t="s">
        <v>1156</v>
      </c>
      <c r="B323" s="3471" t="s">
        <v>3150</v>
      </c>
      <c r="C323" s="3483"/>
      <c r="D323" s="3483"/>
      <c r="E323" s="3483"/>
      <c r="F323" s="3472">
        <v>0.05</v>
      </c>
      <c r="G323" s="3489"/>
    </row>
    <row r="324" spans="1:7">
      <c r="A324" s="3482" t="s">
        <v>1156</v>
      </c>
      <c r="B324" s="3471" t="s">
        <v>3151</v>
      </c>
      <c r="C324" s="3483"/>
      <c r="D324" s="3483"/>
      <c r="E324" s="3483"/>
      <c r="F324" s="3472">
        <v>0.05</v>
      </c>
      <c r="G324" s="3489"/>
    </row>
    <row r="325" spans="1:7">
      <c r="A325" s="3482" t="s">
        <v>1156</v>
      </c>
      <c r="B325" s="3471" t="s">
        <v>3152</v>
      </c>
      <c r="C325" s="3483"/>
      <c r="D325" s="3483"/>
      <c r="E325" s="3483"/>
      <c r="F325" s="3472">
        <v>0.05</v>
      </c>
      <c r="G325" s="3489"/>
    </row>
    <row r="326" spans="1:7" ht="14.25" thickBot="1">
      <c r="A326" s="3485" t="s">
        <v>1156</v>
      </c>
      <c r="B326" s="3475" t="s">
        <v>3153</v>
      </c>
      <c r="C326" s="3477"/>
      <c r="D326" s="3477"/>
      <c r="E326" s="3477"/>
      <c r="F326" s="3476">
        <v>0.05</v>
      </c>
      <c r="G326" s="3490"/>
    </row>
    <row r="327" spans="1:7">
      <c r="A327" s="3481" t="s">
        <v>1157</v>
      </c>
      <c r="B327" s="3467" t="s">
        <v>3154</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3155</v>
      </c>
      <c r="C329" s="3472">
        <v>0.15</v>
      </c>
      <c r="D329" s="3472">
        <v>0.15</v>
      </c>
      <c r="E329" s="3472">
        <v>0.15</v>
      </c>
      <c r="F329" s="3472">
        <v>0.15</v>
      </c>
      <c r="G329" s="3473">
        <v>0.15</v>
      </c>
    </row>
    <row r="330" spans="1:7">
      <c r="A330" s="3482" t="s">
        <v>1157</v>
      </c>
      <c r="B330" s="3471" t="s">
        <v>3156</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2988</v>
      </c>
      <c r="C332" s="3472">
        <v>0.15</v>
      </c>
      <c r="D332" s="3472">
        <v>0.15</v>
      </c>
      <c r="E332" s="3472">
        <v>0.15</v>
      </c>
      <c r="F332" s="3472">
        <v>0.15</v>
      </c>
      <c r="G332" s="3473">
        <v>0.15</v>
      </c>
    </row>
    <row r="333" spans="1:7">
      <c r="A333" s="3482" t="s">
        <v>1157</v>
      </c>
      <c r="B333" s="3471" t="s">
        <v>3157</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2990</v>
      </c>
      <c r="C336" s="3472">
        <v>0.15</v>
      </c>
      <c r="D336" s="3472">
        <v>0.15</v>
      </c>
      <c r="E336" s="3472">
        <v>0.15</v>
      </c>
      <c r="F336" s="3472">
        <v>0.14199999999999999</v>
      </c>
      <c r="G336" s="3473">
        <v>0.15</v>
      </c>
    </row>
    <row r="337" spans="1:7">
      <c r="A337" s="3482" t="s">
        <v>1157</v>
      </c>
      <c r="B337" s="3471" t="s">
        <v>3158</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3159</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3160</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2994</v>
      </c>
      <c r="C345" s="3472">
        <v>0.15</v>
      </c>
      <c r="D345" s="3472">
        <v>0.15</v>
      </c>
      <c r="E345" s="3472">
        <v>0.15</v>
      </c>
      <c r="F345" s="3472">
        <v>0.13800000000000001</v>
      </c>
      <c r="G345" s="3473">
        <v>0.15</v>
      </c>
    </row>
    <row r="346" spans="1:7">
      <c r="A346" s="3482" t="s">
        <v>1157</v>
      </c>
      <c r="B346" s="3471" t="s">
        <v>3161</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2996</v>
      </c>
      <c r="C348" s="3472">
        <v>0.15</v>
      </c>
      <c r="D348" s="3472">
        <v>0.15</v>
      </c>
      <c r="E348" s="3472">
        <v>0.15</v>
      </c>
      <c r="F348" s="3472">
        <v>0.14399999999999999</v>
      </c>
      <c r="G348" s="3473">
        <v>0.15</v>
      </c>
    </row>
    <row r="349" spans="1:7">
      <c r="A349" s="3482" t="s">
        <v>1157</v>
      </c>
      <c r="B349" s="3471" t="s">
        <v>2997</v>
      </c>
      <c r="C349" s="3472">
        <v>0.15</v>
      </c>
      <c r="D349" s="3472">
        <v>0.15</v>
      </c>
      <c r="E349" s="3472">
        <v>0.15</v>
      </c>
      <c r="F349" s="3472">
        <v>0.15</v>
      </c>
      <c r="G349" s="3473">
        <v>0.15</v>
      </c>
    </row>
    <row r="350" spans="1:7">
      <c r="A350" s="3482" t="s">
        <v>1157</v>
      </c>
      <c r="B350" s="3471" t="s">
        <v>3162</v>
      </c>
      <c r="C350" s="3472">
        <v>0.15</v>
      </c>
      <c r="D350" s="3472">
        <v>0.15</v>
      </c>
      <c r="E350" s="3472">
        <v>0.15</v>
      </c>
      <c r="F350" s="3472">
        <v>0.14699999999999999</v>
      </c>
      <c r="G350" s="3473">
        <v>0.15</v>
      </c>
    </row>
    <row r="351" spans="1:7">
      <c r="A351" s="3482" t="s">
        <v>1157</v>
      </c>
      <c r="B351" s="3471" t="s">
        <v>2999</v>
      </c>
      <c r="C351" s="3472">
        <v>0.15</v>
      </c>
      <c r="D351" s="3472">
        <v>0.15</v>
      </c>
      <c r="E351" s="3472">
        <v>0.15</v>
      </c>
      <c r="F351" s="3472">
        <v>0.13</v>
      </c>
      <c r="G351" s="3473">
        <v>0.15</v>
      </c>
    </row>
    <row r="352" spans="1:7">
      <c r="A352" s="3482" t="s">
        <v>1157</v>
      </c>
      <c r="B352" s="3471" t="s">
        <v>3000</v>
      </c>
      <c r="C352" s="3472">
        <v>0.15</v>
      </c>
      <c r="D352" s="3472">
        <v>0.15</v>
      </c>
      <c r="E352" s="3472">
        <v>0.15</v>
      </c>
      <c r="F352" s="3472">
        <v>0.14599999999999999</v>
      </c>
      <c r="G352" s="3473">
        <v>0.15</v>
      </c>
    </row>
    <row r="353" spans="1:7">
      <c r="A353" s="3482" t="s">
        <v>1157</v>
      </c>
      <c r="B353" s="3471" t="s">
        <v>3163</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3002</v>
      </c>
      <c r="C355" s="3472">
        <v>0.15</v>
      </c>
      <c r="D355" s="3472">
        <v>0.15</v>
      </c>
      <c r="E355" s="3472">
        <v>0.15</v>
      </c>
      <c r="F355" s="3472">
        <v>0.15</v>
      </c>
      <c r="G355" s="3473">
        <v>0.15</v>
      </c>
    </row>
    <row r="356" spans="1:7">
      <c r="A356" s="3482" t="s">
        <v>1157</v>
      </c>
      <c r="B356" s="3471" t="s">
        <v>3003</v>
      </c>
      <c r="C356" s="3472">
        <v>0.15</v>
      </c>
      <c r="D356" s="3472">
        <v>0.15</v>
      </c>
      <c r="E356" s="3472">
        <v>0.15</v>
      </c>
      <c r="F356" s="3472">
        <v>0.15</v>
      </c>
      <c r="G356" s="3473">
        <v>0.15</v>
      </c>
    </row>
    <row r="357" spans="1:7" ht="14.25" thickBot="1">
      <c r="A357" s="3485" t="s">
        <v>1157</v>
      </c>
      <c r="B357" s="3475" t="s">
        <v>3164</v>
      </c>
      <c r="C357" s="3476">
        <v>0.126</v>
      </c>
      <c r="D357" s="3476">
        <v>0.127</v>
      </c>
      <c r="E357" s="3476">
        <v>0.14299999999999999</v>
      </c>
      <c r="F357" s="3476">
        <v>0.125</v>
      </c>
      <c r="G357" s="3478">
        <v>0.129</v>
      </c>
    </row>
    <row r="358" spans="1:7">
      <c r="A358" s="3481" t="s">
        <v>3165</v>
      </c>
      <c r="B358" s="3467" t="s">
        <v>3166</v>
      </c>
      <c r="C358" s="3468">
        <v>0.15</v>
      </c>
      <c r="D358" s="3468">
        <v>0.15</v>
      </c>
      <c r="E358" s="3468">
        <v>0.15</v>
      </c>
      <c r="F358" s="3468">
        <v>0.15</v>
      </c>
      <c r="G358" s="3469">
        <v>0.15</v>
      </c>
    </row>
    <row r="359" spans="1:7">
      <c r="A359" s="3482" t="s">
        <v>3165</v>
      </c>
      <c r="B359" s="3471" t="s">
        <v>3167</v>
      </c>
      <c r="C359" s="3472">
        <v>0.1</v>
      </c>
      <c r="D359" s="3472">
        <v>0.1</v>
      </c>
      <c r="E359" s="3472">
        <v>0.1</v>
      </c>
      <c r="F359" s="3472">
        <v>0.1</v>
      </c>
      <c r="G359" s="3473">
        <v>0.1</v>
      </c>
    </row>
    <row r="360" spans="1:7">
      <c r="A360" s="3482" t="s">
        <v>3165</v>
      </c>
      <c r="B360" s="3471" t="s">
        <v>3168</v>
      </c>
      <c r="C360" s="3472">
        <v>0.15</v>
      </c>
      <c r="D360" s="3472">
        <v>0.15</v>
      </c>
      <c r="E360" s="3472">
        <v>0.15</v>
      </c>
      <c r="F360" s="3472">
        <v>0.14899999999999999</v>
      </c>
      <c r="G360" s="3473">
        <v>0.15</v>
      </c>
    </row>
    <row r="361" spans="1:7">
      <c r="A361" s="3482" t="s">
        <v>3165</v>
      </c>
      <c r="B361" s="3471" t="s">
        <v>999</v>
      </c>
      <c r="C361" s="3472">
        <v>0.15</v>
      </c>
      <c r="D361" s="3472">
        <v>0.15</v>
      </c>
      <c r="E361" s="3472">
        <v>0.15</v>
      </c>
      <c r="F361" s="3472">
        <v>0.115</v>
      </c>
      <c r="G361" s="3473">
        <v>0.15</v>
      </c>
    </row>
    <row r="362" spans="1:7">
      <c r="A362" s="3482" t="s">
        <v>3165</v>
      </c>
      <c r="B362" s="3471" t="s">
        <v>3169</v>
      </c>
      <c r="C362" s="3472">
        <v>0.15</v>
      </c>
      <c r="D362" s="3472">
        <v>0.15</v>
      </c>
      <c r="E362" s="3472">
        <v>0.15</v>
      </c>
      <c r="F362" s="3472">
        <v>0.106</v>
      </c>
      <c r="G362" s="3473">
        <v>0.15</v>
      </c>
    </row>
    <row r="363" spans="1:7">
      <c r="A363" s="3482" t="s">
        <v>3165</v>
      </c>
      <c r="B363" s="3471" t="s">
        <v>3009</v>
      </c>
      <c r="C363" s="3472">
        <v>0.15</v>
      </c>
      <c r="D363" s="3472">
        <v>0.15</v>
      </c>
      <c r="E363" s="3472">
        <v>0.15</v>
      </c>
      <c r="F363" s="3472">
        <v>0.14699999999999999</v>
      </c>
      <c r="G363" s="3473">
        <v>0.15</v>
      </c>
    </row>
    <row r="364" spans="1:7">
      <c r="A364" s="3482" t="s">
        <v>3165</v>
      </c>
      <c r="B364" s="3471" t="s">
        <v>3170</v>
      </c>
      <c r="C364" s="3472">
        <v>0.15</v>
      </c>
      <c r="D364" s="3472">
        <v>0.15</v>
      </c>
      <c r="E364" s="3472">
        <v>0.15</v>
      </c>
      <c r="F364" s="3472">
        <v>0.14799999999999999</v>
      </c>
      <c r="G364" s="3473">
        <v>0.15</v>
      </c>
    </row>
    <row r="365" spans="1:7">
      <c r="A365" s="3482" t="s">
        <v>3165</v>
      </c>
      <c r="B365" s="3471" t="s">
        <v>1047</v>
      </c>
      <c r="C365" s="3472">
        <v>0.15</v>
      </c>
      <c r="D365" s="3472">
        <v>0.15</v>
      </c>
      <c r="E365" s="3472">
        <v>0.15</v>
      </c>
      <c r="F365" s="3472">
        <v>0.15</v>
      </c>
      <c r="G365" s="3473">
        <v>0.15</v>
      </c>
    </row>
    <row r="366" spans="1:7">
      <c r="A366" s="3482" t="s">
        <v>3165</v>
      </c>
      <c r="B366" s="3471" t="s">
        <v>3011</v>
      </c>
      <c r="C366" s="3472">
        <v>0.15</v>
      </c>
      <c r="D366" s="3472">
        <v>0.15</v>
      </c>
      <c r="E366" s="3472">
        <v>0.15</v>
      </c>
      <c r="F366" s="3472">
        <v>0.15</v>
      </c>
      <c r="G366" s="3473">
        <v>0.15</v>
      </c>
    </row>
    <row r="367" spans="1:7">
      <c r="A367" s="3482" t="s">
        <v>3165</v>
      </c>
      <c r="B367" s="3471" t="s">
        <v>3171</v>
      </c>
      <c r="C367" s="3472">
        <v>0.15</v>
      </c>
      <c r="D367" s="3472">
        <v>0.15</v>
      </c>
      <c r="E367" s="3472">
        <v>0.15</v>
      </c>
      <c r="F367" s="3472">
        <v>0.14699999999999999</v>
      </c>
      <c r="G367" s="3473">
        <v>0.15</v>
      </c>
    </row>
    <row r="368" spans="1:7">
      <c r="A368" s="3482" t="s">
        <v>3165</v>
      </c>
      <c r="B368" s="3471" t="s">
        <v>3172</v>
      </c>
      <c r="C368" s="3472">
        <v>0.15</v>
      </c>
      <c r="D368" s="3472">
        <v>0.15</v>
      </c>
      <c r="E368" s="3472">
        <v>0.15</v>
      </c>
      <c r="F368" s="3472">
        <v>0.13600000000000001</v>
      </c>
      <c r="G368" s="3473">
        <v>0.15</v>
      </c>
    </row>
    <row r="369" spans="1:7">
      <c r="A369" s="3482" t="s">
        <v>3165</v>
      </c>
      <c r="B369" s="3471" t="s">
        <v>1061</v>
      </c>
      <c r="C369" s="3472">
        <v>0.15</v>
      </c>
      <c r="D369" s="3472">
        <v>0.15</v>
      </c>
      <c r="E369" s="3472">
        <v>0.15</v>
      </c>
      <c r="F369" s="3472">
        <v>0.14399999999999999</v>
      </c>
      <c r="G369" s="3473">
        <v>0.15</v>
      </c>
    </row>
    <row r="370" spans="1:7">
      <c r="A370" s="3482" t="s">
        <v>3165</v>
      </c>
      <c r="B370" s="3471" t="s">
        <v>1069</v>
      </c>
      <c r="C370" s="3472">
        <v>0.15</v>
      </c>
      <c r="D370" s="3472">
        <v>0.15</v>
      </c>
      <c r="E370" s="3472">
        <v>0.15</v>
      </c>
      <c r="F370" s="3472">
        <v>0.14599999999999999</v>
      </c>
      <c r="G370" s="3473">
        <v>0.15</v>
      </c>
    </row>
    <row r="371" spans="1:7">
      <c r="A371" s="3482" t="s">
        <v>3165</v>
      </c>
      <c r="B371" s="3471" t="s">
        <v>1077</v>
      </c>
      <c r="C371" s="3472">
        <v>0.15</v>
      </c>
      <c r="D371" s="3472">
        <v>0.15</v>
      </c>
      <c r="E371" s="3472">
        <v>0.15</v>
      </c>
      <c r="F371" s="3472">
        <v>0.12</v>
      </c>
      <c r="G371" s="3473">
        <v>0.15</v>
      </c>
    </row>
    <row r="372" spans="1:7">
      <c r="A372" s="3482" t="s">
        <v>3165</v>
      </c>
      <c r="B372" s="3471" t="s">
        <v>3173</v>
      </c>
      <c r="C372" s="3472">
        <v>0.15</v>
      </c>
      <c r="D372" s="3472">
        <v>0.15</v>
      </c>
      <c r="E372" s="3472">
        <v>0.15</v>
      </c>
      <c r="F372" s="3472">
        <v>0.14299999999999999</v>
      </c>
      <c r="G372" s="3473">
        <v>0.15</v>
      </c>
    </row>
    <row r="373" spans="1:7">
      <c r="A373" s="3482" t="s">
        <v>3165</v>
      </c>
      <c r="B373" s="3471" t="s">
        <v>1106</v>
      </c>
      <c r="C373" s="3472">
        <v>0.15</v>
      </c>
      <c r="D373" s="3472">
        <v>0.15</v>
      </c>
      <c r="E373" s="3472">
        <v>0.15</v>
      </c>
      <c r="F373" s="3472">
        <v>0.14599999999999999</v>
      </c>
      <c r="G373" s="3473">
        <v>0.15</v>
      </c>
    </row>
    <row r="374" spans="1:7">
      <c r="A374" s="3482" t="s">
        <v>3165</v>
      </c>
      <c r="B374" s="3471" t="s">
        <v>1114</v>
      </c>
      <c r="C374" s="3472">
        <v>0.15</v>
      </c>
      <c r="D374" s="3472">
        <v>0.15</v>
      </c>
      <c r="E374" s="3472">
        <v>0.15</v>
      </c>
      <c r="F374" s="3472">
        <v>0.14399999999999999</v>
      </c>
      <c r="G374" s="3473">
        <v>0.15</v>
      </c>
    </row>
    <row r="375" spans="1:7">
      <c r="A375" s="3482" t="s">
        <v>3165</v>
      </c>
      <c r="B375" s="3471" t="s">
        <v>3174</v>
      </c>
      <c r="C375" s="3472">
        <v>0.15</v>
      </c>
      <c r="D375" s="3472">
        <v>0.15</v>
      </c>
      <c r="E375" s="3472">
        <v>0.15</v>
      </c>
      <c r="F375" s="3472">
        <v>0.13</v>
      </c>
      <c r="G375" s="3473">
        <v>0.15</v>
      </c>
    </row>
    <row r="376" spans="1:7">
      <c r="A376" s="3482" t="s">
        <v>3165</v>
      </c>
      <c r="B376" s="3471" t="s">
        <v>1126</v>
      </c>
      <c r="C376" s="3472">
        <v>0.15</v>
      </c>
      <c r="D376" s="3472">
        <v>0.15</v>
      </c>
      <c r="E376" s="3472">
        <v>0.15</v>
      </c>
      <c r="F376" s="3472">
        <v>0.14199999999999999</v>
      </c>
      <c r="G376" s="3473">
        <v>0.15</v>
      </c>
    </row>
    <row r="377" spans="1:7" ht="14.25" thickBot="1">
      <c r="A377" s="3485" t="s">
        <v>3165</v>
      </c>
      <c r="B377" s="3475" t="s">
        <v>3016</v>
      </c>
      <c r="C377" s="3476">
        <v>0.15</v>
      </c>
      <c r="D377" s="3476">
        <v>0.15</v>
      </c>
      <c r="E377" s="3476">
        <v>0.15</v>
      </c>
      <c r="F377" s="3476">
        <v>0.14000000000000001</v>
      </c>
      <c r="G377" s="3478">
        <v>0.15</v>
      </c>
    </row>
    <row r="378" spans="1:7">
      <c r="A378" s="3481" t="s">
        <v>3175</v>
      </c>
      <c r="B378" s="3467" t="s">
        <v>3176</v>
      </c>
      <c r="C378" s="3468">
        <v>0.15</v>
      </c>
      <c r="D378" s="3468">
        <v>0.15</v>
      </c>
      <c r="E378" s="3468">
        <v>0.15</v>
      </c>
      <c r="F378" s="3468">
        <v>0.107</v>
      </c>
      <c r="G378" s="3469">
        <v>0.15</v>
      </c>
    </row>
    <row r="379" spans="1:7">
      <c r="A379" s="3482" t="s">
        <v>3175</v>
      </c>
      <c r="B379" s="3471" t="s">
        <v>3177</v>
      </c>
      <c r="C379" s="3472">
        <v>0.15</v>
      </c>
      <c r="D379" s="3472">
        <v>0.15</v>
      </c>
      <c r="E379" s="3472">
        <v>0.15</v>
      </c>
      <c r="F379" s="3472">
        <v>0.115</v>
      </c>
      <c r="G379" s="3473">
        <v>0.14899999999999999</v>
      </c>
    </row>
    <row r="380" spans="1:7">
      <c r="A380" s="3482" t="s">
        <v>3178</v>
      </c>
      <c r="B380" s="3471" t="s">
        <v>3179</v>
      </c>
      <c r="C380" s="3472">
        <v>0.15</v>
      </c>
      <c r="D380" s="3472">
        <v>0.15</v>
      </c>
      <c r="E380" s="3472">
        <v>0.15</v>
      </c>
      <c r="F380" s="3472">
        <v>0.1</v>
      </c>
      <c r="G380" s="3473">
        <v>0.14799999999999999</v>
      </c>
    </row>
    <row r="381" spans="1:7">
      <c r="A381" s="3482" t="s">
        <v>3178</v>
      </c>
      <c r="B381" s="3471" t="s">
        <v>3180</v>
      </c>
      <c r="C381" s="3472">
        <v>0.15</v>
      </c>
      <c r="D381" s="3472">
        <v>0.15</v>
      </c>
      <c r="E381" s="3472">
        <v>0.15</v>
      </c>
      <c r="F381" s="3472">
        <v>0.126</v>
      </c>
      <c r="G381" s="3473">
        <v>0.15</v>
      </c>
    </row>
    <row r="382" spans="1:7">
      <c r="A382" s="3482" t="s">
        <v>3178</v>
      </c>
      <c r="B382" s="3471" t="s">
        <v>3181</v>
      </c>
      <c r="C382" s="3472">
        <v>0.15</v>
      </c>
      <c r="D382" s="3472">
        <v>0.15</v>
      </c>
      <c r="E382" s="3472">
        <v>0.15</v>
      </c>
      <c r="F382" s="3472">
        <v>0.15</v>
      </c>
      <c r="G382" s="3473">
        <v>0.15</v>
      </c>
    </row>
    <row r="383" spans="1:7">
      <c r="A383" s="3482" t="s">
        <v>3178</v>
      </c>
      <c r="B383" s="3471" t="s">
        <v>3182</v>
      </c>
      <c r="C383" s="3472">
        <v>0.15</v>
      </c>
      <c r="D383" s="3472">
        <v>0.15</v>
      </c>
      <c r="E383" s="3472">
        <v>0.15</v>
      </c>
      <c r="F383" s="3472">
        <v>0.14699999999999999</v>
      </c>
      <c r="G383" s="3473">
        <v>0.15</v>
      </c>
    </row>
    <row r="384" spans="1:7" ht="14.25" thickBot="1">
      <c r="A384" s="3492" t="s">
        <v>3178</v>
      </c>
      <c r="B384" s="3493" t="s">
        <v>3183</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49" t="s">
        <v>1856</v>
      </c>
      <c r="C1" s="3949"/>
      <c r="D1" s="3949"/>
      <c r="E1" s="3949"/>
      <c r="F1" s="3949"/>
      <c r="G1" s="3948" t="s">
        <v>1857</v>
      </c>
      <c r="H1" s="3948"/>
      <c r="I1" s="3948"/>
      <c r="J1" s="3948"/>
      <c r="K1" s="3948"/>
      <c r="L1" s="3948"/>
      <c r="N1" s="3948" t="s">
        <v>1858</v>
      </c>
      <c r="O1" s="3948"/>
      <c r="P1" s="3948"/>
      <c r="Q1" s="3948"/>
      <c r="S1" s="3948" t="s">
        <v>1859</v>
      </c>
      <c r="T1" s="3948"/>
      <c r="U1" s="3948"/>
      <c r="V1" s="3948"/>
      <c r="X1" s="3947" t="s">
        <v>1919</v>
      </c>
      <c r="Y1" s="3948"/>
      <c r="Z1" s="3948"/>
      <c r="AA1" s="3948"/>
      <c r="AB1" s="3948"/>
      <c r="AD1" s="3947" t="s">
        <v>1923</v>
      </c>
      <c r="AE1" s="3948"/>
      <c r="AF1" s="3948"/>
      <c r="AG1" s="3948"/>
      <c r="AH1" s="3948"/>
    </row>
    <row r="2" spans="1:34" s="2617" customFormat="1" ht="14.25" thickBot="1">
      <c r="B2" s="2618" t="s">
        <v>1860</v>
      </c>
      <c r="C2" s="2618" t="s">
        <v>1921</v>
      </c>
      <c r="D2" s="2619" t="s">
        <v>1179</v>
      </c>
      <c r="E2" s="2619" t="s">
        <v>1469</v>
      </c>
      <c r="F2" s="2618" t="s">
        <v>1922</v>
      </c>
      <c r="G2" s="2620"/>
      <c r="I2" s="2618" t="s">
        <v>2212</v>
      </c>
      <c r="J2" s="2619" t="s">
        <v>2214</v>
      </c>
      <c r="K2" s="2619" t="s">
        <v>2215</v>
      </c>
      <c r="L2" s="2618" t="s">
        <v>2216</v>
      </c>
      <c r="N2" s="2618" t="s">
        <v>1860</v>
      </c>
      <c r="O2" s="2619" t="s">
        <v>2213</v>
      </c>
      <c r="P2" s="2619" t="s">
        <v>1469</v>
      </c>
      <c r="Q2" s="2618" t="s">
        <v>1922</v>
      </c>
      <c r="S2" s="2618" t="s">
        <v>1860</v>
      </c>
      <c r="T2" s="2619" t="s">
        <v>2213</v>
      </c>
      <c r="U2" s="2619" t="s">
        <v>1469</v>
      </c>
      <c r="V2" s="2618" t="s">
        <v>1922</v>
      </c>
      <c r="X2" s="2618" t="s">
        <v>1860</v>
      </c>
      <c r="Y2" s="2618" t="s">
        <v>1921</v>
      </c>
      <c r="Z2" s="2619" t="s">
        <v>1179</v>
      </c>
      <c r="AA2" s="2619" t="s">
        <v>1469</v>
      </c>
      <c r="AB2" s="2618" t="s">
        <v>1922</v>
      </c>
      <c r="AD2" s="2618" t="s">
        <v>1860</v>
      </c>
      <c r="AE2" s="2618" t="s">
        <v>1921</v>
      </c>
      <c r="AF2" s="2619" t="s">
        <v>1179</v>
      </c>
      <c r="AG2" s="2619" t="s">
        <v>1469</v>
      </c>
      <c r="AH2" s="2618" t="s">
        <v>1922</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2444</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2443</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2442</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2441</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2440</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2289</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2288</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2287</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2286</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4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4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4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44"/>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42">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4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1861</v>
      </c>
      <c r="B28" s="2641">
        <f t="shared" si="16"/>
        <v>419.31181600000002</v>
      </c>
      <c r="C28" s="2641">
        <f t="shared" si="16"/>
        <v>313.95436800000004</v>
      </c>
      <c r="D28" s="2641">
        <f t="shared" si="13"/>
        <v>313.95436800000004</v>
      </c>
      <c r="E28" s="2641">
        <f t="shared" si="17"/>
        <v>596.63028431999999</v>
      </c>
      <c r="F28" s="2641">
        <f t="shared" si="17"/>
        <v>274.74220703999998</v>
      </c>
      <c r="G28" s="394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1862</v>
      </c>
      <c r="B29" s="2641">
        <f t="shared" si="16"/>
        <v>405.524</v>
      </c>
      <c r="C29" s="2641">
        <f t="shared" si="16"/>
        <v>307.79840000000002</v>
      </c>
      <c r="D29" s="2641">
        <f t="shared" si="13"/>
        <v>307.79840000000002</v>
      </c>
      <c r="E29" s="2641">
        <f t="shared" si="17"/>
        <v>574.67759999999998</v>
      </c>
      <c r="F29" s="2641">
        <f t="shared" si="17"/>
        <v>270.20280000000002</v>
      </c>
      <c r="G29" s="3944"/>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42">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4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4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4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4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4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4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4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4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4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4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4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1920</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1863</v>
      </c>
      <c r="B42" s="2662">
        <v>299</v>
      </c>
      <c r="C42" s="2662">
        <v>252</v>
      </c>
      <c r="D42" s="2662">
        <f t="shared" si="20"/>
        <v>252</v>
      </c>
      <c r="E42" s="2662">
        <v>409</v>
      </c>
      <c r="F42" s="2663">
        <v>227</v>
      </c>
      <c r="G42" s="3950">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1864</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1"/>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1865</v>
      </c>
      <c r="B44" s="2641">
        <f t="shared" si="27"/>
        <v>288.2649053828776</v>
      </c>
      <c r="C44" s="2641">
        <f t="shared" si="27"/>
        <v>243.64564425013293</v>
      </c>
      <c r="D44" s="2641">
        <f t="shared" si="20"/>
        <v>243.64564425013293</v>
      </c>
      <c r="E44" s="2641">
        <f t="shared" si="28"/>
        <v>393.31080825986544</v>
      </c>
      <c r="F44" s="2641">
        <f t="shared" si="28"/>
        <v>223.07903790551154</v>
      </c>
      <c r="G44" s="3951"/>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1866</v>
      </c>
      <c r="B45" s="2641">
        <f t="shared" si="27"/>
        <v>282.50186729015837</v>
      </c>
      <c r="C45" s="2641">
        <f t="shared" si="27"/>
        <v>238.09796174155468</v>
      </c>
      <c r="D45" s="2641">
        <f t="shared" si="20"/>
        <v>238.09796174155468</v>
      </c>
      <c r="E45" s="2641">
        <f t="shared" si="28"/>
        <v>385.33438646014054</v>
      </c>
      <c r="F45" s="2641">
        <f t="shared" si="28"/>
        <v>221.55034055567739</v>
      </c>
      <c r="G45" s="3952"/>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1867</v>
      </c>
      <c r="B46" s="2690">
        <v>278</v>
      </c>
      <c r="C46" s="2690">
        <v>234</v>
      </c>
      <c r="D46" s="2690">
        <f t="shared" si="20"/>
        <v>234</v>
      </c>
      <c r="E46" s="2690">
        <v>379</v>
      </c>
      <c r="F46" s="2691">
        <v>220</v>
      </c>
      <c r="G46" s="394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1868</v>
      </c>
      <c r="B47" s="2641">
        <f>B46/(1+N46)</f>
        <v>275.49301357645425</v>
      </c>
      <c r="C47" s="2641">
        <f>C46/(1+O46)</f>
        <v>232.41954707985698</v>
      </c>
      <c r="D47" s="2641">
        <f t="shared" si="20"/>
        <v>232.41954707985698</v>
      </c>
      <c r="E47" s="2641">
        <f t="shared" ref="E47:F49" si="29">E46/(1+P46)</f>
        <v>375.32184591008121</v>
      </c>
      <c r="F47" s="2641">
        <f t="shared" si="29"/>
        <v>218.03766105054513</v>
      </c>
      <c r="G47" s="394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1869</v>
      </c>
      <c r="B48" s="2641">
        <f>B47/(1+N47)</f>
        <v>275.24529281292263</v>
      </c>
      <c r="C48" s="2641">
        <f>C47/(1+O47)</f>
        <v>231.74747938962707</v>
      </c>
      <c r="D48" s="2641">
        <f t="shared" si="20"/>
        <v>231.74747938962707</v>
      </c>
      <c r="E48" s="2641">
        <f t="shared" si="29"/>
        <v>375.35938184826603</v>
      </c>
      <c r="F48" s="2641">
        <f t="shared" si="29"/>
        <v>216.78033510692495</v>
      </c>
      <c r="G48" s="394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1870</v>
      </c>
      <c r="B49" s="2641">
        <f>B48/(1+N48)</f>
        <v>275.19025476197027</v>
      </c>
      <c r="C49" s="2692">
        <v>232</v>
      </c>
      <c r="D49" s="2692">
        <f t="shared" si="20"/>
        <v>232</v>
      </c>
      <c r="E49" s="2641">
        <f t="shared" si="29"/>
        <v>375.65990977608692</v>
      </c>
      <c r="F49" s="2641">
        <f t="shared" si="29"/>
        <v>214.12518283971252</v>
      </c>
      <c r="G49" s="394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1871</v>
      </c>
      <c r="B50" s="2662">
        <v>275</v>
      </c>
      <c r="C50" s="2662">
        <v>232</v>
      </c>
      <c r="D50" s="2662">
        <f t="shared" si="20"/>
        <v>232</v>
      </c>
      <c r="E50" s="2662">
        <v>376</v>
      </c>
      <c r="F50" s="2663">
        <v>213</v>
      </c>
      <c r="G50" s="394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1872</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4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1873</v>
      </c>
      <c r="B52" s="2641">
        <f t="shared" si="30"/>
        <v>275.19335084830601</v>
      </c>
      <c r="C52" s="2641">
        <f t="shared" si="30"/>
        <v>230.18088050139744</v>
      </c>
      <c r="D52" s="2641">
        <f t="shared" si="20"/>
        <v>230.18088050139744</v>
      </c>
      <c r="E52" s="2641">
        <f t="shared" si="31"/>
        <v>377.58482925212331</v>
      </c>
      <c r="F52" s="2641">
        <f t="shared" si="31"/>
        <v>210.90687997847917</v>
      </c>
      <c r="G52" s="394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1874</v>
      </c>
      <c r="B53" s="2641">
        <f t="shared" si="30"/>
        <v>276.29854502841971</v>
      </c>
      <c r="C53" s="2641">
        <f t="shared" si="30"/>
        <v>229.79023709833027</v>
      </c>
      <c r="D53" s="2641">
        <f t="shared" si="20"/>
        <v>229.79023709833027</v>
      </c>
      <c r="E53" s="2641">
        <f t="shared" si="31"/>
        <v>379.78759731655936</v>
      </c>
      <c r="F53" s="2641">
        <f t="shared" si="31"/>
        <v>211.32953905659235</v>
      </c>
      <c r="G53" s="394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1875</v>
      </c>
      <c r="B54" s="2662">
        <v>269</v>
      </c>
      <c r="C54" s="2662">
        <v>221</v>
      </c>
      <c r="D54" s="2662">
        <f t="shared" si="20"/>
        <v>221</v>
      </c>
      <c r="E54" s="2662">
        <v>373</v>
      </c>
      <c r="F54" s="2663">
        <v>196</v>
      </c>
      <c r="G54" s="394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1876</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4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1877</v>
      </c>
      <c r="B56" s="2641">
        <f t="shared" si="32"/>
        <v>242.95398227588385</v>
      </c>
      <c r="C56" s="2641">
        <f t="shared" si="32"/>
        <v>199.59137053614126</v>
      </c>
      <c r="D56" s="2641">
        <f t="shared" si="20"/>
        <v>199.59137053614126</v>
      </c>
      <c r="E56" s="2641">
        <f t="shared" si="33"/>
        <v>335.92189522342125</v>
      </c>
      <c r="F56" s="2641">
        <f t="shared" si="33"/>
        <v>183.10139991109489</v>
      </c>
      <c r="G56" s="394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1878</v>
      </c>
      <c r="B57" s="2641">
        <f t="shared" si="32"/>
        <v>232.06990378821649</v>
      </c>
      <c r="C57" s="2641">
        <f t="shared" si="32"/>
        <v>192.74878854286936</v>
      </c>
      <c r="D57" s="2641">
        <f t="shared" si="20"/>
        <v>192.74878854286936</v>
      </c>
      <c r="E57" s="2641">
        <f t="shared" si="33"/>
        <v>319.71247284992984</v>
      </c>
      <c r="F57" s="2641">
        <f t="shared" si="33"/>
        <v>175.67053622862409</v>
      </c>
      <c r="G57" s="394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1879</v>
      </c>
      <c r="B58" s="2662">
        <v>220</v>
      </c>
      <c r="C58" s="2662">
        <v>187</v>
      </c>
      <c r="D58" s="2662">
        <f t="shared" si="20"/>
        <v>187</v>
      </c>
      <c r="E58" s="2662">
        <v>301</v>
      </c>
      <c r="F58" s="2663">
        <v>168</v>
      </c>
      <c r="G58" s="394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1880</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4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1881</v>
      </c>
      <c r="B60" s="2641">
        <f t="shared" si="34"/>
        <v>210.630522469011</v>
      </c>
      <c r="C60" s="2641">
        <f t="shared" si="34"/>
        <v>181.69567812247232</v>
      </c>
      <c r="D60" s="2641">
        <f t="shared" si="20"/>
        <v>181.69567812247232</v>
      </c>
      <c r="E60" s="2641">
        <f t="shared" si="35"/>
        <v>286.13517466736738</v>
      </c>
      <c r="F60" s="2641">
        <f t="shared" si="35"/>
        <v>165.47535084591149</v>
      </c>
      <c r="G60" s="394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1882</v>
      </c>
      <c r="B61" s="2641">
        <f t="shared" si="34"/>
        <v>208.83454537875372</v>
      </c>
      <c r="C61" s="2641">
        <f t="shared" si="34"/>
        <v>183.77230517090351</v>
      </c>
      <c r="D61" s="2641">
        <f t="shared" si="20"/>
        <v>183.77230517090351</v>
      </c>
      <c r="E61" s="2641">
        <f t="shared" si="35"/>
        <v>281.10342338870947</v>
      </c>
      <c r="F61" s="2641">
        <f t="shared" si="35"/>
        <v>168.97309388942256</v>
      </c>
      <c r="G61" s="394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1883</v>
      </c>
      <c r="B62" s="2690">
        <v>214</v>
      </c>
      <c r="C62" s="2690">
        <v>188</v>
      </c>
      <c r="D62" s="2690">
        <f t="shared" si="20"/>
        <v>188</v>
      </c>
      <c r="E62" s="2690">
        <v>289</v>
      </c>
      <c r="F62" s="2691">
        <v>166</v>
      </c>
      <c r="G62" s="394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1884</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4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1885</v>
      </c>
      <c r="B64" s="2641">
        <f t="shared" si="36"/>
        <v>206.31694671589116</v>
      </c>
      <c r="C64" s="2641">
        <f t="shared" si="36"/>
        <v>183.61041121036101</v>
      </c>
      <c r="D64" s="2641">
        <f t="shared" si="20"/>
        <v>183.61041121036101</v>
      </c>
      <c r="E64" s="2641">
        <f t="shared" si="37"/>
        <v>276.66850301795557</v>
      </c>
      <c r="F64" s="2641">
        <f t="shared" si="37"/>
        <v>165.1360938278614</v>
      </c>
      <c r="G64" s="394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1886</v>
      </c>
      <c r="B65" s="2693">
        <f t="shared" si="36"/>
        <v>196.62341248059772</v>
      </c>
      <c r="C65" s="2693">
        <f t="shared" si="36"/>
        <v>170.99125648199012</v>
      </c>
      <c r="D65" s="2693">
        <f t="shared" si="20"/>
        <v>170.99125648199012</v>
      </c>
      <c r="E65" s="2693">
        <f t="shared" si="37"/>
        <v>266.07857570490052</v>
      </c>
      <c r="F65" s="2693">
        <f t="shared" si="37"/>
        <v>154.53499328828505</v>
      </c>
      <c r="G65" s="394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1887</v>
      </c>
      <c r="B66" s="2662">
        <v>188</v>
      </c>
      <c r="C66" s="2662">
        <v>165</v>
      </c>
      <c r="D66" s="2662">
        <f t="shared" si="20"/>
        <v>165</v>
      </c>
      <c r="E66" s="2662">
        <v>254</v>
      </c>
      <c r="F66" s="2663">
        <v>148</v>
      </c>
      <c r="G66" s="394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1888</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4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1889</v>
      </c>
      <c r="B68" s="2641">
        <f t="shared" si="40"/>
        <v>168.82017748715555</v>
      </c>
      <c r="C68" s="2641">
        <f t="shared" si="40"/>
        <v>148.06267029972753</v>
      </c>
      <c r="D68" s="2641">
        <f t="shared" si="20"/>
        <v>148.06267029972753</v>
      </c>
      <c r="E68" s="2641">
        <f t="shared" si="41"/>
        <v>216.46288379323747</v>
      </c>
      <c r="F68" s="2641">
        <f t="shared" si="41"/>
        <v>134.23529411764704</v>
      </c>
      <c r="G68" s="394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1890</v>
      </c>
      <c r="B69" s="2641">
        <f t="shared" si="40"/>
        <v>163.84913591779542</v>
      </c>
      <c r="C69" s="2641">
        <f t="shared" si="40"/>
        <v>145.0283378746594</v>
      </c>
      <c r="D69" s="2641">
        <f t="shared" si="20"/>
        <v>145.0283378746594</v>
      </c>
      <c r="E69" s="2641">
        <f t="shared" si="41"/>
        <v>204.95180722891567</v>
      </c>
      <c r="F69" s="2641">
        <f t="shared" si="41"/>
        <v>125.95920303605313</v>
      </c>
      <c r="G69" s="394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1891</v>
      </c>
      <c r="B70" s="2669">
        <v>159</v>
      </c>
      <c r="C70" s="2669">
        <v>141</v>
      </c>
      <c r="D70" s="2669">
        <f t="shared" si="20"/>
        <v>141</v>
      </c>
      <c r="E70" s="2669">
        <v>195</v>
      </c>
      <c r="F70" s="2670">
        <v>122</v>
      </c>
      <c r="G70" s="394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1892</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4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1893</v>
      </c>
      <c r="B72" s="2641">
        <f t="shared" si="44"/>
        <v>146.57412060301507</v>
      </c>
      <c r="C72" s="2641">
        <f t="shared" si="44"/>
        <v>136.46831955922866</v>
      </c>
      <c r="D72" s="2641">
        <f t="shared" si="20"/>
        <v>136.46831955922866</v>
      </c>
      <c r="E72" s="2641">
        <f t="shared" si="45"/>
        <v>166.73864894795128</v>
      </c>
      <c r="F72" s="2641">
        <f t="shared" si="45"/>
        <v>115.05882352941177</v>
      </c>
      <c r="G72" s="394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1894</v>
      </c>
      <c r="B73" s="2641">
        <f t="shared" si="44"/>
        <v>144.04145728643215</v>
      </c>
      <c r="C73" s="2641">
        <f t="shared" si="44"/>
        <v>136.12396694214877</v>
      </c>
      <c r="D73" s="2641">
        <f t="shared" si="20"/>
        <v>136.12396694214877</v>
      </c>
      <c r="E73" s="2641">
        <f t="shared" si="45"/>
        <v>158.32225913621264</v>
      </c>
      <c r="F73" s="2641">
        <f t="shared" si="45"/>
        <v>114.04278074866311</v>
      </c>
      <c r="G73" s="394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1895</v>
      </c>
      <c r="B74" s="2669">
        <v>138</v>
      </c>
      <c r="C74" s="2669">
        <v>131</v>
      </c>
      <c r="D74" s="2669">
        <f t="shared" si="20"/>
        <v>131</v>
      </c>
      <c r="E74" s="2669">
        <v>155</v>
      </c>
      <c r="F74" s="2670">
        <v>114</v>
      </c>
      <c r="G74" s="394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1896</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4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1897</v>
      </c>
      <c r="B76" s="2641">
        <f t="shared" si="48"/>
        <v>124.29032258064517</v>
      </c>
      <c r="C76" s="2641">
        <f t="shared" si="48"/>
        <v>123.8968609865471</v>
      </c>
      <c r="D76" s="2641">
        <f t="shared" si="20"/>
        <v>123.8968609865471</v>
      </c>
      <c r="E76" s="2641">
        <f t="shared" si="49"/>
        <v>138.00507614213197</v>
      </c>
      <c r="F76" s="2641">
        <f t="shared" si="49"/>
        <v>107.96106557377048</v>
      </c>
      <c r="G76" s="394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1898</v>
      </c>
      <c r="B77" s="2641">
        <f t="shared" si="48"/>
        <v>122.57204301075269</v>
      </c>
      <c r="C77" s="2641">
        <f t="shared" si="48"/>
        <v>123.4932735426009</v>
      </c>
      <c r="D77" s="2641">
        <f t="shared" si="20"/>
        <v>123.4932735426009</v>
      </c>
      <c r="E77" s="2641">
        <f t="shared" si="49"/>
        <v>129.82233502538071</v>
      </c>
      <c r="F77" s="2641">
        <f t="shared" si="49"/>
        <v>107.39446721311475</v>
      </c>
      <c r="G77" s="394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1899</v>
      </c>
      <c r="B78" s="2690">
        <v>121</v>
      </c>
      <c r="C78" s="2690">
        <v>122</v>
      </c>
      <c r="D78" s="2690">
        <f t="shared" si="20"/>
        <v>122</v>
      </c>
      <c r="E78" s="2690">
        <v>124</v>
      </c>
      <c r="F78" s="2691">
        <v>107</v>
      </c>
      <c r="G78" s="394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1900</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4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1901</v>
      </c>
      <c r="B80" s="2641">
        <f t="shared" si="52"/>
        <v>116.99099099099099</v>
      </c>
      <c r="C80" s="2641">
        <f t="shared" si="52"/>
        <v>118.84848484848486</v>
      </c>
      <c r="D80" s="2641">
        <f t="shared" si="20"/>
        <v>118.84848484848486</v>
      </c>
      <c r="E80" s="2641">
        <f t="shared" si="53"/>
        <v>117.60960960960961</v>
      </c>
      <c r="F80" s="2641">
        <f t="shared" si="53"/>
        <v>104</v>
      </c>
      <c r="G80" s="394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1902</v>
      </c>
      <c r="B81" s="2693">
        <f t="shared" si="52"/>
        <v>112.48648648648648</v>
      </c>
      <c r="C81" s="2693">
        <f t="shared" si="52"/>
        <v>115.21212121212122</v>
      </c>
      <c r="D81" s="2693">
        <f t="shared" si="20"/>
        <v>115.21212121212122</v>
      </c>
      <c r="E81" s="2693">
        <f t="shared" si="53"/>
        <v>110.4024024024024</v>
      </c>
      <c r="F81" s="2693">
        <f t="shared" si="53"/>
        <v>104</v>
      </c>
      <c r="G81" s="394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1903</v>
      </c>
      <c r="B82" s="2710">
        <v>111</v>
      </c>
      <c r="C82" s="2710">
        <v>114</v>
      </c>
      <c r="D82" s="2710">
        <f t="shared" si="20"/>
        <v>114</v>
      </c>
      <c r="E82" s="2710">
        <v>108</v>
      </c>
      <c r="F82" s="2711">
        <v>104</v>
      </c>
      <c r="G82" s="3945">
        <v>2003</v>
      </c>
      <c r="H82" s="2700">
        <v>4</v>
      </c>
      <c r="I82" s="2712"/>
      <c r="J82" s="2712"/>
      <c r="K82" s="2712"/>
      <c r="L82" s="2712"/>
      <c r="N82" s="2713"/>
      <c r="O82" s="2712"/>
      <c r="P82" s="2712"/>
      <c r="Q82" s="2712"/>
      <c r="S82" s="2713"/>
      <c r="T82" s="2712"/>
      <c r="U82" s="2712"/>
      <c r="V82" s="2712"/>
      <c r="X82" s="2704"/>
      <c r="Y82" s="2704"/>
      <c r="Z82" s="2704"/>
    </row>
    <row r="83" spans="1:26">
      <c r="A83" s="2640" t="s">
        <v>1904</v>
      </c>
      <c r="B83" s="2714">
        <f t="shared" ref="B83:C85" si="54">B84+(B$82-B$86)/4</f>
        <v>109.75</v>
      </c>
      <c r="C83" s="2714">
        <f t="shared" si="54"/>
        <v>112.25</v>
      </c>
      <c r="D83" s="2714">
        <f t="shared" si="20"/>
        <v>112.25</v>
      </c>
      <c r="E83" s="2714">
        <f t="shared" ref="E83:F85" si="55">E84+(E$82-E$86)/4</f>
        <v>107.25</v>
      </c>
      <c r="F83" s="2714">
        <f t="shared" si="55"/>
        <v>103.5</v>
      </c>
      <c r="G83" s="3943">
        <v>2003</v>
      </c>
      <c r="H83" s="2667">
        <v>3</v>
      </c>
      <c r="I83" s="2712"/>
      <c r="J83" s="2712"/>
      <c r="K83" s="2712"/>
      <c r="L83" s="2712"/>
      <c r="X83" s="2704"/>
      <c r="Y83" s="2704"/>
      <c r="Z83" s="2704"/>
    </row>
    <row r="84" spans="1:26">
      <c r="A84" s="2640" t="s">
        <v>1905</v>
      </c>
      <c r="B84" s="2714">
        <f t="shared" si="54"/>
        <v>108.5</v>
      </c>
      <c r="C84" s="2714">
        <f t="shared" si="54"/>
        <v>110.5</v>
      </c>
      <c r="D84" s="2714">
        <f t="shared" si="20"/>
        <v>110.5</v>
      </c>
      <c r="E84" s="2714">
        <f t="shared" si="55"/>
        <v>106.5</v>
      </c>
      <c r="F84" s="2714">
        <f t="shared" si="55"/>
        <v>103</v>
      </c>
      <c r="G84" s="3943">
        <v>2003</v>
      </c>
      <c r="H84" s="2655">
        <v>2</v>
      </c>
      <c r="I84" s="2712"/>
      <c r="J84" s="2712"/>
      <c r="K84" s="2712"/>
      <c r="L84" s="2712"/>
      <c r="X84" s="2704"/>
      <c r="Y84" s="2704"/>
      <c r="Z84" s="2704"/>
    </row>
    <row r="85" spans="1:26" ht="13.5" thickBot="1">
      <c r="A85" s="2640" t="s">
        <v>1906</v>
      </c>
      <c r="B85" s="2714">
        <f t="shared" si="54"/>
        <v>107.25</v>
      </c>
      <c r="C85" s="2714">
        <f t="shared" si="54"/>
        <v>108.75</v>
      </c>
      <c r="D85" s="2714">
        <f t="shared" si="20"/>
        <v>108.75</v>
      </c>
      <c r="E85" s="2714">
        <f t="shared" si="55"/>
        <v>105.75</v>
      </c>
      <c r="F85" s="2714">
        <f t="shared" si="55"/>
        <v>102.5</v>
      </c>
      <c r="G85" s="3946">
        <v>2003</v>
      </c>
      <c r="H85" s="2715">
        <v>1</v>
      </c>
      <c r="I85" s="2712"/>
      <c r="J85" s="2712"/>
      <c r="K85" s="2712"/>
      <c r="L85" s="2712"/>
      <c r="S85" s="2643"/>
      <c r="T85" s="2639"/>
      <c r="U85" s="2639"/>
      <c r="X85" s="2704"/>
      <c r="Y85" s="2704"/>
      <c r="Z85" s="2704"/>
    </row>
    <row r="86" spans="1:26" ht="13.5" thickBot="1">
      <c r="A86" s="2640" t="s">
        <v>1907</v>
      </c>
      <c r="B86" s="2716">
        <v>106</v>
      </c>
      <c r="C86" s="2716">
        <v>107</v>
      </c>
      <c r="D86" s="2716">
        <f t="shared" si="20"/>
        <v>107</v>
      </c>
      <c r="E86" s="2716">
        <v>105</v>
      </c>
      <c r="F86" s="2717">
        <v>102</v>
      </c>
      <c r="G86" s="3945">
        <v>2002</v>
      </c>
      <c r="H86" s="2664">
        <v>4</v>
      </c>
      <c r="I86" s="2712"/>
      <c r="J86" s="2712"/>
      <c r="K86" s="2712"/>
      <c r="L86" s="2712"/>
      <c r="N86" s="2713"/>
      <c r="O86" s="2712"/>
      <c r="P86" s="2712"/>
      <c r="Q86" s="2712"/>
      <c r="S86" s="2713"/>
      <c r="T86" s="2712"/>
      <c r="U86" s="2712"/>
      <c r="V86" s="2712"/>
      <c r="X86" s="2704"/>
      <c r="Y86" s="2704"/>
      <c r="Z86" s="2704"/>
    </row>
    <row r="87" spans="1:26">
      <c r="A87" s="2640" t="s">
        <v>1908</v>
      </c>
      <c r="B87" s="2714">
        <f t="shared" ref="B87:C89" si="56">B88+(B$86-B$90)/4</f>
        <v>105</v>
      </c>
      <c r="C87" s="2714">
        <f t="shared" si="56"/>
        <v>106</v>
      </c>
      <c r="D87" s="2714">
        <f t="shared" si="20"/>
        <v>106</v>
      </c>
      <c r="E87" s="2714">
        <f t="shared" ref="E87:F89" si="57">E88+(E$86-E$90)/4</f>
        <v>104.5</v>
      </c>
      <c r="F87" s="2714">
        <f t="shared" si="57"/>
        <v>101.5</v>
      </c>
      <c r="G87" s="3943">
        <v>2002</v>
      </c>
      <c r="H87" s="2667">
        <v>3</v>
      </c>
      <c r="I87" s="2712"/>
      <c r="J87" s="2712"/>
      <c r="K87" s="2712"/>
      <c r="L87" s="2712"/>
      <c r="X87" s="2704"/>
      <c r="Y87" s="2704"/>
      <c r="Z87" s="2704"/>
    </row>
    <row r="88" spans="1:26">
      <c r="A88" s="2640" t="s">
        <v>1909</v>
      </c>
      <c r="B88" s="2714">
        <f t="shared" si="56"/>
        <v>104</v>
      </c>
      <c r="C88" s="2714">
        <f t="shared" si="56"/>
        <v>105</v>
      </c>
      <c r="D88" s="2714">
        <f t="shared" si="20"/>
        <v>105</v>
      </c>
      <c r="E88" s="2714">
        <f t="shared" si="57"/>
        <v>104</v>
      </c>
      <c r="F88" s="2714">
        <f t="shared" si="57"/>
        <v>101</v>
      </c>
      <c r="G88" s="3943">
        <v>2002</v>
      </c>
      <c r="H88" s="2655">
        <v>2</v>
      </c>
      <c r="I88" s="2712"/>
      <c r="J88" s="2712"/>
      <c r="K88" s="2712"/>
      <c r="L88" s="2712"/>
      <c r="X88" s="2704"/>
      <c r="Y88" s="2704"/>
      <c r="Z88" s="2704"/>
    </row>
    <row r="89" spans="1:26" s="2677" customFormat="1" ht="13.5" thickBot="1">
      <c r="A89" s="2673" t="s">
        <v>1910</v>
      </c>
      <c r="B89" s="2680">
        <f t="shared" si="56"/>
        <v>103</v>
      </c>
      <c r="C89" s="2680">
        <f t="shared" si="56"/>
        <v>104</v>
      </c>
      <c r="D89" s="2680">
        <f t="shared" si="20"/>
        <v>104</v>
      </c>
      <c r="E89" s="2680">
        <f t="shared" si="57"/>
        <v>103.5</v>
      </c>
      <c r="F89" s="2680">
        <f t="shared" si="57"/>
        <v>100.5</v>
      </c>
      <c r="G89" s="3946">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1911</v>
      </c>
      <c r="G92" s="2727"/>
      <c r="N92" s="2727"/>
      <c r="S92" s="2727"/>
    </row>
    <row r="93" spans="1:26" s="2726" customFormat="1">
      <c r="A93" s="2726" t="s">
        <v>1912</v>
      </c>
      <c r="G93" s="2727"/>
      <c r="N93" s="2727"/>
      <c r="S93" s="2727"/>
    </row>
    <row r="94" spans="1:26" s="2726" customFormat="1">
      <c r="A94" s="2726" t="s">
        <v>1913</v>
      </c>
      <c r="G94" s="2727"/>
      <c r="I94" s="2728"/>
      <c r="J94" s="2728"/>
      <c r="K94" s="2728"/>
      <c r="L94" s="2728"/>
      <c r="N94" s="2729"/>
      <c r="O94" s="2728"/>
      <c r="P94" s="2728"/>
      <c r="Q94" s="2728"/>
      <c r="S94" s="2729"/>
      <c r="T94" s="2728"/>
      <c r="U94" s="2728"/>
      <c r="V94" s="2728"/>
    </row>
    <row r="95" spans="1:26" s="2726" customFormat="1">
      <c r="A95" s="2726" t="s">
        <v>1914</v>
      </c>
      <c r="G95" s="2727"/>
      <c r="N95" s="2727"/>
      <c r="S95" s="2727"/>
    </row>
    <row r="102" spans="7:22" ht="13.5" thickBot="1"/>
    <row r="103" spans="7:22">
      <c r="G103" s="2638"/>
      <c r="S103" s="2730" t="s">
        <v>1915</v>
      </c>
      <c r="T103" s="2731" t="s">
        <v>1916</v>
      </c>
      <c r="U103" s="2731" t="s">
        <v>1917</v>
      </c>
      <c r="V103" s="2731" t="s">
        <v>1918</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7">
        <f>基准地价!G23</f>
        <v>45040</v>
      </c>
      <c r="B1" s="3345" t="s">
        <v>2787</v>
      </c>
      <c r="C1" s="3346"/>
      <c r="D1" s="3346"/>
      <c r="E1" s="3346"/>
      <c r="F1" s="3346"/>
      <c r="G1" s="3346"/>
      <c r="H1" s="3346"/>
      <c r="I1" s="3346"/>
      <c r="J1" s="3347"/>
      <c r="K1" s="3346" t="s">
        <v>2788</v>
      </c>
      <c r="L1" s="3346"/>
      <c r="M1" s="3346"/>
      <c r="N1" s="3346"/>
      <c r="O1" s="3346"/>
      <c r="P1" s="3346"/>
      <c r="Q1" s="3347"/>
      <c r="R1" s="3953" t="s">
        <v>2797</v>
      </c>
      <c r="S1" s="3954"/>
      <c r="T1" s="3954"/>
      <c r="U1" s="3954"/>
      <c r="V1" s="3954"/>
      <c r="W1" s="3954"/>
      <c r="X1" s="3347"/>
      <c r="Y1" s="3953" t="s">
        <v>2808</v>
      </c>
      <c r="Z1" s="3954"/>
      <c r="AA1" s="3954"/>
      <c r="AB1" s="3954"/>
      <c r="AC1" s="3954"/>
      <c r="AD1" s="3954"/>
    </row>
    <row r="2" spans="1:30" ht="14.25" thickBot="1">
      <c r="A2" s="3338"/>
      <c r="B2" s="3348"/>
      <c r="C2" s="3349"/>
      <c r="D2" s="3350" t="s">
        <v>2790</v>
      </c>
      <c r="E2" s="3351" t="s">
        <v>2791</v>
      </c>
      <c r="F2" s="3351" t="s">
        <v>2792</v>
      </c>
      <c r="G2" s="3351" t="s">
        <v>2793</v>
      </c>
      <c r="H2" s="3351" t="s">
        <v>2794</v>
      </c>
      <c r="I2" s="3351" t="s">
        <v>2735</v>
      </c>
      <c r="J2" s="3352"/>
      <c r="K2" s="3350" t="s">
        <v>2790</v>
      </c>
      <c r="L2" s="3351" t="s">
        <v>2791</v>
      </c>
      <c r="M2" s="3351" t="s">
        <v>2792</v>
      </c>
      <c r="N2" s="3351" t="s">
        <v>2793</v>
      </c>
      <c r="O2" s="3351" t="s">
        <v>2794</v>
      </c>
      <c r="P2" s="3351" t="s">
        <v>2735</v>
      </c>
      <c r="Q2" s="3352"/>
      <c r="R2" s="3350" t="s">
        <v>2798</v>
      </c>
      <c r="S2" s="3351" t="s">
        <v>2799</v>
      </c>
      <c r="T2" s="3351" t="s">
        <v>2800</v>
      </c>
      <c r="U2" s="3351" t="s">
        <v>2801</v>
      </c>
      <c r="V2" s="3351" t="s">
        <v>2802</v>
      </c>
      <c r="W2" s="3351" t="s">
        <v>2803</v>
      </c>
      <c r="X2" s="3352"/>
      <c r="Y2" s="3350" t="s">
        <v>2790</v>
      </c>
      <c r="Z2" s="3351" t="s">
        <v>1470</v>
      </c>
      <c r="AA2" s="3351" t="s">
        <v>2809</v>
      </c>
      <c r="AB2" s="3351" t="s">
        <v>1469</v>
      </c>
      <c r="AC2" s="3351" t="s">
        <v>2794</v>
      </c>
      <c r="AD2" s="3351" t="s">
        <v>2452</v>
      </c>
    </row>
    <row r="3" spans="1:30">
      <c r="A3" s="3339" t="s">
        <v>2778</v>
      </c>
      <c r="B3" s="3353"/>
      <c r="C3" s="3354"/>
      <c r="D3" s="3354">
        <f>ROUND(AVERAGEIF(D4:D16,"&lt;&gt;0"),2)</f>
        <v>0.82</v>
      </c>
      <c r="E3" s="3354">
        <f>ROUND(AVERAGEIF(E4:E16,"&lt;&gt;0"),2)</f>
        <v>0.38</v>
      </c>
      <c r="F3" s="3354">
        <f>ROUND(AVERAGEIF(F4:F16,"&lt;&gt;0"),2)</f>
        <v>0.2</v>
      </c>
      <c r="G3" s="3354">
        <f>ROUND(AVERAGEIF(G4:G16,"&lt;&gt;0"),2)</f>
        <v>0.89</v>
      </c>
      <c r="H3" s="3354">
        <f>ROUND(AVERAGEIF(H4:H16,"&lt;&gt;0"),2)</f>
        <v>0.64</v>
      </c>
      <c r="I3" s="3354">
        <f>F3</f>
        <v>0.2</v>
      </c>
      <c r="J3" s="3355"/>
      <c r="K3" s="3356">
        <f>ROUND(AVERAGEIF(K4:K16,"&lt;&gt;0"),4)</f>
        <v>8.2000000000000007E-3</v>
      </c>
      <c r="L3" s="3357">
        <f>ROUND(AVERAGEIF(L4:L16,"&lt;&gt;0"),4)</f>
        <v>3.8E-3</v>
      </c>
      <c r="M3" s="3357">
        <f>ROUND(AVERAGEIF(M4:M16,"&lt;&gt;0"),4)</f>
        <v>2E-3</v>
      </c>
      <c r="N3" s="3357">
        <f>ROUND(AVERAGEIF(N4:N16,"&lt;&gt;0"),4)</f>
        <v>8.8999999999999999E-3</v>
      </c>
      <c r="O3" s="3357">
        <f>ROUND(AVERAGEIF(O4:O16,"&lt;&gt;0"),4)</f>
        <v>6.4000000000000003E-3</v>
      </c>
      <c r="P3" s="3357">
        <f>M3</f>
        <v>2E-3</v>
      </c>
      <c r="Q3" s="3355"/>
      <c r="R3" s="3372">
        <f>ROUND(SUMPRODUCT(PRODUCT(1+K4:K16)),4)</f>
        <v>1.0763</v>
      </c>
      <c r="S3" s="3373">
        <f>ROUND(SUMPRODUCT(PRODUCT(1+L4:L16)),4)</f>
        <v>1.0343</v>
      </c>
      <c r="T3" s="3373">
        <f>ROUND(SUMPRODUCT(PRODUCT(1+M4:M16)),4)</f>
        <v>1.0177</v>
      </c>
      <c r="U3" s="3373">
        <f>ROUND(SUMPRODUCT(PRODUCT(1+N4:N16)),4)</f>
        <v>1.0833999999999999</v>
      </c>
      <c r="V3" s="3373">
        <f>ROUND(SUMPRODUCT(PRODUCT(1+O4:O16)),4)</f>
        <v>1.0592999999999999</v>
      </c>
      <c r="W3" s="3372">
        <f>T3</f>
        <v>1.0177</v>
      </c>
      <c r="X3" s="3355"/>
      <c r="Y3" s="3380">
        <f>ROUND(AVERAGEIF(Y5:Y16,"&lt;&gt;0"),4)</f>
        <v>8.6E-3</v>
      </c>
      <c r="Z3" s="3381">
        <f>ROUND(AVERAGEIF(Z5:Z16,"&lt;&gt;0"),4)</f>
        <v>3.5999999999999999E-3</v>
      </c>
      <c r="AA3" s="3382">
        <f>ROUND(AVERAGEIF(AA5:AA16,"&lt;&gt;0"),4)</f>
        <v>1E-3</v>
      </c>
      <c r="AB3" s="3380">
        <f>ROUND(AVERAGEIF(AB5:AB16,"&lt;&gt;0"),4)</f>
        <v>9.4000000000000004E-3</v>
      </c>
      <c r="AC3" s="3383">
        <f>ROUND(AVERAGEIF(AC5:AC16,"&lt;&gt;0"),4)</f>
        <v>6.1999999999999998E-3</v>
      </c>
      <c r="AD3" s="3380">
        <f>AA3</f>
        <v>1E-3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3249</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1.0659000000000001</v>
      </c>
      <c r="S5" s="3378">
        <f>ROUND(IF(项目基本情况!$B$8="出让",SUMPRODUCT(PRODUCT(1+L5:$L$16)),SUMPRODUCT(PRODUCT(1+L5:$L$15))),4)</f>
        <v>1.0326</v>
      </c>
      <c r="T5" s="3378">
        <f>ROUND(IF(项目基本情况!$B$8="出让",SUMPRODUCT(PRODUCT(1+M5:$M$16)),SUMPRODUCT(PRODUCT(1+M5:$M$15))),4)</f>
        <v>1.0203</v>
      </c>
      <c r="U5" s="3378">
        <f>ROUND(IF(项目基本情况!$B$8="出让",SUMPRODUCT(PRODUCT(1+N5:$N$16)),SUMPRODUCT(PRODUCT(1+N5:$N$15))),4)</f>
        <v>1.0714999999999999</v>
      </c>
      <c r="V5" s="3378">
        <f>ROUND(IF(项目基本情况!$B$8="出让",SUMPRODUCT(PRODUCT(1+O5:$O$16)),SUMPRODUCT(PRODUCT(1+O5:$O$15))),4)</f>
        <v>1.0555000000000001</v>
      </c>
      <c r="W5" s="3378">
        <f>T5</f>
        <v>1.0203</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3250</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1.0659000000000001</v>
      </c>
      <c r="S6" s="3378">
        <f>ROUND(IF(项目基本情况!$B$8="出让",SUMPRODUCT(PRODUCT(1+L6:$L$16)),SUMPRODUCT(PRODUCT(1+L6:$L$15))),4)</f>
        <v>1.0326</v>
      </c>
      <c r="T6" s="3378">
        <f>ROUND(IF(项目基本情况!$B$8="出让",SUMPRODUCT(PRODUCT(1+M6:$M$16)),SUMPRODUCT(PRODUCT(1+M6:$M$15))),4)</f>
        <v>1.0203</v>
      </c>
      <c r="U6" s="3378">
        <f>ROUND(IF(项目基本情况!$B$8="出让",SUMPRODUCT(PRODUCT(1+N6:$N$16)),SUMPRODUCT(PRODUCT(1+N6:$N$15))),4)</f>
        <v>1.0714999999999999</v>
      </c>
      <c r="V6" s="3378">
        <f>ROUND(IF(项目基本情况!$B$8="出让",SUMPRODUCT(PRODUCT(1+O6:$O$16)),SUMPRODUCT(PRODUCT(1+O6:$O$15))),4)</f>
        <v>1.0555000000000001</v>
      </c>
      <c r="W6" s="3378">
        <f t="shared" ref="W6:W8" si="9">T6</f>
        <v>1.0203</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3248</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1.0659000000000001</v>
      </c>
      <c r="S7" s="3378">
        <f>ROUND(IF(项目基本情况!$B$8="出让",SUMPRODUCT(PRODUCT(1+L7:$L$16)),SUMPRODUCT(PRODUCT(1+L7:$L$15))),4)</f>
        <v>1.0326</v>
      </c>
      <c r="T7" s="3378">
        <f>ROUND(IF(项目基本情况!$B$8="出让",SUMPRODUCT(PRODUCT(1+M7:$M$16)),SUMPRODUCT(PRODUCT(1+M7:$M$15))),4)</f>
        <v>1.0203</v>
      </c>
      <c r="U7" s="3378">
        <f>ROUND(IF(项目基本情况!$B$8="出让",SUMPRODUCT(PRODUCT(1+N7:$N$16)),SUMPRODUCT(PRODUCT(1+N7:$N$15))),4)</f>
        <v>1.0714999999999999</v>
      </c>
      <c r="V7" s="3378">
        <f>ROUND(IF(项目基本情况!$B$8="出让",SUMPRODUCT(PRODUCT(1+O7:$O$16)),SUMPRODUCT(PRODUCT(1+O7:$O$15))),4)</f>
        <v>1.0555000000000001</v>
      </c>
      <c r="W7" s="3378">
        <f t="shared" si="9"/>
        <v>1.0203</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2" t="s">
        <v>3253</v>
      </c>
      <c r="B8" s="3403">
        <v>2023</v>
      </c>
      <c r="C8" s="3404">
        <v>1</v>
      </c>
      <c r="D8" s="3404">
        <v>0.89</v>
      </c>
      <c r="E8" s="3404">
        <v>0.74</v>
      </c>
      <c r="F8" s="3404">
        <v>0.56999999999999995</v>
      </c>
      <c r="G8" s="3404">
        <v>0.92</v>
      </c>
      <c r="H8" s="3405">
        <v>0.5</v>
      </c>
      <c r="I8" s="3406">
        <f t="shared" si="0"/>
        <v>0.56999999999999995</v>
      </c>
      <c r="J8" s="3365"/>
      <c r="K8" s="3366">
        <f t="shared" si="3"/>
        <v>8.8999999999999999E-3</v>
      </c>
      <c r="L8" s="3367">
        <f t="shared" si="4"/>
        <v>7.4000000000000003E-3</v>
      </c>
      <c r="M8" s="3367">
        <f t="shared" si="5"/>
        <v>5.6999999999999993E-3</v>
      </c>
      <c r="N8" s="3367">
        <f t="shared" si="6"/>
        <v>9.1999999999999998E-3</v>
      </c>
      <c r="O8" s="3367">
        <f t="shared" si="7"/>
        <v>5.0000000000000001E-3</v>
      </c>
      <c r="P8" s="3367">
        <f t="shared" si="8"/>
        <v>5.6999999999999993E-3</v>
      </c>
      <c r="Q8" s="3365"/>
      <c r="R8" s="3365">
        <f>ROUND(IF(项目基本情况!$B$8="出让",SUMPRODUCT(PRODUCT(1+K8:$K$16)),SUMPRODUCT(PRODUCT(1+K8:$K$15))),4)</f>
        <v>1.0659000000000001</v>
      </c>
      <c r="S8" s="3365">
        <f>ROUND(IF(项目基本情况!$B$8="出让",SUMPRODUCT(PRODUCT(1+L8:$L$16)),SUMPRODUCT(PRODUCT(1+L8:$L$15))),4)</f>
        <v>1.0326</v>
      </c>
      <c r="T8" s="3365">
        <f>ROUND(IF(项目基本情况!$B$8="出让",SUMPRODUCT(PRODUCT(1+M8:$M$16)),SUMPRODUCT(PRODUCT(1+M8:$M$15))),4)</f>
        <v>1.0203</v>
      </c>
      <c r="U8" s="3365">
        <f>ROUND(IF(项目基本情况!$B$8="出让",SUMPRODUCT(PRODUCT(1+N8:$N$16)),SUMPRODUCT(PRODUCT(1+N8:$N$15))),4)</f>
        <v>1.0714999999999999</v>
      </c>
      <c r="V8" s="3365">
        <f>ROUND(IF(项目基本情况!$B$8="出让",SUMPRODUCT(PRODUCT(1+O8:$O$16)),SUMPRODUCT(PRODUCT(1+O8:$O$15))),4)</f>
        <v>1.0555000000000001</v>
      </c>
      <c r="W8" s="3365">
        <f t="shared" si="9"/>
        <v>1.0203</v>
      </c>
      <c r="X8" s="3365"/>
      <c r="Y8" s="3367">
        <f t="shared" ref="Y8:AC8" si="13">IF(D8=0,0,ROUND(AVERAGE(D8:D19)/100,4))</f>
        <v>8.2000000000000007E-3</v>
      </c>
      <c r="Z8" s="3367">
        <f t="shared" si="13"/>
        <v>3.8E-3</v>
      </c>
      <c r="AA8" s="3367">
        <f t="shared" si="13"/>
        <v>2E-3</v>
      </c>
      <c r="AB8" s="3367">
        <f t="shared" si="13"/>
        <v>8.8999999999999999E-3</v>
      </c>
      <c r="AC8" s="3367">
        <f t="shared" si="13"/>
        <v>6.4000000000000003E-3</v>
      </c>
      <c r="AD8" s="3367">
        <f t="shared" si="11"/>
        <v>2E-3</v>
      </c>
    </row>
    <row r="9" spans="1:30">
      <c r="A9" s="3341" t="s">
        <v>3254</v>
      </c>
      <c r="B9" s="3400">
        <v>2022</v>
      </c>
      <c r="C9" s="3401">
        <v>4</v>
      </c>
      <c r="D9" s="3401">
        <v>0.62</v>
      </c>
      <c r="E9" s="3401">
        <v>0.2</v>
      </c>
      <c r="F9" s="3401">
        <v>0.11</v>
      </c>
      <c r="G9" s="3401">
        <v>0.69</v>
      </c>
      <c r="H9" s="3407">
        <v>0.53</v>
      </c>
      <c r="I9" s="3402">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78">
        <f>ROUND(IF(项目基本情况!B8="出让",SUMPRODUCT(PRODUCT(1+K9:K16)),SUMPRODUCT(PRODUCT(1+K9:K15))),4)</f>
        <v>1.0565</v>
      </c>
      <c r="S9" s="3378">
        <f>ROUND(IF(项目基本情况!B8="出让",SUMPRODUCT(PRODUCT(1+L9:L16)),SUMPRODUCT(PRODUCT(1+L9:L15))),4)</f>
        <v>1.0250999999999999</v>
      </c>
      <c r="T9" s="3378">
        <f>ROUND(IF(项目基本情况!B8="出让",SUMPRODUCT(PRODUCT(1+M9:M16)),SUMPRODUCT(PRODUCT(1+M9:M15))),4)</f>
        <v>1.0145</v>
      </c>
      <c r="U9" s="3378">
        <f>ROUND(IF(项目基本情况!B8="出让",SUMPRODUCT(PRODUCT(1+N9:N16)),SUMPRODUCT(PRODUCT(1+N9:N15))),4)</f>
        <v>1.0618000000000001</v>
      </c>
      <c r="V9" s="3378">
        <f>ROUND(IF(项目基本情况!B8="出让",SUMPRODUCT(PRODUCT(1+O9:O16)),SUMPRODUCT(PRODUCT(1+O9:O15))),4)</f>
        <v>1.0502</v>
      </c>
      <c r="W9" s="3378">
        <f t="shared" ref="W9:W16" si="15">T9</f>
        <v>1.0145</v>
      </c>
      <c r="X9" s="3362"/>
      <c r="Y9" s="3387">
        <f>IF(D9=0,0,ROUND(AVERAGE(D9:D17)/100,4))</f>
        <v>8.0999999999999996E-3</v>
      </c>
      <c r="Z9" s="3387">
        <f>IF(E9=0,0,ROUND(AVERAGE(E9:E16)/100,4))</f>
        <v>3.3E-3</v>
      </c>
      <c r="AA9" s="3387">
        <f>IF(F9=0,0,ROUND(AVERAGE(F9:F16)/100,4))</f>
        <v>1.5E-3</v>
      </c>
      <c r="AB9" s="3387">
        <f>IF(G9=0,0,ROUND(AVERAGE(G9:G16)/100,4))</f>
        <v>8.8999999999999999E-3</v>
      </c>
      <c r="AC9" s="3387">
        <f>IF(H9=0,0,ROUND(AVERAGE(H9:H16)/100,4))</f>
        <v>6.6E-3</v>
      </c>
      <c r="AD9" s="3387">
        <f t="shared" si="2"/>
        <v>1.5E-3</v>
      </c>
    </row>
    <row r="10" spans="1:30">
      <c r="A10" s="3341" t="s">
        <v>3245</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3246</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2779</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2780</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2781</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2782</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2783</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3251</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2795</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2796</v>
      </c>
      <c r="C21" s="3346"/>
      <c r="D21" s="3346"/>
      <c r="E21" s="3346"/>
      <c r="F21" s="3346"/>
      <c r="G21" s="3346"/>
      <c r="H21" s="3346"/>
      <c r="I21" s="3346"/>
      <c r="J21" s="3347"/>
      <c r="K21" s="3346" t="s">
        <v>2788</v>
      </c>
      <c r="L21" s="3346"/>
      <c r="M21" s="3346"/>
      <c r="N21" s="3346"/>
      <c r="O21" s="3346"/>
      <c r="P21" s="3346"/>
      <c r="Q21" s="3347"/>
      <c r="R21" s="3953" t="s">
        <v>2804</v>
      </c>
      <c r="S21" s="3954"/>
      <c r="T21" s="3954"/>
      <c r="U21" s="3954"/>
      <c r="V21" s="3954"/>
      <c r="W21" s="3954"/>
      <c r="X21" s="3347"/>
      <c r="Y21" s="3953" t="s">
        <v>1923</v>
      </c>
      <c r="Z21" s="3954"/>
      <c r="AA21" s="3954"/>
      <c r="AB21" s="3954"/>
      <c r="AC21" s="3954"/>
      <c r="AD21" s="3954"/>
    </row>
    <row r="22" spans="1:30" ht="14.25" thickBot="1">
      <c r="A22" s="3338"/>
      <c r="B22" s="3348"/>
      <c r="C22" s="3349"/>
      <c r="D22" s="3350" t="s">
        <v>2790</v>
      </c>
      <c r="E22" s="3351" t="s">
        <v>2791</v>
      </c>
      <c r="F22" s="3351" t="s">
        <v>2792</v>
      </c>
      <c r="G22" s="3351" t="s">
        <v>1469</v>
      </c>
      <c r="H22" s="3351"/>
      <c r="I22" s="3351" t="s">
        <v>2735</v>
      </c>
      <c r="J22" s="3352"/>
      <c r="K22" s="3350" t="s">
        <v>2790</v>
      </c>
      <c r="L22" s="3351" t="s">
        <v>2791</v>
      </c>
      <c r="M22" s="3351" t="s">
        <v>2792</v>
      </c>
      <c r="N22" s="3351" t="s">
        <v>2793</v>
      </c>
      <c r="O22" s="3351"/>
      <c r="P22" s="3351" t="s">
        <v>2735</v>
      </c>
      <c r="Q22" s="3352"/>
      <c r="R22" s="3350" t="s">
        <v>2805</v>
      </c>
      <c r="S22" s="3351" t="s">
        <v>2806</v>
      </c>
      <c r="T22" s="3351" t="s">
        <v>2792</v>
      </c>
      <c r="U22" s="3351" t="s">
        <v>1469</v>
      </c>
      <c r="V22" s="3351"/>
      <c r="W22" s="3351" t="s">
        <v>2807</v>
      </c>
      <c r="X22" s="3352"/>
      <c r="Y22" s="3350" t="s">
        <v>2789</v>
      </c>
      <c r="Z22" s="3351" t="s">
        <v>2791</v>
      </c>
      <c r="AA22" s="3351" t="s">
        <v>2792</v>
      </c>
      <c r="AB22" s="3351" t="s">
        <v>1469</v>
      </c>
      <c r="AC22" s="3351"/>
      <c r="AD22" s="3351" t="s">
        <v>2810</v>
      </c>
    </row>
    <row r="23" spans="1:30">
      <c r="A23" s="3339" t="s">
        <v>2784</v>
      </c>
      <c r="B23" s="3353"/>
      <c r="C23" s="3354"/>
      <c r="D23" s="3354"/>
      <c r="E23" s="3354">
        <f>ROUND(AVERAGEIF(E24:E36,"&lt;&gt;0"),2)</f>
        <v>0.42</v>
      </c>
      <c r="F23" s="3354">
        <f>ROUND(AVERAGEIF(F24:F36,"&lt;&gt;0"),2)</f>
        <v>0.3</v>
      </c>
      <c r="G23" s="3354">
        <f>ROUND(AVERAGEIF(G24:G36,"&lt;&gt;0"),2)</f>
        <v>0.73</v>
      </c>
      <c r="H23" s="3354"/>
      <c r="I23" s="3354">
        <f>F23</f>
        <v>0.3</v>
      </c>
      <c r="J23" s="3355"/>
      <c r="K23" s="3356"/>
      <c r="L23" s="3357">
        <f>ROUND(AVERAGEIF(L24:L36,"&lt;&gt;0"),4)</f>
        <v>4.1999999999999997E-3</v>
      </c>
      <c r="M23" s="3357">
        <f>ROUND(AVERAGEIF(M24:M36,"&lt;&gt;0"),4)</f>
        <v>3.0000000000000001E-3</v>
      </c>
      <c r="N23" s="3357">
        <f>ROUND(AVERAGEIF(N24:N36,"&lt;&gt;0"),4)</f>
        <v>7.3000000000000001E-3</v>
      </c>
      <c r="O23" s="3357"/>
      <c r="P23" s="3357">
        <f>M23</f>
        <v>3.0000000000000001E-3</v>
      </c>
      <c r="Q23" s="3355"/>
      <c r="R23" s="3372"/>
      <c r="S23" s="3373">
        <f>ROUND(SUMPRODUCT(PRODUCT(1+L24:L36)),4)</f>
        <v>1.038</v>
      </c>
      <c r="T23" s="3373">
        <f>ROUND(SUMPRODUCT(PRODUCT(1+M24:M36)),4)</f>
        <v>1.0273000000000001</v>
      </c>
      <c r="U23" s="3373">
        <f>ROUND(SUMPRODUCT(PRODUCT(1+N24:N36)),4)</f>
        <v>1.0677000000000001</v>
      </c>
      <c r="V23" s="3373"/>
      <c r="W23" s="3372">
        <f>T23</f>
        <v>1.0273000000000001</v>
      </c>
      <c r="X23" s="3355"/>
      <c r="Y23" s="3380"/>
      <c r="Z23" s="3381">
        <f>ROUND(AVERAGEIF(Z24:Z36,"&lt;&gt;0"),4)</f>
        <v>4.3E-3</v>
      </c>
      <c r="AA23" s="3382">
        <f>ROUND(AVERAGEIF(AA24:AA36,"&lt;&gt;0"),4)</f>
        <v>3.5000000000000001E-3</v>
      </c>
      <c r="AB23" s="3380">
        <f>ROUND(AVERAGEIF(AB24:AB36,"&lt;&gt;0"),4)</f>
        <v>8.6999999999999994E-3</v>
      </c>
      <c r="AC23" s="3383"/>
      <c r="AD23" s="3380">
        <f>AA23</f>
        <v>3.5000000000000001E-3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3249</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1.0344</v>
      </c>
      <c r="T25" s="3378">
        <f>ROUND(IF(项目基本情况!$B$8="出让",SUMPRODUCT(PRODUCT(1+M25:M$36)),SUMPRODUCT(PRODUCT(1+M25:M$35))),4)</f>
        <v>1.0224</v>
      </c>
      <c r="U25" s="3378">
        <f>ROUND(IF(项目基本情况!$B$8="出让",SUMPRODUCT(PRODUCT(1+N25:N$36)),SUMPRODUCT(PRODUCT(1+N25:N$35))),4)</f>
        <v>1.0573999999999999</v>
      </c>
      <c r="V25" s="3378"/>
      <c r="W25" s="3378">
        <f>T25</f>
        <v>1.0224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3250</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1.0344</v>
      </c>
      <c r="T26" s="3378">
        <f>ROUND(IF(项目基本情况!$B$8="出让",SUMPRODUCT(PRODUCT(1+M26:M$36)),SUMPRODUCT(PRODUCT(1+M26:M$35))),4)</f>
        <v>1.0224</v>
      </c>
      <c r="U26" s="3378">
        <f>ROUND(IF(项目基本情况!$B$8="出让",SUMPRODUCT(PRODUCT(1+N26:N$36)),SUMPRODUCT(PRODUCT(1+N26:N$35))),4)</f>
        <v>1.0573999999999999</v>
      </c>
      <c r="V26" s="3378"/>
      <c r="W26" s="3378">
        <f t="shared" ref="W26:W28" si="22">T26</f>
        <v>1.0224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3248</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1.0344</v>
      </c>
      <c r="T27" s="3378">
        <f>ROUND(IF(项目基本情况!$B$8="出让",SUMPRODUCT(PRODUCT(1+M27:M$36)),SUMPRODUCT(PRODUCT(1+M27:M$35))),4)</f>
        <v>1.0224</v>
      </c>
      <c r="U27" s="3378">
        <f>ROUND(IF(项目基本情况!$B$8="出让",SUMPRODUCT(PRODUCT(1+N27:N$36)),SUMPRODUCT(PRODUCT(1+N27:N$35))),4)</f>
        <v>1.0573999999999999</v>
      </c>
      <c r="V27" s="3378"/>
      <c r="W27" s="3378">
        <f t="shared" si="22"/>
        <v>1.0224</v>
      </c>
      <c r="X27" s="3362"/>
      <c r="Y27" s="3387"/>
      <c r="Z27" s="3388">
        <f t="shared" ref="Z27:AB27" si="25">IF(E27=0,0,ROUND(AVERAGE(E27:E38)/100,4))</f>
        <v>0</v>
      </c>
      <c r="AA27" s="3388">
        <f t="shared" si="25"/>
        <v>0</v>
      </c>
      <c r="AB27" s="3388">
        <f t="shared" si="25"/>
        <v>0</v>
      </c>
      <c r="AC27" s="3389"/>
      <c r="AD27" s="3387">
        <f t="shared" si="24"/>
        <v>0</v>
      </c>
    </row>
    <row r="28" spans="1:30">
      <c r="A28" s="3342" t="s">
        <v>3255</v>
      </c>
      <c r="B28" s="3403">
        <v>2023</v>
      </c>
      <c r="C28" s="3404">
        <v>1</v>
      </c>
      <c r="D28" s="3404"/>
      <c r="E28" s="3404">
        <v>0.55000000000000004</v>
      </c>
      <c r="F28" s="3404">
        <v>0.59</v>
      </c>
      <c r="G28" s="3404">
        <v>0.64</v>
      </c>
      <c r="H28" s="3405"/>
      <c r="I28" s="3406">
        <f t="shared" si="16"/>
        <v>0.59</v>
      </c>
      <c r="J28" s="3365"/>
      <c r="K28" s="3366"/>
      <c r="L28" s="3367">
        <f t="shared" si="18"/>
        <v>5.5000000000000005E-3</v>
      </c>
      <c r="M28" s="3367">
        <f t="shared" si="19"/>
        <v>5.8999999999999999E-3</v>
      </c>
      <c r="N28" s="3367">
        <f t="shared" si="20"/>
        <v>6.4000000000000003E-3</v>
      </c>
      <c r="O28" s="3367"/>
      <c r="P28" s="3367">
        <f t="shared" si="21"/>
        <v>5.8999999999999999E-3</v>
      </c>
      <c r="Q28" s="3365"/>
      <c r="R28" s="3365"/>
      <c r="S28" s="3365">
        <f>ROUND(IF(项目基本情况!$B$8="出让",SUMPRODUCT(PRODUCT(1+L28:L$36)),SUMPRODUCT(PRODUCT(1+L28:L$35))),4)</f>
        <v>1.0344</v>
      </c>
      <c r="T28" s="3365">
        <f>ROUND(IF(项目基本情况!$B$8="出让",SUMPRODUCT(PRODUCT(1+M28:M$36)),SUMPRODUCT(PRODUCT(1+M28:M$35))),4)</f>
        <v>1.0224</v>
      </c>
      <c r="U28" s="3365">
        <f>ROUND(IF(项目基本情况!$B$8="出让",SUMPRODUCT(PRODUCT(1+N28:N$36)),SUMPRODUCT(PRODUCT(1+N28:N$35))),4)</f>
        <v>1.0573999999999999</v>
      </c>
      <c r="V28" s="3365"/>
      <c r="W28" s="3365">
        <f t="shared" si="22"/>
        <v>1.0224</v>
      </c>
      <c r="X28" s="3365"/>
      <c r="Y28" s="3367"/>
      <c r="Z28" s="3391">
        <f t="shared" ref="Z28:AB28" si="26">IF(E28=0,0,ROUND(AVERAGE(E28:E39)/100,4))</f>
        <v>4.1999999999999997E-3</v>
      </c>
      <c r="AA28" s="3392">
        <f t="shared" si="26"/>
        <v>3.0000000000000001E-3</v>
      </c>
      <c r="AB28" s="3367">
        <f t="shared" si="26"/>
        <v>7.3000000000000001E-3</v>
      </c>
      <c r="AC28" s="3393"/>
      <c r="AD28" s="3367">
        <f t="shared" si="24"/>
        <v>3.0000000000000001E-3</v>
      </c>
    </row>
    <row r="29" spans="1:30">
      <c r="A29" s="3341" t="s">
        <v>3256</v>
      </c>
      <c r="B29" s="3400">
        <v>2022</v>
      </c>
      <c r="C29" s="3401">
        <v>4</v>
      </c>
      <c r="D29" s="3401"/>
      <c r="E29" s="3401">
        <v>0.45</v>
      </c>
      <c r="F29" s="3401">
        <v>0.2</v>
      </c>
      <c r="G29" s="3401">
        <v>0.38</v>
      </c>
      <c r="H29" s="3407"/>
      <c r="I29" s="3402">
        <f t="shared" si="16"/>
        <v>0.2</v>
      </c>
      <c r="J29" s="3362"/>
      <c r="K29" s="3363"/>
      <c r="L29" s="3364">
        <f t="shared" si="17"/>
        <v>4.5000000000000005E-3</v>
      </c>
      <c r="M29" s="3364">
        <f t="shared" si="17"/>
        <v>2E-3</v>
      </c>
      <c r="N29" s="3364">
        <f t="shared" si="17"/>
        <v>3.8E-3</v>
      </c>
      <c r="O29" s="3364"/>
      <c r="P29" s="3364">
        <f t="shared" ref="P29:P36" si="27">M29</f>
        <v>2E-3</v>
      </c>
      <c r="Q29" s="3362"/>
      <c r="R29" s="3378"/>
      <c r="S29" s="3378">
        <f>ROUND(IF(项目基本情况!$B$8="出让",SUMPRODUCT(PRODUCT(1+L29:L$36)),SUMPRODUCT(PRODUCT(1+L29:L$35))),4)</f>
        <v>1.0286999999999999</v>
      </c>
      <c r="T29" s="3378">
        <f>ROUND(IF(项目基本情况!$B$8="出让",SUMPRODUCT(PRODUCT(1+M29:M$36)),SUMPRODUCT(PRODUCT(1+M29:M$35))),4)</f>
        <v>1.0164</v>
      </c>
      <c r="U29" s="3378">
        <f>ROUND(IF(项目基本情况!$B$8="出让",SUMPRODUCT(PRODUCT(1+N29:N$36)),SUMPRODUCT(PRODUCT(1+N29:N$35))),4)</f>
        <v>1.0506</v>
      </c>
      <c r="V29" s="3378"/>
      <c r="W29" s="3378">
        <f t="shared" ref="W29:W36" si="28">T29</f>
        <v>1.0164</v>
      </c>
      <c r="X29" s="3362"/>
      <c r="Y29" s="3387"/>
      <c r="Z29" s="3388">
        <f t="shared" ref="Z29:AD36" si="29">IF(E29=0,0,ROUND(AVERAGE(E29:E37)/100,4))</f>
        <v>4.0000000000000001E-3</v>
      </c>
      <c r="AA29" s="3390">
        <f t="shared" si="29"/>
        <v>2.5999999999999999E-3</v>
      </c>
      <c r="AB29" s="3387">
        <f t="shared" si="29"/>
        <v>7.4000000000000003E-3</v>
      </c>
      <c r="AC29" s="3389"/>
      <c r="AD29" s="3387">
        <f t="shared" si="29"/>
        <v>2.5999999999999999E-3</v>
      </c>
    </row>
    <row r="30" spans="1:30">
      <c r="A30" s="3341" t="s">
        <v>3247</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3246</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2779</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2780</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2781</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2785</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2786</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2206</v>
      </c>
      <c r="B1" s="2985"/>
      <c r="C1" s="2985"/>
      <c r="D1" s="2985"/>
      <c r="E1" s="2985"/>
      <c r="F1" s="2985"/>
      <c r="G1" s="2986"/>
      <c r="H1" s="2986"/>
      <c r="I1" s="2986"/>
      <c r="J1" s="2986"/>
      <c r="K1" s="2986"/>
      <c r="L1" s="2986"/>
      <c r="M1" s="2986"/>
      <c r="N1" s="2986"/>
    </row>
    <row r="2" spans="1:14" ht="14.25">
      <c r="A2" s="2991" t="s">
        <v>2201</v>
      </c>
      <c r="B2" s="2996">
        <f ca="1">SUMIF(B7:B14,"&lt;&gt;#ref!",B7:B14)</f>
        <v>0</v>
      </c>
      <c r="C2" s="2991" t="s">
        <v>2202</v>
      </c>
      <c r="D2" s="2988"/>
      <c r="E2" s="2988"/>
      <c r="F2" s="2988"/>
      <c r="G2" s="2986"/>
      <c r="H2" s="2986"/>
      <c r="I2" s="2986"/>
      <c r="J2" s="2986"/>
      <c r="K2" s="2986"/>
      <c r="L2" s="2986"/>
      <c r="M2" s="2986"/>
      <c r="N2" s="2986"/>
    </row>
    <row r="3" spans="1:14" ht="14.25">
      <c r="A3" s="2991" t="s">
        <v>2230</v>
      </c>
      <c r="B3" s="2996" t="e">
        <f ca="1">ROUND(B2*10000/E3,0)</f>
        <v>#DIV/0!</v>
      </c>
      <c r="C3" s="2991" t="s">
        <v>1594</v>
      </c>
      <c r="D3" s="2991" t="s">
        <v>2203</v>
      </c>
      <c r="E3" s="2989">
        <f ca="1">SUMIF(E7:E14,"&lt;&gt;#ref!",E7:E14)</f>
        <v>0</v>
      </c>
      <c r="F3" s="2988"/>
      <c r="G3" s="2986"/>
      <c r="H3" s="2986"/>
      <c r="I3" s="2986"/>
      <c r="J3" s="2986"/>
      <c r="K3" s="2986"/>
      <c r="L3" s="2986"/>
      <c r="M3" s="2986"/>
      <c r="N3" s="2986"/>
    </row>
    <row r="4" spans="1:14" ht="14.25">
      <c r="A4" s="2991" t="s">
        <v>2209</v>
      </c>
      <c r="B4" s="2996" t="e">
        <f ca="1">ROUND(B2*10000/E4,0)</f>
        <v>#DIV/0!</v>
      </c>
      <c r="C4" s="2991" t="s">
        <v>1594</v>
      </c>
      <c r="D4" s="2991" t="s">
        <v>2210</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2207</v>
      </c>
      <c r="B6" s="2991" t="s">
        <v>2204</v>
      </c>
      <c r="C6" s="2544"/>
      <c r="D6" s="2988"/>
      <c r="E6" s="2991" t="s">
        <v>2205</v>
      </c>
      <c r="F6" s="2991" t="s">
        <v>2208</v>
      </c>
      <c r="G6" s="2986"/>
      <c r="H6" s="2986"/>
      <c r="I6" s="2986"/>
      <c r="J6" s="2986"/>
      <c r="K6" s="2986"/>
      <c r="L6" s="2986"/>
      <c r="M6" s="2986"/>
      <c r="N6" s="2986"/>
    </row>
    <row r="7" spans="1:14" ht="14.25">
      <c r="A7" s="2994"/>
      <c r="B7" s="2996" t="e">
        <f ca="1">SUMIF(INDIRECT("'"&amp;A7&amp;"'"&amp;"!A:A"),"总价",INDIRECT("'"&amp;A7&amp;"'"&amp;"!B:B"))</f>
        <v>#REF!</v>
      </c>
      <c r="C7" s="2991" t="s">
        <v>2202</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2202</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2202</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2202</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2202</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2202</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2202</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2202</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受贵公司委托，我公司对北京市国家网络安全产业园区（通州）东部出让国有建设用地使用权抵押价格进行了预评估。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国家网络安全产业园区（通州）东部出让国有建设用地使用权。根据《国有土地使用证》[]，估价对象（分摊）出让国有建设用地使用权面积为17315.58平方米。根据《建设工程规划许可证》[]、《出让合同》[]，估价对象规划建筑面积为27041.94平方米。</v>
      </c>
    </row>
    <row r="7" spans="1:4" ht="56.25">
      <c r="A7" s="1582" t="s">
        <v>2027</v>
      </c>
    </row>
    <row r="8" spans="1:4" ht="18.75">
      <c r="A8" s="1581" t="s">
        <v>1430</v>
      </c>
    </row>
    <row r="9" spans="1:4" ht="75">
      <c r="A9" s="1583" t="str">
        <f>IF(项目基本情况!B8="抵押",IF(项目基本情况!B5=项目基本情况!B6,定义!C51,定义!B51),定义!D51)</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1542</v>
      </c>
    </row>
    <row r="11" spans="1:4" ht="18.75">
      <c r="A11" s="1567" t="str">
        <f>TEXT(项目基本情况!D3,"yyyy年m月d日;;")&amp;IF(项目基本情况!B3=项目基本情况!D3,"（评估专业人员勘察现场之日）","")</f>
        <v>2023年4月24日（评估专业人员勘察现场之日）</v>
      </c>
    </row>
    <row r="12" spans="1:4" ht="18.75">
      <c r="A12" s="1584" t="s">
        <v>1541</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1588</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1589</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根据《国有土地使用证》[]，估价对象（分摊）出让国有建设用地使用权面积为17315.58平方米。根据《建设工程规划许可证》[]、《出让合同》[]，估价对象规划建筑面积为27041.94平方米。</v>
      </c>
    </row>
    <row r="21" spans="1:1" ht="18.75">
      <c r="A21" s="1578" t="s">
        <v>1590</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本次估价对象为出让国有建设用地使用权，《国有土地使用证》[]证载土地终止日期为工业2041年8月5日。截至估价期日，出让国有建设用地使用权剩余土地使用年限为。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1591</v>
      </c>
    </row>
    <row r="25" spans="1:1" ht="93.75">
      <c r="A25" s="1578" t="str">
        <f>定义!C53</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1543</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1726</v>
      </c>
      <c r="F1" s="2079">
        <f ca="1">J54</f>
        <v>-1.5</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1800</v>
      </c>
      <c r="C7" s="51">
        <f ca="1">C8+C12+C14</f>
        <v>0</v>
      </c>
      <c r="D7" s="2142" t="s">
        <v>1803</v>
      </c>
      <c r="E7" s="2136"/>
      <c r="F7" s="2137"/>
      <c r="G7" s="1405"/>
      <c r="H7" s="747">
        <v>1</v>
      </c>
      <c r="I7" s="748" t="s">
        <v>1800</v>
      </c>
      <c r="J7" s="51">
        <f ca="1">J8+J12+J14</f>
        <v>0</v>
      </c>
      <c r="K7" s="2142" t="s">
        <v>1803</v>
      </c>
      <c r="L7" s="2136"/>
      <c r="M7" s="2137"/>
    </row>
    <row r="8" spans="1:25" ht="18" customHeight="1">
      <c r="A8" s="1616" t="s">
        <v>1353</v>
      </c>
      <c r="B8" s="3956" t="s">
        <v>1805</v>
      </c>
      <c r="C8" s="1611">
        <f ca="1">ROUND(F8*F10*F9*(1-F11)/10000,0)</f>
        <v>0</v>
      </c>
      <c r="D8" s="1608" t="s">
        <v>1815</v>
      </c>
      <c r="E8" s="59" t="s">
        <v>585</v>
      </c>
      <c r="F8" s="751">
        <f ca="1">INDIRECT("'数据-取费表'!u"&amp;$G$1)</f>
        <v>0</v>
      </c>
      <c r="G8" s="1405"/>
      <c r="H8" s="2150" t="s">
        <v>1353</v>
      </c>
      <c r="I8" s="3956" t="s">
        <v>1805</v>
      </c>
      <c r="J8" s="749">
        <f ca="1">ROUND(M8*M10*M9*(1-M11)/10000,0)</f>
        <v>0</v>
      </c>
      <c r="K8" s="332" t="s">
        <v>1815</v>
      </c>
      <c r="L8" s="750" t="s">
        <v>1267</v>
      </c>
      <c r="M8" s="751">
        <f ca="1">INDIRECT("'数据-取费表'!z"&amp;$G$1)</f>
        <v>0</v>
      </c>
    </row>
    <row r="9" spans="1:25" ht="18" customHeight="1">
      <c r="A9" s="2146"/>
      <c r="B9" s="3957"/>
      <c r="C9" s="1612"/>
      <c r="D9" s="1609"/>
      <c r="E9" s="59" t="s">
        <v>586</v>
      </c>
      <c r="F9" s="751">
        <f ca="1">IF(INDIRECT("'数据-取费表'!ah"&amp;$G$1)="",INDIRECT("'数据-取费表'!k"&amp;$G$1),INDIRECT("'数据-取费表'!ah"&amp;$G$1))</f>
        <v>0</v>
      </c>
      <c r="G9" s="1405"/>
      <c r="H9" s="2135"/>
      <c r="I9" s="3957"/>
      <c r="J9" s="754"/>
      <c r="K9" s="755"/>
      <c r="L9" s="750" t="s">
        <v>1268</v>
      </c>
      <c r="M9" s="751">
        <f ca="1">F9</f>
        <v>0</v>
      </c>
    </row>
    <row r="10" spans="1:25" ht="18" customHeight="1">
      <c r="A10" s="2139"/>
      <c r="B10" s="3958"/>
      <c r="C10" s="1612"/>
      <c r="D10" s="1609"/>
      <c r="E10" s="59" t="s">
        <v>587</v>
      </c>
      <c r="F10" s="751">
        <f ca="1">INDIRECT("'数据-取费表'!ai"&amp;$G$1)</f>
        <v>0</v>
      </c>
      <c r="G10" s="1405"/>
      <c r="H10" s="2135"/>
      <c r="I10" s="3958"/>
      <c r="J10" s="754"/>
      <c r="K10" s="755"/>
      <c r="L10" s="750" t="s">
        <v>1269</v>
      </c>
      <c r="M10" s="751">
        <f ca="1">INDIRECT("'数据-取费表'!ai"&amp;$G$1)</f>
        <v>0</v>
      </c>
    </row>
    <row r="11" spans="1:25" ht="18" customHeight="1">
      <c r="A11" s="752"/>
      <c r="B11" s="3959"/>
      <c r="C11" s="1612"/>
      <c r="D11" s="1609"/>
      <c r="E11" s="59" t="s">
        <v>588</v>
      </c>
      <c r="F11" s="760">
        <f ca="1">INDIRECT("'数据-取费表'!w"&amp;$G$1)</f>
        <v>0</v>
      </c>
      <c r="G11" s="1405"/>
      <c r="H11" s="2151"/>
      <c r="I11" s="3958"/>
      <c r="J11" s="754"/>
      <c r="K11" s="755"/>
      <c r="L11" s="761" t="s">
        <v>1270</v>
      </c>
      <c r="M11" s="762">
        <f ca="1">INDIRECT("'数据-取费表'!ab"&amp;$G$1)</f>
        <v>0</v>
      </c>
    </row>
    <row r="12" spans="1:25" ht="18" customHeight="1">
      <c r="A12" s="1616" t="s">
        <v>1354</v>
      </c>
      <c r="B12" s="2140" t="s">
        <v>1801</v>
      </c>
      <c r="C12" s="765">
        <f ca="1">ROUND(IF(F12="押一",C8/12*F13,IF(F12="押二",C8/12*2*F13,IF(F12="押三",C8/12*3*F13,C13*F13))),0)</f>
        <v>0</v>
      </c>
      <c r="D12" s="2147" t="s">
        <v>2227</v>
      </c>
      <c r="E12" s="2144" t="s">
        <v>1806</v>
      </c>
      <c r="F12" s="2228"/>
      <c r="G12" s="1405"/>
      <c r="H12" s="2178" t="s">
        <v>1354</v>
      </c>
      <c r="I12" s="2183" t="s">
        <v>1801</v>
      </c>
      <c r="J12" s="749">
        <f ca="1">ROUND(IF(M12="押一",J8/12*M13,IF(M12="押二",J8/12*2*M13,IF(M12="押三",J8/12*3*M13,J13*M13))),0)</f>
        <v>0</v>
      </c>
      <c r="K12" s="2147" t="s">
        <v>2227</v>
      </c>
      <c r="L12" s="2144" t="s">
        <v>1806</v>
      </c>
      <c r="M12" s="2228"/>
    </row>
    <row r="13" spans="1:25" ht="18" customHeight="1">
      <c r="A13" s="756"/>
      <c r="B13" s="2141" t="s">
        <v>1854</v>
      </c>
      <c r="C13" s="2145"/>
      <c r="D13" s="755"/>
      <c r="E13" s="2144" t="s">
        <v>1799</v>
      </c>
      <c r="F13" s="762">
        <f ca="1">'数据-取费表'!B39</f>
        <v>1.4999999999999999E-2</v>
      </c>
      <c r="G13" s="1405"/>
      <c r="H13" s="2179"/>
      <c r="I13" s="2141" t="s">
        <v>1854</v>
      </c>
      <c r="J13" s="2145"/>
      <c r="K13" s="2180"/>
      <c r="L13" s="2144" t="s">
        <v>1799</v>
      </c>
      <c r="M13" s="2138">
        <f ca="1">'数据-取费表'!B39</f>
        <v>1.4999999999999999E-2</v>
      </c>
    </row>
    <row r="14" spans="1:25" ht="18" customHeight="1" thickBot="1">
      <c r="A14" s="2154" t="s">
        <v>1809</v>
      </c>
      <c r="B14" s="2155" t="s">
        <v>1802</v>
      </c>
      <c r="C14" s="2156"/>
      <c r="D14" s="2157"/>
      <c r="E14" s="2158"/>
      <c r="F14" s="2159"/>
      <c r="G14" s="1405"/>
      <c r="H14" s="2168" t="s">
        <v>1809</v>
      </c>
      <c r="I14" s="2181" t="s">
        <v>1802</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1585</v>
      </c>
      <c r="I16" s="1949" t="s">
        <v>2100</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6"/>
      <c r="H17" s="769" t="s">
        <v>1586</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150</v>
      </c>
      <c r="G19" s="1406"/>
      <c r="H19" s="769" t="s">
        <v>1585</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1.4999999999999999E-2</v>
      </c>
      <c r="G22" s="1406"/>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0.01</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1586</v>
      </c>
      <c r="I24" s="750" t="s">
        <v>623</v>
      </c>
      <c r="J24" s="51">
        <f ca="1">ROUND(J16*M24,0)</f>
        <v>0</v>
      </c>
      <c r="K24" s="1731" t="s">
        <v>624</v>
      </c>
      <c r="L24" s="750" t="s">
        <v>597</v>
      </c>
      <c r="M24" s="782">
        <f ca="1">INDIRECT("'数据-取费表'!Ak"&amp;$G$1)</f>
        <v>0</v>
      </c>
    </row>
    <row r="25" spans="1:25" s="1787" customFormat="1" ht="18" customHeight="1">
      <c r="A25" s="769" t="s">
        <v>1400</v>
      </c>
      <c r="B25" s="750" t="s">
        <v>1782</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1.5</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2.9999999999999997E-4</v>
      </c>
      <c r="D26" s="2186"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2097</v>
      </c>
      <c r="J27" s="765">
        <f ca="1">J7-J18</f>
        <v>0</v>
      </c>
      <c r="K27" s="1733" t="s">
        <v>647</v>
      </c>
      <c r="L27" s="1735"/>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2098</v>
      </c>
      <c r="C31" s="2161">
        <f ca="1">ROUND((C21+C22+C25+C28)/(1-F23-C26-C29-C30),0)</f>
        <v>0</v>
      </c>
      <c r="D31" s="2162"/>
      <c r="E31" s="2163"/>
      <c r="F31" s="2164"/>
      <c r="G31" s="1406"/>
      <c r="H31" s="788" t="s">
        <v>1397</v>
      </c>
      <c r="I31" s="2485" t="s">
        <v>2099</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7" t="s">
        <v>2278</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55"/>
      <c r="J36" s="1802"/>
      <c r="K36" s="1803"/>
      <c r="L36" s="1802"/>
      <c r="M36" s="1802"/>
    </row>
    <row r="37" spans="1:18" ht="18" customHeight="1">
      <c r="A37" s="780"/>
      <c r="B37" s="759"/>
      <c r="C37" s="67"/>
      <c r="D37" s="781"/>
      <c r="E37" s="750" t="s">
        <v>621</v>
      </c>
      <c r="F37" s="751">
        <f ca="1">INDIRECT("'数据-取费表'!r"&amp;$G$1)</f>
        <v>0</v>
      </c>
      <c r="G37" s="1785"/>
      <c r="H37" s="1788"/>
      <c r="I37" s="3955"/>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2217</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1695</v>
      </c>
      <c r="J47" s="2070"/>
      <c r="K47" s="2071"/>
      <c r="L47" s="2565" t="e">
        <f ca="1">IF(M48="住宅",0,IF(L49&gt;J52,L61,J61))</f>
        <v>#DIV/0!</v>
      </c>
      <c r="O47" s="2085" t="s">
        <v>1762</v>
      </c>
      <c r="P47" s="1405"/>
      <c r="Q47" s="1413"/>
      <c r="R47" s="1405"/>
    </row>
    <row r="48" spans="1:18" s="1782" customFormat="1" ht="18" customHeight="1" thickBot="1">
      <c r="A48" s="1806"/>
      <c r="C48" s="1809"/>
      <c r="D48" s="1810"/>
      <c r="E48" s="1810"/>
      <c r="F48" s="1811"/>
      <c r="G48" s="1812"/>
      <c r="I48" s="2556" t="s">
        <v>1696</v>
      </c>
      <c r="J48" s="2072"/>
      <c r="K48" s="2562" t="s">
        <v>1701</v>
      </c>
      <c r="L48" s="2566">
        <f ca="1">INDIRECT("'数据-取费表'!d"&amp;$G$1)</f>
        <v>0</v>
      </c>
      <c r="M48" s="2548" t="str">
        <f>IF(ISNUMBER(FIND("住宅",C1)),"住宅","非住宅")</f>
        <v>非住宅</v>
      </c>
      <c r="O48" s="2086" t="s">
        <v>1727</v>
      </c>
      <c r="P48" s="2087" t="s">
        <v>1728</v>
      </c>
      <c r="Q48" s="2088" t="s">
        <v>1729</v>
      </c>
      <c r="R48" s="2087" t="s">
        <v>1730</v>
      </c>
    </row>
    <row r="49" spans="1:18" s="1782" customFormat="1" ht="18" customHeight="1" thickBot="1">
      <c r="A49" s="1806"/>
      <c r="D49" s="1813"/>
      <c r="E49" s="1814"/>
      <c r="F49" s="1811"/>
      <c r="G49" s="1812"/>
      <c r="H49" s="1815"/>
      <c r="I49" s="2553" t="s">
        <v>1697</v>
      </c>
      <c r="J49" s="2073"/>
      <c r="K49" s="2563" t="s">
        <v>1703</v>
      </c>
      <c r="L49" s="1663">
        <f ca="1">INDIRECT("'数据-取费表'!f"&amp;$G$1)</f>
        <v>0</v>
      </c>
      <c r="O49" s="2089" t="s">
        <v>1731</v>
      </c>
      <c r="P49" s="2090" t="s">
        <v>1757</v>
      </c>
      <c r="Q49" s="2091">
        <f ca="1">C41+J31</f>
        <v>0</v>
      </c>
      <c r="R49" s="2090" t="s">
        <v>1732</v>
      </c>
    </row>
    <row r="50" spans="1:18" s="1782" customFormat="1" ht="18" customHeight="1" thickBot="1">
      <c r="A50" s="1806"/>
      <c r="D50" s="1816"/>
      <c r="E50" s="1816"/>
      <c r="F50" s="1810"/>
      <c r="G50" s="1817"/>
      <c r="H50" s="1815"/>
      <c r="I50" s="2553" t="s">
        <v>1698</v>
      </c>
      <c r="J50" s="2074"/>
      <c r="K50" s="2564" t="s">
        <v>1704</v>
      </c>
      <c r="L50" s="2075"/>
      <c r="O50" s="2089" t="s">
        <v>1733</v>
      </c>
      <c r="P50" s="2090" t="s">
        <v>1758</v>
      </c>
      <c r="Q50" s="2091" t="e">
        <f ca="1">J61</f>
        <v>#DIV/0!</v>
      </c>
      <c r="R50" s="2090" t="s">
        <v>1734</v>
      </c>
    </row>
    <row r="51" spans="1:18" s="1782" customFormat="1" ht="18" customHeight="1" thickBot="1">
      <c r="A51" s="1818"/>
      <c r="D51" s="1816"/>
      <c r="E51" s="1816"/>
      <c r="F51" s="1807"/>
      <c r="H51" s="1815"/>
      <c r="I51" s="2553" t="s">
        <v>1699</v>
      </c>
      <c r="J51" s="2560">
        <f>SUMPRODUCT((I64:I66=J48)*(J63:L63=J49)*(J64:L66))</f>
        <v>0</v>
      </c>
      <c r="K51" s="2564" t="s">
        <v>1705</v>
      </c>
      <c r="L51" s="2075"/>
      <c r="O51" s="2092" t="s">
        <v>1735</v>
      </c>
      <c r="P51" s="2090" t="s">
        <v>1759</v>
      </c>
      <c r="Q51" s="2091">
        <f ca="1">C31</f>
        <v>0</v>
      </c>
      <c r="R51" s="2090" t="s">
        <v>1732</v>
      </c>
    </row>
    <row r="52" spans="1:18" s="1782" customFormat="1" ht="18" customHeight="1" thickBot="1">
      <c r="A52" s="1818"/>
      <c r="F52" s="1807"/>
      <c r="I52" s="2557" t="s">
        <v>1700</v>
      </c>
      <c r="J52" s="2561">
        <f>IF(J50="",J51,J50+J51-YEAR('数据-取费表'!B3))</f>
        <v>0</v>
      </c>
      <c r="K52" s="2553" t="s">
        <v>1706</v>
      </c>
      <c r="L52" s="2567">
        <f ca="1">C45</f>
        <v>0</v>
      </c>
      <c r="O52" s="2092" t="s">
        <v>1736</v>
      </c>
      <c r="P52" s="2090" t="s">
        <v>1737</v>
      </c>
      <c r="Q52" s="2093" t="e">
        <f ca="1">J59</f>
        <v>#DIV/0!</v>
      </c>
      <c r="R52" s="2094"/>
    </row>
    <row r="53" spans="1:18" s="1782" customFormat="1" ht="18" customHeight="1" thickBot="1">
      <c r="A53" s="1818"/>
      <c r="F53" s="1807"/>
      <c r="I53" s="2558" t="s">
        <v>1773</v>
      </c>
      <c r="J53" s="2076"/>
      <c r="K53" s="2558" t="s">
        <v>1772</v>
      </c>
      <c r="L53" s="2076"/>
      <c r="O53" s="2092" t="s">
        <v>1738</v>
      </c>
      <c r="P53" s="2090" t="s">
        <v>1739</v>
      </c>
      <c r="Q53" s="2093">
        <f>J53</f>
        <v>0</v>
      </c>
      <c r="R53" s="2094"/>
    </row>
    <row r="54" spans="1:18" s="1782" customFormat="1" ht="29.25" thickBot="1">
      <c r="A54" s="1818"/>
      <c r="I54" s="2559" t="s">
        <v>2231</v>
      </c>
      <c r="J54" s="2610">
        <f ca="1">IF(M48="住宅",MAX(J52,L49-'数据-取费表'!B20),MIN(J52,L49-'数据-取费表'!B20))</f>
        <v>-1.5</v>
      </c>
      <c r="K54" s="3960"/>
      <c r="L54" s="3961"/>
      <c r="O54" s="2092" t="s">
        <v>1740</v>
      </c>
      <c r="P54" s="2090" t="s">
        <v>1741</v>
      </c>
      <c r="Q54" s="2091">
        <f ca="1">J54</f>
        <v>-1.5</v>
      </c>
      <c r="R54" s="2090" t="s">
        <v>1742</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1743</v>
      </c>
      <c r="P55" s="2090" t="s">
        <v>1760</v>
      </c>
      <c r="Q55" s="2091" t="e">
        <f ca="1">Q49+Q50</f>
        <v>#DIV/0!</v>
      </c>
      <c r="R55" s="2094" t="s">
        <v>1744</v>
      </c>
    </row>
    <row r="56" spans="1:18" s="1782" customFormat="1" ht="16.5" thickBot="1">
      <c r="A56" s="1818"/>
      <c r="B56" s="1819"/>
      <c r="C56" s="1819"/>
      <c r="I56" s="2570" t="s">
        <v>1707</v>
      </c>
      <c r="J56" s="2542" t="e">
        <f ca="1">ROUND(IF(J48="钢混",J58/J51,1-(1-2%)*(J51-J58)/J51),3)</f>
        <v>#DIV/0!</v>
      </c>
      <c r="K56" s="2571" t="s">
        <v>1708</v>
      </c>
      <c r="L56" s="2077"/>
      <c r="O56" s="2095" t="s">
        <v>1763</v>
      </c>
      <c r="P56" s="1405"/>
      <c r="Q56" s="1413"/>
      <c r="R56" s="1405"/>
    </row>
    <row r="57" spans="1:18" s="1782" customFormat="1" ht="43.5" thickBot="1">
      <c r="A57" s="1818"/>
      <c r="B57" s="1819"/>
      <c r="C57" s="1819"/>
      <c r="I57" s="2572" t="s">
        <v>1709</v>
      </c>
      <c r="J57" s="2582"/>
      <c r="K57" s="2553" t="s">
        <v>1714</v>
      </c>
      <c r="L57" s="1663">
        <f ca="1">IF(L49&lt;J52,"——",L49-J52)</f>
        <v>0</v>
      </c>
      <c r="O57" s="2086" t="s">
        <v>1727</v>
      </c>
      <c r="P57" s="2087" t="s">
        <v>1728</v>
      </c>
      <c r="Q57" s="2088" t="s">
        <v>1729</v>
      </c>
      <c r="R57" s="2087" t="s">
        <v>1730</v>
      </c>
    </row>
    <row r="58" spans="1:18" s="1782" customFormat="1" ht="29.25" thickBot="1">
      <c r="A58" s="1818"/>
      <c r="B58" s="1819"/>
      <c r="C58" s="1819"/>
      <c r="I58" s="2573" t="s">
        <v>1710</v>
      </c>
      <c r="J58" s="2574">
        <f ca="1">IF(OR(M48="住宅",J52&lt;L49,J57="是"),"——",J52-L49)</f>
        <v>0</v>
      </c>
      <c r="K58" s="2553" t="s">
        <v>1715</v>
      </c>
      <c r="L58" s="1663">
        <f ca="1">IF(L49&lt;J52,"——",IF(L56="比较法",L50,IF(L56="基准地价",L51,L52)))</f>
        <v>0</v>
      </c>
      <c r="O58" s="2089" t="s">
        <v>1731</v>
      </c>
      <c r="P58" s="2090" t="s">
        <v>1757</v>
      </c>
      <c r="Q58" s="2091">
        <f ca="1">C41+J31</f>
        <v>0</v>
      </c>
      <c r="R58" s="2090" t="s">
        <v>1732</v>
      </c>
    </row>
    <row r="59" spans="1:18" s="1782" customFormat="1" ht="29.25" thickBot="1">
      <c r="A59" s="1818"/>
      <c r="B59" s="1819"/>
      <c r="C59" s="1819"/>
      <c r="I59" s="2573" t="s">
        <v>1711</v>
      </c>
      <c r="J59" s="2543" t="e">
        <f ca="1">IF(J56&lt;0.4,0.4,J56)</f>
        <v>#DIV/0!</v>
      </c>
      <c r="K59" s="2553" t="s">
        <v>1716</v>
      </c>
      <c r="L59" s="1663">
        <f ca="1">IF(ISERROR(POWER(1+L53,L48-L49)*(POWER(1+L53,L49)-1)/(POWER(1+L53,L48)-1)),0,POWER(1+L53,L48-L49)*(POWER(1+L53,L49)-1)/(POWER(1+L53,L48)-1))</f>
        <v>0</v>
      </c>
      <c r="O59" s="2089" t="s">
        <v>1733</v>
      </c>
      <c r="P59" s="2090" t="s">
        <v>1764</v>
      </c>
      <c r="Q59" s="2091" t="e">
        <f ca="1">L61</f>
        <v>#DIV/0!</v>
      </c>
      <c r="R59" s="2094" t="s">
        <v>1766</v>
      </c>
    </row>
    <row r="60" spans="1:18" s="1782" customFormat="1" ht="29.25" thickBot="1">
      <c r="A60" s="1818"/>
      <c r="B60" s="1819"/>
      <c r="C60" s="1819"/>
      <c r="I60" s="2573" t="s">
        <v>1712</v>
      </c>
      <c r="J60" s="2574" t="e">
        <f ca="1">IF(OR(M48="住宅",J52&lt;L49,J57="是"),"——",ROUND(C30*J59,0))</f>
        <v>#DIV/0!</v>
      </c>
      <c r="K60" s="2553" t="s">
        <v>1717</v>
      </c>
      <c r="L60" s="1663">
        <f ca="1">IF(ISERROR(POWER(1+L53,L48-J52)*(POWER(1+L53,J52)-1)/(POWER(1+L53,L48)-1)),0,POWER(1+L53,L48-J52)*(POWER(1+L53,J52)-1)/(POWER(1+L53,L48)-1))</f>
        <v>0</v>
      </c>
      <c r="O60" s="2092" t="s">
        <v>1735</v>
      </c>
      <c r="P60" s="2090" t="s">
        <v>1765</v>
      </c>
      <c r="Q60" s="2091">
        <f>IF(L56="比较法",L50,IF(L56="基准地价",L51,0))</f>
        <v>0</v>
      </c>
      <c r="R60" s="2090" t="s">
        <v>1732</v>
      </c>
    </row>
    <row r="61" spans="1:18" s="1782" customFormat="1" ht="15.75" thickBot="1">
      <c r="A61" s="1818"/>
      <c r="B61" s="1819"/>
      <c r="C61" s="1819"/>
      <c r="I61" s="2575" t="s">
        <v>1713</v>
      </c>
      <c r="J61" s="2576" t="e">
        <f ca="1">IF(OR(M48="住宅",J52&lt;L49,J57="是"),"0",ROUND(J60/(1+J53)^J54,0))</f>
        <v>#DIV/0!</v>
      </c>
      <c r="K61" s="2577" t="s">
        <v>1718</v>
      </c>
      <c r="L61" s="2576" t="e">
        <f ca="1">IF(OR(M48="住宅",L49&lt;J52),0,ROUND(L58*(L59/L60-1),0))</f>
        <v>#DIV/0!</v>
      </c>
      <c r="O61" s="2092" t="s">
        <v>1736</v>
      </c>
      <c r="P61" s="2090" t="s">
        <v>1745</v>
      </c>
      <c r="Q61" s="2093">
        <f>L53</f>
        <v>0</v>
      </c>
      <c r="R61" s="2094"/>
    </row>
    <row r="62" spans="1:18" s="1782" customFormat="1" ht="20.25" thickBot="1">
      <c r="A62" s="1818"/>
      <c r="B62" s="1819"/>
      <c r="C62" s="1819"/>
      <c r="K62" s="1808"/>
      <c r="O62" s="2092" t="s">
        <v>1738</v>
      </c>
      <c r="P62" s="2090" t="s">
        <v>1746</v>
      </c>
      <c r="Q62" s="2091">
        <f ca="1">L59</f>
        <v>0</v>
      </c>
      <c r="R62" s="2094" t="s">
        <v>1747</v>
      </c>
    </row>
    <row r="63" spans="1:18" s="1782" customFormat="1" ht="20.25" thickBot="1">
      <c r="A63" s="1818"/>
      <c r="B63" s="1819"/>
      <c r="C63" s="1819"/>
      <c r="I63" s="2578" t="s">
        <v>1719</v>
      </c>
      <c r="J63" s="2579" t="s">
        <v>1720</v>
      </c>
      <c r="K63" s="2579" t="s">
        <v>1721</v>
      </c>
      <c r="L63" s="2579" t="s">
        <v>1702</v>
      </c>
      <c r="M63" s="2580" t="s">
        <v>2200</v>
      </c>
      <c r="O63" s="2092" t="s">
        <v>1740</v>
      </c>
      <c r="P63" s="2090" t="s">
        <v>1748</v>
      </c>
      <c r="Q63" s="2091">
        <f ca="1">L60</f>
        <v>0</v>
      </c>
      <c r="R63" s="2094" t="s">
        <v>1749</v>
      </c>
    </row>
    <row r="64" spans="1:18" s="1782" customFormat="1" ht="15.75" thickBot="1">
      <c r="A64" s="1818"/>
      <c r="B64" s="1819"/>
      <c r="C64" s="1819"/>
      <c r="I64" s="2578" t="s">
        <v>1722</v>
      </c>
      <c r="J64" s="2579">
        <v>70</v>
      </c>
      <c r="K64" s="2579">
        <v>50</v>
      </c>
      <c r="L64" s="2579">
        <v>80</v>
      </c>
      <c r="M64" s="2581">
        <v>0.02</v>
      </c>
      <c r="O64" s="2089" t="s">
        <v>1743</v>
      </c>
      <c r="P64" s="2090" t="s">
        <v>1760</v>
      </c>
      <c r="Q64" s="2091" t="e">
        <f ca="1">Q58+Q59</f>
        <v>#DIV/0!</v>
      </c>
      <c r="R64" s="2094" t="s">
        <v>1744</v>
      </c>
    </row>
    <row r="65" spans="1:18" s="1782" customFormat="1" ht="16.5" thickBot="1">
      <c r="A65" s="1818"/>
      <c r="B65" s="1819"/>
      <c r="C65" s="1819"/>
      <c r="I65" s="2578" t="s">
        <v>1723</v>
      </c>
      <c r="J65" s="2579">
        <v>50</v>
      </c>
      <c r="K65" s="2579">
        <v>35</v>
      </c>
      <c r="L65" s="2579">
        <v>60</v>
      </c>
      <c r="M65" s="811">
        <v>0</v>
      </c>
      <c r="O65" s="2095" t="s">
        <v>1767</v>
      </c>
      <c r="P65" s="1405"/>
      <c r="Q65" s="1413"/>
      <c r="R65" s="1405"/>
    </row>
    <row r="66" spans="1:18" s="1782" customFormat="1" ht="15.75" thickBot="1">
      <c r="A66" s="1818"/>
      <c r="B66" s="1819"/>
      <c r="C66" s="1819"/>
      <c r="I66" s="2578" t="s">
        <v>1724</v>
      </c>
      <c r="J66" s="2579">
        <v>40</v>
      </c>
      <c r="K66" s="2579">
        <v>30</v>
      </c>
      <c r="L66" s="2579">
        <v>50</v>
      </c>
      <c r="M66" s="2581">
        <v>0.02</v>
      </c>
      <c r="O66" s="2086" t="s">
        <v>1727</v>
      </c>
      <c r="P66" s="2087" t="s">
        <v>1728</v>
      </c>
      <c r="Q66" s="2088" t="s">
        <v>1729</v>
      </c>
      <c r="R66" s="2087" t="s">
        <v>1730</v>
      </c>
    </row>
    <row r="67" spans="1:18" s="1782" customFormat="1" ht="15.75" thickBot="1">
      <c r="A67" s="1818"/>
      <c r="B67" s="1819"/>
      <c r="C67" s="1819"/>
      <c r="K67" s="1808"/>
      <c r="O67" s="2089" t="s">
        <v>1731</v>
      </c>
      <c r="P67" s="2090" t="s">
        <v>1757</v>
      </c>
      <c r="Q67" s="2091">
        <f ca="1">C41+J31</f>
        <v>0</v>
      </c>
      <c r="R67" s="2090" t="s">
        <v>1732</v>
      </c>
    </row>
    <row r="68" spans="1:18" s="1782" customFormat="1" ht="20.25" thickBot="1">
      <c r="A68" s="1818"/>
      <c r="B68" s="1819"/>
      <c r="C68" s="1819"/>
      <c r="K68" s="1808"/>
      <c r="O68" s="2089" t="s">
        <v>1733</v>
      </c>
      <c r="P68" s="2090" t="s">
        <v>1764</v>
      </c>
      <c r="Q68" s="2091" t="e">
        <f ca="1">L61</f>
        <v>#DIV/0!</v>
      </c>
      <c r="R68" s="2094" t="s">
        <v>1766</v>
      </c>
    </row>
    <row r="69" spans="1:18" s="1782" customFormat="1" ht="21.75" thickBot="1">
      <c r="A69" s="1818"/>
      <c r="B69" s="1819"/>
      <c r="C69" s="1819"/>
      <c r="K69" s="1808"/>
      <c r="O69" s="2092" t="s">
        <v>1735</v>
      </c>
      <c r="P69" s="2090" t="s">
        <v>1765</v>
      </c>
      <c r="Q69" s="2096">
        <f ca="1">L52</f>
        <v>0</v>
      </c>
      <c r="R69" s="2097" t="s">
        <v>1768</v>
      </c>
    </row>
    <row r="70" spans="1:18" s="1782" customFormat="1" ht="20.25" thickBot="1">
      <c r="A70" s="1818"/>
      <c r="B70" s="1819"/>
      <c r="C70" s="1819"/>
      <c r="K70" s="1808"/>
      <c r="O70" s="2092" t="s">
        <v>1736</v>
      </c>
      <c r="P70" s="2098" t="s">
        <v>1750</v>
      </c>
      <c r="Q70" s="2091">
        <f ca="1">ROUND(Q71-Q72*Q73,0)</f>
        <v>0</v>
      </c>
      <c r="R70" s="2094"/>
    </row>
    <row r="71" spans="1:18" s="1782" customFormat="1" ht="15.75" thickBot="1">
      <c r="A71" s="1818"/>
      <c r="B71" s="1819"/>
      <c r="C71" s="1819"/>
      <c r="K71" s="1808"/>
      <c r="O71" s="2092" t="s">
        <v>1751</v>
      </c>
      <c r="P71" s="2098" t="s">
        <v>1752</v>
      </c>
      <c r="Q71" s="2091">
        <f ca="1">C42</f>
        <v>0</v>
      </c>
      <c r="R71" s="2090" t="s">
        <v>1732</v>
      </c>
    </row>
    <row r="72" spans="1:18" s="1782" customFormat="1" ht="15.75" thickBot="1">
      <c r="A72" s="1818"/>
      <c r="B72" s="1819"/>
      <c r="C72" s="1819"/>
      <c r="K72" s="1808"/>
      <c r="O72" s="2092" t="s">
        <v>1753</v>
      </c>
      <c r="P72" s="2098" t="s">
        <v>1754</v>
      </c>
      <c r="Q72" s="2091">
        <f ca="1">C15</f>
        <v>0</v>
      </c>
      <c r="R72" s="2090" t="s">
        <v>1732</v>
      </c>
    </row>
    <row r="73" spans="1:18" s="1782" customFormat="1" ht="15.75" thickBot="1">
      <c r="A73" s="1818"/>
      <c r="B73" s="1819"/>
      <c r="C73" s="1819"/>
      <c r="K73" s="1808"/>
      <c r="O73" s="2092" t="s">
        <v>1755</v>
      </c>
      <c r="P73" s="2098" t="s">
        <v>1756</v>
      </c>
      <c r="Q73" s="2093">
        <f ca="1">F43</f>
        <v>0</v>
      </c>
      <c r="R73" s="2094"/>
    </row>
    <row r="74" spans="1:18" s="1782" customFormat="1" ht="15.75" thickBot="1">
      <c r="A74" s="1818"/>
      <c r="B74" s="1819"/>
      <c r="C74" s="1819"/>
      <c r="K74" s="1808"/>
      <c r="O74" s="2092" t="s">
        <v>1738</v>
      </c>
      <c r="P74" s="2090" t="s">
        <v>1745</v>
      </c>
      <c r="Q74" s="2093">
        <f>L53</f>
        <v>0</v>
      </c>
      <c r="R74" s="2094"/>
    </row>
    <row r="75" spans="1:18" s="1782" customFormat="1" ht="20.25" thickBot="1">
      <c r="A75" s="1818"/>
      <c r="B75" s="1819"/>
      <c r="C75" s="1819"/>
      <c r="K75" s="1808"/>
      <c r="O75" s="2092" t="s">
        <v>1740</v>
      </c>
      <c r="P75" s="2090" t="s">
        <v>1746</v>
      </c>
      <c r="Q75" s="2091">
        <f ca="1">L59</f>
        <v>0</v>
      </c>
      <c r="R75" s="2094" t="s">
        <v>1747</v>
      </c>
    </row>
    <row r="76" spans="1:18" s="1782" customFormat="1" ht="20.25" thickBot="1">
      <c r="A76" s="1818"/>
      <c r="B76" s="1819"/>
      <c r="C76" s="1819"/>
      <c r="K76" s="1808"/>
      <c r="O76" s="2092" t="s">
        <v>1769</v>
      </c>
      <c r="P76" s="2090" t="s">
        <v>1748</v>
      </c>
      <c r="Q76" s="2091">
        <f ca="1">L60</f>
        <v>0</v>
      </c>
      <c r="R76" s="2094" t="s">
        <v>1749</v>
      </c>
    </row>
    <row r="77" spans="1:18" s="1782" customFormat="1" ht="15.75" thickBot="1">
      <c r="A77" s="1818"/>
      <c r="B77" s="1819"/>
      <c r="C77" s="1819"/>
      <c r="K77" s="1808"/>
      <c r="O77" s="2089" t="s">
        <v>1743</v>
      </c>
      <c r="P77" s="2090" t="s">
        <v>1760</v>
      </c>
      <c r="Q77" s="2091" t="e">
        <f ca="1">Q67+Q68</f>
        <v>#DIV/0!</v>
      </c>
      <c r="R77" s="2094" t="s">
        <v>1744</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23" sqref="F2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3310</v>
      </c>
      <c r="D1" s="2552" t="s">
        <v>3357</v>
      </c>
      <c r="E1" s="2078" t="s">
        <v>1726</v>
      </c>
      <c r="F1" s="2079">
        <f ca="1">J53</f>
        <v>16.79</v>
      </c>
      <c r="G1" s="2998">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17907</v>
      </c>
      <c r="C2" s="3003"/>
      <c r="D2" s="3004"/>
      <c r="E2" s="3005"/>
      <c r="F2" s="3005"/>
      <c r="G2" s="2999"/>
      <c r="H2" s="1780"/>
      <c r="I2" s="1780"/>
      <c r="J2" s="1780"/>
      <c r="K2" s="1781"/>
      <c r="L2" s="1780"/>
      <c r="M2" s="1780"/>
    </row>
    <row r="3" spans="1:33" ht="18" customHeight="1" thickBot="1">
      <c r="A3" s="798" t="s">
        <v>1256</v>
      </c>
      <c r="B3" s="799">
        <f ca="1">IF(ISERROR(B2*10000/F43),0,ROUND(B2*10000/F43,0))</f>
        <v>8695</v>
      </c>
      <c r="C3" s="3003"/>
      <c r="D3" s="3004"/>
      <c r="E3" s="3005"/>
      <c r="F3" s="3005"/>
      <c r="G3" s="2999"/>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1800</v>
      </c>
      <c r="C5" s="53">
        <f ca="1">C6+C10+C12</f>
        <v>1787</v>
      </c>
      <c r="D5" s="2142" t="s">
        <v>1803</v>
      </c>
      <c r="E5" s="2136"/>
      <c r="F5" s="2137"/>
      <c r="G5" s="1785"/>
      <c r="H5" s="747">
        <v>1</v>
      </c>
      <c r="I5" s="748" t="s">
        <v>1800</v>
      </c>
      <c r="J5" s="53">
        <f ca="1">J6+J10+J12</f>
        <v>0</v>
      </c>
      <c r="K5" s="2142" t="s">
        <v>1803</v>
      </c>
      <c r="L5" s="2136"/>
      <c r="M5" s="2137"/>
    </row>
    <row r="6" spans="1:33" ht="18" customHeight="1">
      <c r="A6" s="1616" t="s">
        <v>1353</v>
      </c>
      <c r="B6" s="3956" t="s">
        <v>1805</v>
      </c>
      <c r="C6" s="749">
        <f ca="1">ROUND(F6*F8*F7*(1-F9)/10000,0)</f>
        <v>1785</v>
      </c>
      <c r="D6" s="2143" t="s">
        <v>1804</v>
      </c>
      <c r="E6" s="750" t="s">
        <v>1267</v>
      </c>
      <c r="F6" s="751">
        <f ca="1">INDIRECT("'数据-取费表'!u"&amp;$G$1)</f>
        <v>2.5</v>
      </c>
      <c r="G6" s="1785"/>
      <c r="H6" s="2150" t="s">
        <v>1810</v>
      </c>
      <c r="I6" s="3956" t="s">
        <v>1805</v>
      </c>
      <c r="J6" s="749">
        <f ca="1">ROUND(M6*M8*M7*(1-M9)/10000,0)</f>
        <v>0</v>
      </c>
      <c r="K6" s="332" t="s">
        <v>1266</v>
      </c>
      <c r="L6" s="750" t="s">
        <v>1267</v>
      </c>
      <c r="M6" s="751">
        <f ca="1">INDIRECT("'数据-取费表'!z"&amp;$G$1)</f>
        <v>0</v>
      </c>
    </row>
    <row r="7" spans="1:33" ht="18" customHeight="1">
      <c r="A7" s="2146"/>
      <c r="B7" s="3957"/>
      <c r="C7" s="754"/>
      <c r="D7" s="755"/>
      <c r="E7" s="750" t="s">
        <v>1268</v>
      </c>
      <c r="F7" s="751">
        <f ca="1">IF(INDIRECT("'数据-取费表'!ah"&amp;$G$1)="",INDIRECT("'数据-取费表'!k"&amp;$G$1),INDIRECT("'数据-取费表'!ah"&amp;$G$1))</f>
        <v>20593.5</v>
      </c>
      <c r="G7" s="1785"/>
      <c r="H7" s="2135"/>
      <c r="I7" s="3957"/>
      <c r="J7" s="754"/>
      <c r="K7" s="755"/>
      <c r="L7" s="750" t="s">
        <v>1268</v>
      </c>
      <c r="M7" s="751">
        <f ca="1">F7</f>
        <v>20593.5</v>
      </c>
    </row>
    <row r="8" spans="1:33" ht="18" customHeight="1">
      <c r="A8" s="2139"/>
      <c r="B8" s="3958"/>
      <c r="C8" s="754"/>
      <c r="D8" s="755"/>
      <c r="E8" s="750" t="s">
        <v>1269</v>
      </c>
      <c r="F8" s="751">
        <f ca="1">INDIRECT("'数据-取费表'!ai"&amp;$G$1)</f>
        <v>365</v>
      </c>
      <c r="G8" s="1785"/>
      <c r="H8" s="2135"/>
      <c r="I8" s="3958"/>
      <c r="J8" s="754"/>
      <c r="K8" s="755"/>
      <c r="L8" s="750" t="s">
        <v>1269</v>
      </c>
      <c r="M8" s="751">
        <f ca="1">INDIRECT("'数据-取费表'!ai"&amp;$G$1)</f>
        <v>365</v>
      </c>
    </row>
    <row r="9" spans="1:33" ht="18" customHeight="1">
      <c r="A9" s="752"/>
      <c r="B9" s="3959"/>
      <c r="C9" s="754"/>
      <c r="D9" s="755"/>
      <c r="E9" s="750" t="s">
        <v>1270</v>
      </c>
      <c r="F9" s="760">
        <f ca="1">INDIRECT("'数据-取费表'!w"&amp;$G$1)</f>
        <v>0.05</v>
      </c>
      <c r="G9" s="1785"/>
      <c r="H9" s="2151"/>
      <c r="I9" s="3958"/>
      <c r="J9" s="754"/>
      <c r="K9" s="755"/>
      <c r="L9" s="761" t="s">
        <v>1270</v>
      </c>
      <c r="M9" s="762">
        <f ca="1">INDIRECT("'数据-取费表'!ab"&amp;$G$1)</f>
        <v>0</v>
      </c>
    </row>
    <row r="10" spans="1:33" ht="18" customHeight="1">
      <c r="A10" s="1616" t="s">
        <v>1808</v>
      </c>
      <c r="B10" s="2140" t="s">
        <v>1801</v>
      </c>
      <c r="C10" s="765">
        <f ca="1">ROUND(IF(F10="押一",C6/12*F11,IF(F10="押二",C6/12*2*F11,IF(F10="押三",C6/12*3*F11,C11*F11))),0)</f>
        <v>2</v>
      </c>
      <c r="D10" s="2147" t="s">
        <v>2227</v>
      </c>
      <c r="E10" s="2144" t="s">
        <v>1806</v>
      </c>
      <c r="F10" s="2228" t="s">
        <v>3358</v>
      </c>
      <c r="G10" s="1785"/>
      <c r="H10" s="2178" t="s">
        <v>1811</v>
      </c>
      <c r="I10" s="2183" t="s">
        <v>1801</v>
      </c>
      <c r="J10" s="749">
        <f ca="1">ROUND(IF(M10="押一",J6/12*M11,IF(M10="押二",J6/12*2*M11,IF(M10="押三",J6/12*3*M11,J11*M11))),0)</f>
        <v>0</v>
      </c>
      <c r="K10" s="2147" t="s">
        <v>2227</v>
      </c>
      <c r="L10" s="2144" t="s">
        <v>1806</v>
      </c>
      <c r="M10" s="2228"/>
    </row>
    <row r="11" spans="1:33" ht="18" customHeight="1">
      <c r="A11" s="756"/>
      <c r="B11" s="2141" t="s">
        <v>1854</v>
      </c>
      <c r="C11" s="2145"/>
      <c r="D11" s="755"/>
      <c r="E11" s="2144" t="s">
        <v>1807</v>
      </c>
      <c r="F11" s="762">
        <f ca="1">'数据-取费表'!B39</f>
        <v>1.4999999999999999E-2</v>
      </c>
      <c r="G11" s="1785"/>
      <c r="H11" s="2179"/>
      <c r="I11" s="2141" t="s">
        <v>1854</v>
      </c>
      <c r="J11" s="2145"/>
      <c r="K11" s="2180"/>
      <c r="L11" s="2144" t="s">
        <v>1807</v>
      </c>
      <c r="M11" s="2138">
        <f ca="1">'数据-取费表'!B39</f>
        <v>1.4999999999999999E-2</v>
      </c>
    </row>
    <row r="12" spans="1:33" ht="18" customHeight="1" thickBot="1">
      <c r="A12" s="2154" t="s">
        <v>1809</v>
      </c>
      <c r="B12" s="2155" t="s">
        <v>1802</v>
      </c>
      <c r="C12" s="2156"/>
      <c r="D12" s="2157"/>
      <c r="E12" s="2158"/>
      <c r="F12" s="2159"/>
      <c r="G12" s="1785"/>
      <c r="H12" s="2168" t="s">
        <v>1812</v>
      </c>
      <c r="I12" s="2181" t="s">
        <v>1802</v>
      </c>
      <c r="J12" s="2182"/>
      <c r="K12" s="2157"/>
      <c r="L12" s="2158"/>
      <c r="M12" s="2171"/>
    </row>
    <row r="13" spans="1:33" ht="18" customHeight="1" thickTop="1">
      <c r="A13" s="1615">
        <v>2</v>
      </c>
      <c r="B13" s="1613" t="s">
        <v>1271</v>
      </c>
      <c r="C13" s="758">
        <f ca="1">ROUND(C29*F13,0)</f>
        <v>11606</v>
      </c>
      <c r="D13" s="1620" t="s">
        <v>1652</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8742</v>
      </c>
      <c r="D14" s="1733" t="s">
        <v>1274</v>
      </c>
      <c r="E14" s="1734"/>
      <c r="F14" s="771"/>
      <c r="G14" s="1785"/>
      <c r="H14" s="1454" t="s">
        <v>1359</v>
      </c>
      <c r="I14" s="1949" t="s">
        <v>2101</v>
      </c>
      <c r="J14" s="51">
        <f ca="1">C29</f>
        <v>11606</v>
      </c>
      <c r="K14" s="24"/>
      <c r="L14" s="767"/>
      <c r="M14" s="768"/>
    </row>
    <row r="15" spans="1:33" s="1787" customFormat="1" ht="18" customHeight="1" thickBot="1">
      <c r="A15" s="1453" t="s">
        <v>1410</v>
      </c>
      <c r="B15" s="750" t="s">
        <v>595</v>
      </c>
      <c r="C15" s="51">
        <f ca="1">ROUND(C14*F15,0)</f>
        <v>262</v>
      </c>
      <c r="D15" s="772" t="s">
        <v>1275</v>
      </c>
      <c r="E15" s="772" t="s">
        <v>1276</v>
      </c>
      <c r="F15" s="773">
        <f>'数据-取费表'!B33</f>
        <v>0.03</v>
      </c>
      <c r="G15" s="3000"/>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25</v>
      </c>
      <c r="K16" s="1607" t="s">
        <v>1279</v>
      </c>
      <c r="L16" s="2132"/>
      <c r="M16" s="2137"/>
    </row>
    <row r="17" spans="1:33" s="1787" customFormat="1" ht="18" customHeight="1">
      <c r="A17" s="1453" t="s">
        <v>1412</v>
      </c>
      <c r="B17" s="750" t="s">
        <v>601</v>
      </c>
      <c r="C17" s="51">
        <f ca="1">ROUND(F17*(F43+INDIRECT("'数据-取费表'!S"&amp;$G$1))/10000,0)</f>
        <v>331</v>
      </c>
      <c r="D17" s="750" t="s">
        <v>1280</v>
      </c>
      <c r="E17" s="750" t="s">
        <v>1281</v>
      </c>
      <c r="F17" s="54">
        <f>'数据-取费表'!B35</f>
        <v>150</v>
      </c>
      <c r="G17" s="3000"/>
      <c r="H17" s="1454" t="s">
        <v>1359</v>
      </c>
      <c r="I17" s="750" t="s">
        <v>604</v>
      </c>
      <c r="J17" s="2761">
        <f ca="1">ROUND(IF(AND(项目基本情况!B11="自然人",项目基本情况!B10="北京市"),J6*M17/(1+'数据-取费表'!C42),J18+J19+J20),2)</f>
        <v>2.12</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131</v>
      </c>
      <c r="D18" s="750" t="s">
        <v>1275</v>
      </c>
      <c r="E18" s="750" t="s">
        <v>1276</v>
      </c>
      <c r="F18" s="775">
        <f>'数据-取费表'!B36</f>
        <v>1.4999999999999999E-2</v>
      </c>
      <c r="G18" s="3000"/>
      <c r="H18" s="1453"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9466</v>
      </c>
      <c r="D19" s="252" t="s">
        <v>1286</v>
      </c>
      <c r="E19" s="1736"/>
      <c r="F19" s="54"/>
      <c r="G19" s="1785"/>
      <c r="H19" s="1453" t="s">
        <v>1410</v>
      </c>
      <c r="I19" s="750" t="s">
        <v>1287</v>
      </c>
      <c r="J19" s="51">
        <f ca="1">IF(K19="按租金收入计税",ROUND(J6*M19/(1+'数据-取费表'!C42),1),ROUND(C29*F33*0.7,2))</f>
        <v>0</v>
      </c>
      <c r="K19" s="776" t="s">
        <v>3244</v>
      </c>
      <c r="L19" s="750" t="s">
        <v>1276</v>
      </c>
      <c r="M19" s="775">
        <f>IF(K19="按租金收入计税",'数据-取费表'!B51,'数据-取费表'!B50)</f>
        <v>0.12</v>
      </c>
    </row>
    <row r="20" spans="1:33" s="1787" customFormat="1" ht="18" customHeight="1">
      <c r="A20" s="1454" t="s">
        <v>1414</v>
      </c>
      <c r="B20" s="750" t="s">
        <v>613</v>
      </c>
      <c r="C20" s="51">
        <f ca="1">ROUND(C19*F20,0)</f>
        <v>142</v>
      </c>
      <c r="D20" s="777" t="s">
        <v>1288</v>
      </c>
      <c r="E20" s="750" t="s">
        <v>1276</v>
      </c>
      <c r="F20" s="775">
        <f>'数据-取费表'!B37</f>
        <v>1.4999999999999999E-2</v>
      </c>
      <c r="G20" s="3000"/>
      <c r="H20" s="1456" t="s">
        <v>1405</v>
      </c>
      <c r="I20" s="332" t="s">
        <v>1289</v>
      </c>
      <c r="J20" s="52">
        <f ca="1">ROUND(M20*M21/10000,2)</f>
        <v>2.12</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1653</v>
      </c>
      <c r="E21" s="750" t="s">
        <v>1294</v>
      </c>
      <c r="F21" s="775">
        <f>'数据-取费表'!B38</f>
        <v>0.01</v>
      </c>
      <c r="G21" s="3000"/>
      <c r="H21" s="2152"/>
      <c r="I21" s="759"/>
      <c r="J21" s="67"/>
      <c r="K21" s="781"/>
      <c r="L21" s="750" t="s">
        <v>1295</v>
      </c>
      <c r="M21" s="751">
        <f ca="1">INDIRECT("'数据-取费表'!r"&amp;$G$1)</f>
        <v>14110.95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23.21</v>
      </c>
      <c r="K22" s="2130" t="s">
        <v>1298</v>
      </c>
      <c r="L22" s="750" t="s">
        <v>1276</v>
      </c>
      <c r="M22" s="782">
        <f ca="1">INDIRECT("'数据-取费表'!Ak"&amp;$G$1)</f>
        <v>2E-3</v>
      </c>
    </row>
    <row r="23" spans="1:33" s="1787" customFormat="1" ht="18" customHeight="1">
      <c r="A23" s="1453" t="s">
        <v>1360</v>
      </c>
      <c r="B23" s="750" t="s">
        <v>1816</v>
      </c>
      <c r="C23" s="51">
        <f ca="1">ROUND(IF('数据-取费表'!B22&lt;=1,(C19+C20)*F24*F23/2,(C19+C20)*(POWER((1+F24),F23/2)-1)),0)</f>
        <v>298</v>
      </c>
      <c r="D23" s="2186" t="str">
        <f>IF(F23&lt;=1,"(建造成本+管理费用)×利率×(建设周期÷2)","(建造成本+管理费用)×((1+利率)^(建设周期÷2)-1)")</f>
        <v>(建造成本+管理费用)×((1+利率)^(建设周期÷2)-1)</v>
      </c>
      <c r="E23" s="750" t="s">
        <v>1299</v>
      </c>
      <c r="F23" s="608">
        <f>'数据-取费表'!B20</f>
        <v>1.5</v>
      </c>
      <c r="G23" s="3000"/>
      <c r="H23" s="1454" t="s">
        <v>1415</v>
      </c>
      <c r="I23" s="750" t="s">
        <v>626</v>
      </c>
      <c r="J23" s="51">
        <f ca="1">ROUND(J13*M23,2)</f>
        <v>0</v>
      </c>
      <c r="K23" s="213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2.9999999999999997E-4</v>
      </c>
      <c r="D24" s="2186" t="str">
        <f>IF(F23&lt;=1,"销售费用×利率×(建设周期÷2)","销售费用×((1+利率)^(建设周期÷2)-1)")</f>
        <v>销售费用×((1+利率)^(建设周期÷2)-1)</v>
      </c>
      <c r="E24" s="750" t="s">
        <v>1302</v>
      </c>
      <c r="F24" s="784">
        <f ca="1">'数据-取费表'!B40</f>
        <v>4.1499999999999995E-2</v>
      </c>
      <c r="G24" s="3000"/>
      <c r="H24" s="2168" t="s">
        <v>1416</v>
      </c>
      <c r="I24" s="2163" t="s">
        <v>613</v>
      </c>
      <c r="J24" s="2161">
        <f ca="1">ROUND(J5*M24,2)</f>
        <v>0</v>
      </c>
      <c r="K24" s="2162" t="s">
        <v>1303</v>
      </c>
      <c r="L24" s="2163" t="s">
        <v>1276</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2097</v>
      </c>
      <c r="J25" s="758">
        <f ca="1">J5-J16</f>
        <v>-25</v>
      </c>
      <c r="K25" s="2165" t="s">
        <v>1306</v>
      </c>
      <c r="L25" s="2166"/>
      <c r="M25" s="2167"/>
    </row>
    <row r="26" spans="1:33" ht="18" customHeight="1">
      <c r="A26" s="1453" t="s">
        <v>1360</v>
      </c>
      <c r="B26" s="750" t="s">
        <v>1783</v>
      </c>
      <c r="C26" s="51">
        <f ca="1">ROUND((C19+C20)*F26,0)</f>
        <v>961</v>
      </c>
      <c r="D26" s="777" t="s">
        <v>1307</v>
      </c>
      <c r="E26" s="761" t="s">
        <v>1308</v>
      </c>
      <c r="F26" s="760">
        <f ca="1">INDIRECT("'数据-取费表'!q"&amp;$G$1)</f>
        <v>0.1</v>
      </c>
      <c r="G26" s="1785"/>
      <c r="H26" s="2148" t="s">
        <v>1309</v>
      </c>
      <c r="I26" s="1950" t="s">
        <v>2102</v>
      </c>
      <c r="J26" s="749">
        <f ca="1">IF(J5&lt;&gt;0,ROUND(J25*(1-((1+M28)/(1+M26))^M27)/(M26-M28),0),0)</f>
        <v>0</v>
      </c>
      <c r="K26" s="779" t="s">
        <v>1310</v>
      </c>
      <c r="L26" s="750" t="s">
        <v>1771</v>
      </c>
      <c r="M26" s="760">
        <f ca="1">INDIRECT("'数据-取费表'!I"&amp;$G$1)</f>
        <v>0.05</v>
      </c>
    </row>
    <row r="27" spans="1:33" ht="18" customHeight="1">
      <c r="A27" s="1453" t="s">
        <v>1361</v>
      </c>
      <c r="B27" s="750" t="s">
        <v>633</v>
      </c>
      <c r="C27" s="51">
        <f ca="1">ROUND(F21*F26,4)</f>
        <v>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5.2400000000000002E-2</v>
      </c>
      <c r="D28" s="777" t="s">
        <v>1654</v>
      </c>
      <c r="E28" s="750" t="s">
        <v>1314</v>
      </c>
      <c r="F28" s="775">
        <f>'数据-取费表'!B41</f>
        <v>5.5000000000000007E-2</v>
      </c>
      <c r="G28" s="3000"/>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1655</v>
      </c>
      <c r="C29" s="2161">
        <f ca="1">ROUND((C19+C20+C23+C26)/(1-F21-C24-C27-C28),0)</f>
        <v>11606</v>
      </c>
      <c r="D29" s="2162"/>
      <c r="E29" s="2163"/>
      <c r="F29" s="2164"/>
      <c r="G29" s="3000"/>
      <c r="H29" s="788" t="s">
        <v>1316</v>
      </c>
      <c r="I29" s="789" t="s">
        <v>1317</v>
      </c>
      <c r="J29" s="790">
        <f ca="1">ROUND(J26/(1+F40)^F41,0)</f>
        <v>0</v>
      </c>
      <c r="K29" s="791" t="s">
        <v>1318</v>
      </c>
      <c r="L29" s="792"/>
      <c r="M29" s="793">
        <f ca="1">INDIRECT("'数据-取费表'!k"&amp;$G$1)</f>
        <v>20593.5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343</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299.62</v>
      </c>
      <c r="D31" s="1733" t="s">
        <v>1321</v>
      </c>
      <c r="E31" s="1731" t="s">
        <v>1322</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3" t="s">
        <v>1360</v>
      </c>
      <c r="B32" s="750" t="s">
        <v>1323</v>
      </c>
      <c r="C32" s="51">
        <f ca="1">ROUND(C6*F32/(1+'数据-取费表'!C42),2)</f>
        <v>93.5</v>
      </c>
      <c r="D32" s="1731" t="s">
        <v>1324</v>
      </c>
      <c r="E32" s="750" t="s">
        <v>1325</v>
      </c>
      <c r="F32" s="775">
        <f>'数据-取费表'!B41</f>
        <v>5.5000000000000007E-2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204</v>
      </c>
      <c r="D33" s="776" t="s">
        <v>3244</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2.12</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14110.95</v>
      </c>
      <c r="G35" s="1785"/>
      <c r="H35" s="1788"/>
      <c r="I35" s="802" t="s">
        <v>1343</v>
      </c>
      <c r="J35" s="803">
        <f ca="1">ROUND(C13*J36,0)</f>
        <v>928</v>
      </c>
      <c r="K35" s="1801"/>
      <c r="L35" s="1800"/>
      <c r="M35" s="1800"/>
    </row>
    <row r="36" spans="1:18" ht="18" customHeight="1">
      <c r="A36" s="1454" t="s">
        <v>1414</v>
      </c>
      <c r="B36" s="750" t="s">
        <v>1331</v>
      </c>
      <c r="C36" s="51">
        <f ca="1">ROUND(C29*F36,2)</f>
        <v>23.21</v>
      </c>
      <c r="D36" s="1731" t="s">
        <v>1332</v>
      </c>
      <c r="E36" s="750" t="s">
        <v>1325</v>
      </c>
      <c r="F36" s="782">
        <f ca="1">INDIRECT("'数据-取费表'!Ak"&amp;$G$1)</f>
        <v>2E-3</v>
      </c>
      <c r="G36" s="1785"/>
      <c r="H36" s="1800"/>
      <c r="I36" s="804" t="s">
        <v>1344</v>
      </c>
      <c r="J36" s="805">
        <f ca="1">INDIRECT("'数据-取费表'!j"&amp;$G$1)</f>
        <v>0.08</v>
      </c>
      <c r="K36" s="1804"/>
      <c r="L36" s="1800"/>
      <c r="M36" s="1800"/>
    </row>
    <row r="37" spans="1:18" ht="18" customHeight="1">
      <c r="A37" s="1454" t="s">
        <v>1415</v>
      </c>
      <c r="B37" s="750" t="s">
        <v>626</v>
      </c>
      <c r="C37" s="51">
        <f ca="1">ROUND(C13*F37,2)</f>
        <v>11.61</v>
      </c>
      <c r="D37" s="1731" t="s">
        <v>1333</v>
      </c>
      <c r="E37" s="750" t="s">
        <v>1325</v>
      </c>
      <c r="F37" s="783">
        <f ca="1">INDIRECT("'数据-取费表'!Al"&amp;$G$1)</f>
        <v>1E-3</v>
      </c>
      <c r="G37" s="1785"/>
      <c r="H37" s="1800" t="s">
        <v>3423</v>
      </c>
      <c r="I37" s="806" t="s">
        <v>1345</v>
      </c>
      <c r="J37" s="807"/>
      <c r="K37" s="1804"/>
      <c r="L37" s="1800"/>
      <c r="M37" s="1800"/>
    </row>
    <row r="38" spans="1:18" ht="18" customHeight="1" thickBot="1">
      <c r="A38" s="2168" t="s">
        <v>1416</v>
      </c>
      <c r="B38" s="2163" t="s">
        <v>613</v>
      </c>
      <c r="C38" s="2161">
        <f ca="1">ROUND(C5*F38,2)</f>
        <v>8.94</v>
      </c>
      <c r="D38" s="2162" t="s">
        <v>1334</v>
      </c>
      <c r="E38" s="2163" t="s">
        <v>1325</v>
      </c>
      <c r="F38" s="2159">
        <f ca="1">INDIRECT("'数据-取费表'!Am"&amp;$G$1)</f>
        <v>5.0000000000000001E-3</v>
      </c>
      <c r="G38" s="1785"/>
      <c r="H38" s="1800"/>
      <c r="I38" s="808" t="s">
        <v>1346</v>
      </c>
      <c r="J38" s="809"/>
      <c r="K38" s="1805"/>
      <c r="L38" s="1800"/>
      <c r="M38" s="1800"/>
    </row>
    <row r="39" spans="1:18" ht="24.6" customHeight="1" thickTop="1">
      <c r="A39" s="1615" t="s">
        <v>1419</v>
      </c>
      <c r="B39" s="2483" t="s">
        <v>2097</v>
      </c>
      <c r="C39" s="758">
        <f ca="1">C5-C30</f>
        <v>1444</v>
      </c>
      <c r="D39" s="2165" t="s">
        <v>1335</v>
      </c>
      <c r="E39" s="2166"/>
      <c r="F39" s="2167"/>
      <c r="G39" s="1785"/>
      <c r="H39" s="1800"/>
      <c r="I39" s="802" t="s">
        <v>1347</v>
      </c>
      <c r="J39" s="810">
        <f ca="1">ROUND(J35/C39,3)</f>
        <v>0.64300000000000002</v>
      </c>
      <c r="K39" s="1805"/>
      <c r="L39" s="1800"/>
      <c r="M39" s="1800"/>
    </row>
    <row r="40" spans="1:18" ht="18" customHeight="1">
      <c r="A40" s="747" t="s">
        <v>1420</v>
      </c>
      <c r="B40" s="1950" t="s">
        <v>1656</v>
      </c>
      <c r="C40" s="749">
        <f ca="1">ROUND(C39*(1-((1+F42)/(1+F40))^F41)/(F40-F42),0)</f>
        <v>17907</v>
      </c>
      <c r="D40" s="779" t="s">
        <v>1336</v>
      </c>
      <c r="E40" s="750" t="s">
        <v>1771</v>
      </c>
      <c r="F40" s="760">
        <f ca="1">INDIRECT("'数据-取费表'!I"&amp;$G$1)</f>
        <v>0.05</v>
      </c>
      <c r="G40" s="1785"/>
      <c r="H40" s="1785"/>
      <c r="I40" s="802" t="s">
        <v>1348</v>
      </c>
      <c r="J40" s="810">
        <f ca="1">1-J39</f>
        <v>0.35699999999999998</v>
      </c>
      <c r="K40" s="1805"/>
      <c r="L40" s="1785"/>
      <c r="M40" s="1785"/>
    </row>
    <row r="41" spans="1:18" ht="18" customHeight="1">
      <c r="A41" s="752"/>
      <c r="B41" s="753"/>
      <c r="C41" s="754"/>
      <c r="D41" s="786" t="s">
        <v>1337</v>
      </c>
      <c r="E41" s="750" t="s">
        <v>2219</v>
      </c>
      <c r="F41" s="787">
        <f ca="1">IF(INDIRECT("'数据-取费表'!af"&amp;$G$1)=0,INDIRECT("'数据-取费表'!ae"&amp;$G$1),INDIRECT("'数据-取费表'!af"&amp;$G$1))</f>
        <v>16.79</v>
      </c>
      <c r="G41" s="1785"/>
      <c r="H41" s="1740"/>
      <c r="I41" s="808" t="s">
        <v>1349</v>
      </c>
      <c r="J41" s="811"/>
      <c r="K41" s="1804"/>
      <c r="L41" s="1740"/>
      <c r="M41" s="1740"/>
    </row>
    <row r="42" spans="1:18" ht="18" customHeight="1">
      <c r="A42" s="756"/>
      <c r="B42" s="757"/>
      <c r="C42" s="758"/>
      <c r="D42" s="781"/>
      <c r="E42" s="750" t="s">
        <v>1338</v>
      </c>
      <c r="F42" s="760">
        <f ca="1">INDIRECT("'数据-取费表'!v"&amp;$G$1)</f>
        <v>1.4999999999999999E-2</v>
      </c>
      <c r="G42" s="1785"/>
      <c r="H42" s="1740"/>
      <c r="I42" s="812" t="s">
        <v>1350</v>
      </c>
      <c r="J42" s="810">
        <f ca="1">ROUND(C13/C40,3)</f>
        <v>0.64800000000000002</v>
      </c>
      <c r="K42" s="1804"/>
      <c r="L42" s="1740"/>
      <c r="M42" s="1740"/>
    </row>
    <row r="43" spans="1:18" ht="18" customHeight="1" thickBot="1">
      <c r="A43" s="788" t="s">
        <v>1316</v>
      </c>
      <c r="B43" s="789" t="s">
        <v>1339</v>
      </c>
      <c r="C43" s="790">
        <f ca="1">ROUND(C40*10000/F43,0)</f>
        <v>8695</v>
      </c>
      <c r="D43" s="791" t="s">
        <v>1340</v>
      </c>
      <c r="E43" s="792" t="s">
        <v>1341</v>
      </c>
      <c r="F43" s="793">
        <f ca="1">INDIRECT("'数据-取费表'!k"&amp;$G$1)</f>
        <v>20593.5</v>
      </c>
      <c r="G43" s="1785"/>
      <c r="H43" s="1740"/>
      <c r="I43" s="812" t="s">
        <v>1351</v>
      </c>
      <c r="J43" s="813">
        <f ca="1">1-J42</f>
        <v>0.35199999999999998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1650</v>
      </c>
      <c r="B46" s="1807"/>
      <c r="C46" s="2189">
        <f ca="1">C67-C40</f>
        <v>-18321</v>
      </c>
      <c r="D46" s="3001"/>
      <c r="E46" s="3001"/>
      <c r="F46" s="3001"/>
      <c r="I46" s="2069" t="s">
        <v>1695</v>
      </c>
      <c r="J46" s="2070"/>
      <c r="K46" s="2071"/>
      <c r="L46" s="2565">
        <f>IF(OR(M47="住宅",D1="土地（套用方法）"),0,IF(L48&gt;J51,L60,J60))</f>
        <v>0</v>
      </c>
      <c r="M46" s="3002"/>
      <c r="O46" s="2085" t="s">
        <v>1762</v>
      </c>
      <c r="P46" s="1405"/>
      <c r="Q46" s="1413"/>
      <c r="R46" s="1405"/>
    </row>
    <row r="47" spans="1:18" s="1782" customFormat="1" ht="18" customHeight="1" thickBot="1">
      <c r="A47" s="3652">
        <v>1</v>
      </c>
      <c r="B47" s="3653" t="s">
        <v>583</v>
      </c>
      <c r="C47" s="3654">
        <f ca="1">C48+C52+C54</f>
        <v>0</v>
      </c>
      <c r="D47" s="3655"/>
      <c r="E47" s="3655"/>
      <c r="F47" s="3656"/>
      <c r="I47" s="2556" t="s">
        <v>1696</v>
      </c>
      <c r="J47" s="2072" t="s">
        <v>3359</v>
      </c>
      <c r="K47" s="2562" t="s">
        <v>1701</v>
      </c>
      <c r="L47" s="2566">
        <f ca="1">INDIRECT("'数据-取费表'!d"&amp;$G$1)</f>
        <v>20</v>
      </c>
      <c r="M47" s="1413" t="str">
        <f>IF(ISNUMBER(FIND("住宅",C1)),"住宅","非住宅")</f>
        <v>非住宅</v>
      </c>
      <c r="O47" s="2086" t="s">
        <v>1727</v>
      </c>
      <c r="P47" s="2087" t="s">
        <v>1728</v>
      </c>
      <c r="Q47" s="2088" t="s">
        <v>1729</v>
      </c>
      <c r="R47" s="2087" t="s">
        <v>1730</v>
      </c>
    </row>
    <row r="48" spans="1:18" s="1782" customFormat="1" ht="18" customHeight="1" thickBot="1">
      <c r="A48" s="2247" t="s">
        <v>1818</v>
      </c>
      <c r="B48" s="2248" t="s">
        <v>1819</v>
      </c>
      <c r="C48" s="2065">
        <f ca="1">ROUND(F48*F50*F49*(1-F51)/10000,0)</f>
        <v>0</v>
      </c>
      <c r="D48" s="2066" t="s">
        <v>584</v>
      </c>
      <c r="E48" s="2067" t="s">
        <v>1651</v>
      </c>
      <c r="F48" s="2068">
        <f ca="1">M6</f>
        <v>0</v>
      </c>
      <c r="G48" s="1812"/>
      <c r="I48" s="2553" t="s">
        <v>1697</v>
      </c>
      <c r="J48" s="2073" t="s">
        <v>1702</v>
      </c>
      <c r="K48" s="2563" t="s">
        <v>1703</v>
      </c>
      <c r="L48" s="1663">
        <f ca="1">INDIRECT("'数据-取费表'!f"&amp;$G$1)</f>
        <v>18.29</v>
      </c>
      <c r="M48" s="3002"/>
      <c r="O48" s="2089" t="s">
        <v>1731</v>
      </c>
      <c r="P48" s="2090" t="s">
        <v>1757</v>
      </c>
      <c r="Q48" s="2091">
        <f ca="1">C40+J29</f>
        <v>17907</v>
      </c>
      <c r="R48" s="2090" t="s">
        <v>1732</v>
      </c>
    </row>
    <row r="49" spans="1:18" s="1782" customFormat="1" ht="18" customHeight="1" thickBot="1">
      <c r="A49" s="752"/>
      <c r="B49" s="753"/>
      <c r="C49" s="754"/>
      <c r="D49" s="755"/>
      <c r="E49" s="750" t="s">
        <v>1268</v>
      </c>
      <c r="F49" s="751">
        <f ca="1">F7</f>
        <v>20593.5</v>
      </c>
      <c r="G49" s="1812"/>
      <c r="H49" s="1815"/>
      <c r="I49" s="2553" t="s">
        <v>1698</v>
      </c>
      <c r="J49" s="2074"/>
      <c r="K49" s="2564" t="s">
        <v>1704</v>
      </c>
      <c r="L49" s="2075"/>
      <c r="M49" s="3002"/>
      <c r="O49" s="2089" t="s">
        <v>1733</v>
      </c>
      <c r="P49" s="2090" t="s">
        <v>1758</v>
      </c>
      <c r="Q49" s="2091" t="str">
        <f ca="1">J60</f>
        <v>0</v>
      </c>
      <c r="R49" s="2090" t="s">
        <v>1734</v>
      </c>
    </row>
    <row r="50" spans="1:18" s="1782" customFormat="1" ht="18" customHeight="1" thickBot="1">
      <c r="A50" s="752"/>
      <c r="B50" s="753"/>
      <c r="C50" s="754"/>
      <c r="D50" s="755"/>
      <c r="E50" s="750" t="s">
        <v>1269</v>
      </c>
      <c r="F50" s="751">
        <f ca="1">F8</f>
        <v>365</v>
      </c>
      <c r="G50" s="1817"/>
      <c r="H50" s="1815"/>
      <c r="I50" s="2553" t="s">
        <v>1699</v>
      </c>
      <c r="J50" s="2560">
        <f>SUMPRODUCT((I63:I65=J47)*(J62:L62=J48)*(J63:L65))</f>
        <v>60</v>
      </c>
      <c r="K50" s="2564" t="s">
        <v>1705</v>
      </c>
      <c r="L50" s="2075"/>
      <c r="M50" s="3002"/>
      <c r="O50" s="2092" t="s">
        <v>1735</v>
      </c>
      <c r="P50" s="2090" t="s">
        <v>1759</v>
      </c>
      <c r="Q50" s="2091">
        <f ca="1">C29</f>
        <v>11606</v>
      </c>
      <c r="R50" s="2090" t="s">
        <v>1732</v>
      </c>
    </row>
    <row r="51" spans="1:18" s="1782" customFormat="1" ht="18" customHeight="1" thickBot="1">
      <c r="A51" s="752"/>
      <c r="B51" s="753"/>
      <c r="C51" s="754"/>
      <c r="D51" s="755"/>
      <c r="E51" s="750" t="s">
        <v>588</v>
      </c>
      <c r="F51" s="2064"/>
      <c r="H51" s="1815"/>
      <c r="I51" s="2557" t="s">
        <v>1700</v>
      </c>
      <c r="J51" s="2561">
        <f>IF(J49="",J50,J49+J50-YEAR('数据-取费表'!B2))</f>
        <v>60</v>
      </c>
      <c r="K51" s="2553" t="s">
        <v>1706</v>
      </c>
      <c r="L51" s="2567">
        <f ca="1">ROUND(-PV(INDIRECT("'数据-取费表'!h"&amp;$G$1),J51,(C39-C13*J36),0),0)</f>
        <v>10639</v>
      </c>
      <c r="M51" s="3002"/>
      <c r="O51" s="2092" t="s">
        <v>1736</v>
      </c>
      <c r="P51" s="2090" t="s">
        <v>1737</v>
      </c>
      <c r="Q51" s="2093" t="e">
        <f ca="1">J58</f>
        <v>#VALUE!</v>
      </c>
      <c r="R51" s="2094"/>
    </row>
    <row r="52" spans="1:18" s="1782" customFormat="1" ht="18" customHeight="1" thickBot="1">
      <c r="A52" s="747" t="s">
        <v>1817</v>
      </c>
      <c r="B52" s="2140" t="s">
        <v>1801</v>
      </c>
      <c r="C52" s="765">
        <f ca="1">ROUND(IF(F52="押一",C48/12*F11,IF(F52="押二",C48/12*2*F11,IF(F52="押三",C48/12*3*F11,C53*F11))),0)</f>
        <v>0</v>
      </c>
      <c r="D52" s="2147" t="s">
        <v>2228</v>
      </c>
      <c r="E52" s="2144" t="s">
        <v>1806</v>
      </c>
      <c r="F52" s="2228"/>
      <c r="I52" s="2558" t="s">
        <v>1773</v>
      </c>
      <c r="J52" s="2076"/>
      <c r="K52" s="2558" t="s">
        <v>1772</v>
      </c>
      <c r="L52" s="2076"/>
      <c r="M52" s="3002"/>
      <c r="O52" s="2092" t="s">
        <v>1738</v>
      </c>
      <c r="P52" s="2090" t="s">
        <v>1739</v>
      </c>
      <c r="Q52" s="2093">
        <f>J52</f>
        <v>0</v>
      </c>
      <c r="R52" s="2094"/>
    </row>
    <row r="53" spans="1:18" s="1782" customFormat="1" ht="39.75" customHeight="1" thickBot="1">
      <c r="A53" s="752"/>
      <c r="B53" s="2141" t="s">
        <v>1854</v>
      </c>
      <c r="C53" s="2145"/>
      <c r="D53" s="2147"/>
      <c r="E53" s="2144"/>
      <c r="F53" s="766"/>
      <c r="I53" s="2559" t="s">
        <v>2231</v>
      </c>
      <c r="J53" s="2610">
        <f ca="1">IF(M47="住宅",IF(D1="——",MAX(J51,L48),MAX(J51,L48-'数据-取费表'!B20)),IF(D1="——",MIN(J51,L48),MIN(J51,L48-'数据-取费表'!B20)))</f>
        <v>16.79</v>
      </c>
      <c r="K53" s="3962" t="s">
        <v>2221</v>
      </c>
      <c r="L53" s="3963"/>
      <c r="M53" s="3002"/>
      <c r="O53" s="2092" t="s">
        <v>1740</v>
      </c>
      <c r="P53" s="2090" t="s">
        <v>1741</v>
      </c>
      <c r="Q53" s="2091">
        <f ca="1">J53</f>
        <v>16.79</v>
      </c>
      <c r="R53" s="2090" t="s">
        <v>1742</v>
      </c>
    </row>
    <row r="54" spans="1:18" s="1782" customFormat="1" ht="18" customHeight="1" thickBot="1">
      <c r="A54" s="2154" t="s">
        <v>1809</v>
      </c>
      <c r="B54" s="2155" t="s">
        <v>1802</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1743</v>
      </c>
      <c r="P54" s="2090" t="s">
        <v>1760</v>
      </c>
      <c r="Q54" s="2091">
        <f ca="1">Q48+Q49</f>
        <v>17907</v>
      </c>
      <c r="R54" s="2094" t="s">
        <v>1744</v>
      </c>
    </row>
    <row r="55" spans="1:18" s="1782" customFormat="1" ht="18" customHeight="1" thickTop="1" thickBot="1">
      <c r="A55" s="763">
        <v>2</v>
      </c>
      <c r="B55" s="764" t="s">
        <v>592</v>
      </c>
      <c r="C55" s="765">
        <f ca="1">C13</f>
        <v>11606</v>
      </c>
      <c r="D55" s="761"/>
      <c r="E55" s="761"/>
      <c r="F55" s="766"/>
      <c r="I55" s="2570" t="s">
        <v>1707</v>
      </c>
      <c r="J55" s="2542" t="e">
        <f ca="1">ROUND(IF(J47="钢混",J57/J50,1-(1-2%)*(J50-J57)/J50),3)</f>
        <v>#VALUE!</v>
      </c>
      <c r="K55" s="2571" t="s">
        <v>1708</v>
      </c>
      <c r="L55" s="2077"/>
      <c r="M55" s="3002"/>
      <c r="O55" s="2095" t="s">
        <v>1763</v>
      </c>
      <c r="P55" s="1405"/>
      <c r="Q55" s="1413"/>
      <c r="R55" s="1405"/>
    </row>
    <row r="56" spans="1:18" s="1782" customFormat="1" ht="42.75" customHeight="1" thickBot="1">
      <c r="A56" s="1455"/>
      <c r="B56" s="1949" t="s">
        <v>1657</v>
      </c>
      <c r="C56" s="51">
        <f ca="1">C29</f>
        <v>11606</v>
      </c>
      <c r="D56" s="2244"/>
      <c r="E56" s="750"/>
      <c r="F56" s="775"/>
      <c r="I56" s="2572" t="s">
        <v>1709</v>
      </c>
      <c r="J56" s="2582" t="s">
        <v>3337</v>
      </c>
      <c r="K56" s="2553" t="s">
        <v>1714</v>
      </c>
      <c r="L56" s="1663" t="str">
        <f ca="1">IF(L48&lt;J51,"——",L48-J51)</f>
        <v>——</v>
      </c>
      <c r="M56" s="3002"/>
      <c r="O56" s="2086" t="s">
        <v>1727</v>
      </c>
      <c r="P56" s="2087" t="s">
        <v>1728</v>
      </c>
      <c r="Q56" s="2088" t="s">
        <v>1729</v>
      </c>
      <c r="R56" s="2087" t="s">
        <v>1730</v>
      </c>
    </row>
    <row r="57" spans="1:18" s="1782" customFormat="1" ht="28.5" customHeight="1" thickBot="1">
      <c r="A57" s="763" t="s">
        <v>1277</v>
      </c>
      <c r="B57" s="764" t="s">
        <v>599</v>
      </c>
      <c r="C57" s="765">
        <f ca="1">ROUND(C58+C63+C64+C65,0)</f>
        <v>37</v>
      </c>
      <c r="D57" s="24" t="s">
        <v>1279</v>
      </c>
      <c r="E57" s="2245"/>
      <c r="F57" s="54"/>
      <c r="I57" s="2573" t="s">
        <v>1710</v>
      </c>
      <c r="J57" s="2574" t="str">
        <f ca="1">IF(OR(M47="住宅",J51&lt;L48,J56="是"),"——",J51-L48)</f>
        <v>——</v>
      </c>
      <c r="K57" s="2553" t="s">
        <v>1715</v>
      </c>
      <c r="L57" s="1663" t="str">
        <f ca="1">IF(L48&lt;J51,"——",IF(L55="比较法",L49,IF(L55="基准地价",L50,L51)))</f>
        <v>——</v>
      </c>
      <c r="M57" s="3002"/>
      <c r="O57" s="2089" t="s">
        <v>1731</v>
      </c>
      <c r="P57" s="2090" t="s">
        <v>1761</v>
      </c>
      <c r="Q57" s="2091">
        <f ca="1">C40+J29</f>
        <v>17907</v>
      </c>
      <c r="R57" s="2090" t="s">
        <v>1732</v>
      </c>
    </row>
    <row r="58" spans="1:18" s="1782" customFormat="1" ht="28.5" customHeight="1" thickBot="1">
      <c r="A58" s="1454" t="s">
        <v>1353</v>
      </c>
      <c r="B58" s="750" t="s">
        <v>604</v>
      </c>
      <c r="C58" s="2761">
        <f ca="1">ROUND(IF(AND(项目基本情况!B11="自然人",项目基本情况!B10="北京市"),C48*F58/(1+'数据-取费表'!C42),C59+C60+C61),2)</f>
        <v>2.12</v>
      </c>
      <c r="D58" s="2243" t="s">
        <v>605</v>
      </c>
      <c r="E58" s="2244" t="s">
        <v>637</v>
      </c>
      <c r="F58" s="2760" t="str">
        <f>IF(项目基本情况!B11="企业","——",IF('数据-取费表'!B10="住宅",IF(F48*F49*F50/12/(1+'数据-取费表'!F30)&gt;100000,4%,2.5%),IF(F48*F49*F50/12/(1+'数据-取费表'!F30)&gt;100000,12%,7%)))</f>
        <v>——</v>
      </c>
      <c r="I58" s="2573" t="s">
        <v>1711</v>
      </c>
      <c r="J58" s="2543" t="e">
        <f ca="1">IF(J55&lt;0.4,0.4,J55)</f>
        <v>#VALUE!</v>
      </c>
      <c r="K58" s="2553" t="s">
        <v>1716</v>
      </c>
      <c r="L58" s="1663" t="e">
        <f ca="1">ROUND(POWER(1+L52,L47-L48)*(POWER(1+L52,L48)-1)/(POWER(1+L52,L47)-1),4)</f>
        <v>#DIV/0!</v>
      </c>
      <c r="M58" s="3002"/>
      <c r="O58" s="2089" t="s">
        <v>1733</v>
      </c>
      <c r="P58" s="2090" t="s">
        <v>1764</v>
      </c>
      <c r="Q58" s="2091">
        <f ca="1">L60</f>
        <v>0</v>
      </c>
      <c r="R58" s="2094" t="s">
        <v>1766</v>
      </c>
    </row>
    <row r="59" spans="1:18" s="1782" customFormat="1" ht="28.5" customHeight="1" thickBot="1">
      <c r="A59" s="1453" t="s">
        <v>1360</v>
      </c>
      <c r="B59" s="750" t="s">
        <v>608</v>
      </c>
      <c r="C59" s="51">
        <f ca="1">ROUND(C47*F59/1.05,2)</f>
        <v>0</v>
      </c>
      <c r="D59" s="2244" t="s">
        <v>1285</v>
      </c>
      <c r="E59" s="750" t="s">
        <v>1276</v>
      </c>
      <c r="F59" s="775">
        <f t="shared" ref="F59:F65" si="0">F32</f>
        <v>5.5000000000000007E-2</v>
      </c>
      <c r="I59" s="2573" t="s">
        <v>1712</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1735</v>
      </c>
      <c r="P59" s="2090" t="s">
        <v>1765</v>
      </c>
      <c r="Q59" s="2091">
        <f>IF(L55="比较法",L49,IF(L55="基准地价",L50,0))</f>
        <v>0</v>
      </c>
      <c r="R59" s="2090" t="s">
        <v>1732</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1713</v>
      </c>
      <c r="J60" s="2576" t="str">
        <f ca="1">IF(OR(M47="住宅",J51&lt;L48,J56="是"),"0",ROUND(J59/(1+J52)^J53,0))</f>
        <v>0</v>
      </c>
      <c r="K60" s="2577" t="s">
        <v>1718</v>
      </c>
      <c r="L60" s="2576">
        <f ca="1">IF(OR(M47="住宅",L48&lt;J51),0,ROUND(L57*(L58/L59-1),0))</f>
        <v>0</v>
      </c>
      <c r="M60" s="3002"/>
      <c r="O60" s="2092" t="s">
        <v>1736</v>
      </c>
      <c r="P60" s="2090" t="s">
        <v>1745</v>
      </c>
      <c r="Q60" s="2093">
        <f>L52</f>
        <v>0</v>
      </c>
      <c r="R60" s="2094"/>
    </row>
    <row r="61" spans="1:18" s="1782" customFormat="1" ht="18" customHeight="1" thickBot="1">
      <c r="A61" s="1456" t="s">
        <v>1362</v>
      </c>
      <c r="B61" s="332" t="s">
        <v>615</v>
      </c>
      <c r="C61" s="52">
        <f ca="1">ROUND(F61*F62/10000,2)</f>
        <v>2.12</v>
      </c>
      <c r="D61" s="779" t="s">
        <v>616</v>
      </c>
      <c r="E61" s="750" t="s">
        <v>617</v>
      </c>
      <c r="F61" s="608">
        <f t="shared" si="0"/>
        <v>1.5</v>
      </c>
      <c r="K61" s="1808"/>
      <c r="O61" s="2092" t="s">
        <v>1738</v>
      </c>
      <c r="P61" s="2090" t="s">
        <v>1746</v>
      </c>
      <c r="Q61" s="2091" t="e">
        <f ca="1">L58</f>
        <v>#DIV/0!</v>
      </c>
      <c r="R61" s="2094" t="s">
        <v>1747</v>
      </c>
    </row>
    <row r="62" spans="1:18" s="1782" customFormat="1" ht="15.75" thickBot="1">
      <c r="A62" s="780"/>
      <c r="B62" s="759"/>
      <c r="C62" s="67"/>
      <c r="D62" s="781"/>
      <c r="E62" s="750" t="s">
        <v>621</v>
      </c>
      <c r="F62" s="751">
        <f t="shared" ca="1" si="0"/>
        <v>14110.95</v>
      </c>
      <c r="I62" s="2578" t="s">
        <v>1719</v>
      </c>
      <c r="J62" s="2579" t="s">
        <v>1720</v>
      </c>
      <c r="K62" s="2579" t="s">
        <v>1721</v>
      </c>
      <c r="L62" s="2579" t="s">
        <v>1702</v>
      </c>
      <c r="M62" s="2580" t="s">
        <v>2200</v>
      </c>
      <c r="O62" s="2092" t="s">
        <v>1740</v>
      </c>
      <c r="P62" s="2090" t="str">
        <f>K59</f>
        <v>建设期及建筑物耐用年限下的土地年期修正系数Kn</v>
      </c>
      <c r="Q62" s="2091" t="e">
        <f ca="1">L59</f>
        <v>#DIV/0!</v>
      </c>
      <c r="R62" s="2094" t="s">
        <v>1749</v>
      </c>
    </row>
    <row r="63" spans="1:18" s="1782" customFormat="1" ht="15.75" thickBot="1">
      <c r="A63" s="1454" t="s">
        <v>1414</v>
      </c>
      <c r="B63" s="750" t="s">
        <v>623</v>
      </c>
      <c r="C63" s="51">
        <f ca="1">ROUND(C56*F63,2)</f>
        <v>23.21</v>
      </c>
      <c r="D63" s="2244" t="s">
        <v>1332</v>
      </c>
      <c r="E63" s="750" t="s">
        <v>1276</v>
      </c>
      <c r="F63" s="782">
        <f t="shared" ca="1" si="0"/>
        <v>2E-3</v>
      </c>
      <c r="I63" s="2578" t="s">
        <v>1722</v>
      </c>
      <c r="J63" s="2579">
        <v>70</v>
      </c>
      <c r="K63" s="2579">
        <v>50</v>
      </c>
      <c r="L63" s="2579">
        <v>80</v>
      </c>
      <c r="M63" s="2581">
        <v>0.02</v>
      </c>
      <c r="O63" s="2089" t="s">
        <v>1743</v>
      </c>
      <c r="P63" s="2090" t="s">
        <v>1760</v>
      </c>
      <c r="Q63" s="2091">
        <f ca="1">Q57+Q58</f>
        <v>17907</v>
      </c>
      <c r="R63" s="2094" t="s">
        <v>1744</v>
      </c>
    </row>
    <row r="64" spans="1:18" s="1782" customFormat="1" ht="16.5" thickBot="1">
      <c r="A64" s="1454" t="s">
        <v>1415</v>
      </c>
      <c r="B64" s="750" t="s">
        <v>626</v>
      </c>
      <c r="C64" s="51">
        <f ca="1">ROUND(C55*F64,2)</f>
        <v>11.61</v>
      </c>
      <c r="D64" s="2244" t="s">
        <v>627</v>
      </c>
      <c r="E64" s="750" t="s">
        <v>1276</v>
      </c>
      <c r="F64" s="783">
        <f t="shared" ca="1" si="0"/>
        <v>1E-3</v>
      </c>
      <c r="I64" s="2578" t="s">
        <v>1723</v>
      </c>
      <c r="J64" s="2579">
        <v>50</v>
      </c>
      <c r="K64" s="2579">
        <v>35</v>
      </c>
      <c r="L64" s="2579">
        <v>60</v>
      </c>
      <c r="M64" s="811">
        <v>0</v>
      </c>
      <c r="O64" s="2095" t="s">
        <v>1767</v>
      </c>
      <c r="P64" s="1405"/>
      <c r="Q64" s="1413"/>
      <c r="R64" s="1405"/>
    </row>
    <row r="65" spans="1:18" s="1782" customFormat="1" ht="15.75" thickBot="1">
      <c r="A65" s="1454" t="s">
        <v>1416</v>
      </c>
      <c r="B65" s="750" t="s">
        <v>613</v>
      </c>
      <c r="C65" s="51">
        <f ca="1">ROUND(C47*F65,2)</f>
        <v>0</v>
      </c>
      <c r="D65" s="2244" t="s">
        <v>630</v>
      </c>
      <c r="E65" s="750" t="s">
        <v>1276</v>
      </c>
      <c r="F65" s="760">
        <f t="shared" ca="1" si="0"/>
        <v>5.0000000000000001E-3</v>
      </c>
      <c r="I65" s="2578" t="s">
        <v>1724</v>
      </c>
      <c r="J65" s="2579">
        <v>40</v>
      </c>
      <c r="K65" s="2579">
        <v>30</v>
      </c>
      <c r="L65" s="2579">
        <v>50</v>
      </c>
      <c r="M65" s="2581">
        <v>0.02</v>
      </c>
      <c r="O65" s="2086" t="s">
        <v>1727</v>
      </c>
      <c r="P65" s="2087" t="s">
        <v>1728</v>
      </c>
      <c r="Q65" s="2088" t="s">
        <v>1729</v>
      </c>
      <c r="R65" s="2087" t="s">
        <v>1730</v>
      </c>
    </row>
    <row r="66" spans="1:18" s="1782" customFormat="1" ht="24.75" thickBot="1">
      <c r="A66" s="763" t="s">
        <v>1305</v>
      </c>
      <c r="B66" s="2484" t="s">
        <v>2097</v>
      </c>
      <c r="C66" s="765">
        <f ca="1">C47-C57</f>
        <v>-37</v>
      </c>
      <c r="D66" s="2243" t="s">
        <v>647</v>
      </c>
      <c r="E66" s="2242"/>
      <c r="F66" s="785"/>
      <c r="K66" s="1808"/>
      <c r="O66" s="2089" t="s">
        <v>1731</v>
      </c>
      <c r="P66" s="2090" t="s">
        <v>1761</v>
      </c>
      <c r="Q66" s="2091">
        <f ca="1">C40+J29</f>
        <v>17907</v>
      </c>
      <c r="R66" s="2090" t="s">
        <v>1732</v>
      </c>
    </row>
    <row r="67" spans="1:18" s="1782" customFormat="1" ht="20.25" thickBot="1">
      <c r="A67" s="747" t="s">
        <v>1309</v>
      </c>
      <c r="B67" s="1950" t="s">
        <v>1656</v>
      </c>
      <c r="C67" s="749">
        <f ca="1">ROUND(C66*(1-((1+F69)/(1+F67))^F68)/(F67-F69),0)</f>
        <v>-414</v>
      </c>
      <c r="D67" s="779" t="s">
        <v>651</v>
      </c>
      <c r="E67" s="750" t="s">
        <v>652</v>
      </c>
      <c r="F67" s="760">
        <f ca="1">F40</f>
        <v>0.05</v>
      </c>
      <c r="K67" s="1808"/>
      <c r="O67" s="2089" t="s">
        <v>1733</v>
      </c>
      <c r="P67" s="2090" t="s">
        <v>1764</v>
      </c>
      <c r="Q67" s="2091">
        <f ca="1">L60</f>
        <v>0</v>
      </c>
      <c r="R67" s="2094" t="s">
        <v>1766</v>
      </c>
    </row>
    <row r="68" spans="1:18" ht="21.75" thickBot="1">
      <c r="A68" s="752"/>
      <c r="B68" s="753"/>
      <c r="C68" s="754"/>
      <c r="D68" s="786" t="s">
        <v>1337</v>
      </c>
      <c r="E68" s="750" t="s">
        <v>1313</v>
      </c>
      <c r="F68" s="787">
        <f ca="1">F41</f>
        <v>16.79</v>
      </c>
      <c r="O68" s="2092" t="s">
        <v>1735</v>
      </c>
      <c r="P68" s="2090" t="s">
        <v>1765</v>
      </c>
      <c r="Q68" s="2096">
        <f ca="1">L51</f>
        <v>10639</v>
      </c>
      <c r="R68" s="2097" t="s">
        <v>1768</v>
      </c>
    </row>
    <row r="69" spans="1:18" ht="20.25" thickBot="1">
      <c r="A69" s="756"/>
      <c r="B69" s="757"/>
      <c r="C69" s="758"/>
      <c r="D69" s="781"/>
      <c r="E69" s="750" t="s">
        <v>657</v>
      </c>
      <c r="F69" s="2064"/>
      <c r="O69" s="2092" t="s">
        <v>1736</v>
      </c>
      <c r="P69" s="2098" t="s">
        <v>1750</v>
      </c>
      <c r="Q69" s="2091">
        <f ca="1">ROUND(Q70-Q71*Q72,0)</f>
        <v>516</v>
      </c>
      <c r="R69" s="2094"/>
    </row>
    <row r="70" spans="1:18" ht="15.75" thickBot="1">
      <c r="A70" s="788" t="s">
        <v>1316</v>
      </c>
      <c r="B70" s="789" t="s">
        <v>1339</v>
      </c>
      <c r="C70" s="790">
        <f ca="1">ROUND(C67*10000/F70,0)</f>
        <v>-201</v>
      </c>
      <c r="D70" s="791" t="s">
        <v>1340</v>
      </c>
      <c r="E70" s="792" t="s">
        <v>1341</v>
      </c>
      <c r="F70" s="793">
        <f ca="1">F43</f>
        <v>20593.5</v>
      </c>
      <c r="O70" s="2092" t="s">
        <v>1751</v>
      </c>
      <c r="P70" s="2098" t="s">
        <v>1752</v>
      </c>
      <c r="Q70" s="2091">
        <f ca="1">C39</f>
        <v>1444</v>
      </c>
      <c r="R70" s="2090" t="s">
        <v>1732</v>
      </c>
    </row>
    <row r="71" spans="1:18" ht="15.75" thickBot="1">
      <c r="O71" s="2092" t="s">
        <v>1753</v>
      </c>
      <c r="P71" s="2098" t="s">
        <v>1754</v>
      </c>
      <c r="Q71" s="2091">
        <f ca="1">C13</f>
        <v>11606</v>
      </c>
      <c r="R71" s="2090" t="s">
        <v>1732</v>
      </c>
    </row>
    <row r="72" spans="1:18" ht="15.75" thickBot="1">
      <c r="O72" s="2092" t="s">
        <v>1755</v>
      </c>
      <c r="P72" s="2098" t="s">
        <v>1756</v>
      </c>
      <c r="Q72" s="2093">
        <f ca="1">J36</f>
        <v>0.08</v>
      </c>
      <c r="R72" s="2094"/>
    </row>
    <row r="73" spans="1:18" ht="15.75" thickBot="1">
      <c r="O73" s="2092" t="s">
        <v>1738</v>
      </c>
      <c r="P73" s="2090" t="s">
        <v>1745</v>
      </c>
      <c r="Q73" s="2093">
        <f>L52</f>
        <v>0</v>
      </c>
      <c r="R73" s="2094"/>
    </row>
    <row r="74" spans="1:18" ht="20.25" thickBot="1">
      <c r="O74" s="2092" t="s">
        <v>1740</v>
      </c>
      <c r="P74" s="2090" t="s">
        <v>1746</v>
      </c>
      <c r="Q74" s="2091" t="e">
        <f ca="1">L58</f>
        <v>#DIV/0!</v>
      </c>
      <c r="R74" s="2094" t="s">
        <v>1747</v>
      </c>
    </row>
    <row r="75" spans="1:18" ht="15.75" thickBot="1">
      <c r="O75" s="2092" t="s">
        <v>1769</v>
      </c>
      <c r="P75" s="2090" t="str">
        <f>K59</f>
        <v>建设期及建筑物耐用年限下的土地年期修正系数Kn</v>
      </c>
      <c r="Q75" s="2091" t="e">
        <f ca="1">L59</f>
        <v>#DIV/0!</v>
      </c>
      <c r="R75" s="2094" t="s">
        <v>1749</v>
      </c>
    </row>
    <row r="76" spans="1:18" ht="15.75" thickBot="1">
      <c r="O76" s="2089" t="s">
        <v>1743</v>
      </c>
      <c r="P76" s="2090" t="s">
        <v>1760</v>
      </c>
      <c r="Q76" s="2091">
        <f ca="1">Q66+Q67</f>
        <v>17907</v>
      </c>
      <c r="R76" s="2094"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2438</v>
      </c>
      <c r="B1" s="3056"/>
      <c r="C1" s="3069"/>
      <c r="D1" s="3069"/>
      <c r="E1" s="3057"/>
      <c r="F1" s="3058"/>
      <c r="G1" s="3059"/>
      <c r="J1" s="3062" t="s">
        <v>2295</v>
      </c>
      <c r="K1" s="3063"/>
      <c r="L1" s="3063"/>
      <c r="M1" s="3063"/>
      <c r="N1" s="3063"/>
      <c r="O1" s="3063"/>
      <c r="P1" s="3063"/>
      <c r="Q1" s="3063"/>
      <c r="R1" s="3064"/>
      <c r="S1" s="3065"/>
      <c r="T1" s="3065"/>
      <c r="U1" s="3065"/>
    </row>
    <row r="2" spans="1:22" s="3078" customFormat="1" ht="13.15" customHeight="1">
      <c r="A2" s="3067" t="s">
        <v>2296</v>
      </c>
      <c r="B2" s="3068" t="e">
        <f>C40</f>
        <v>#DIV/0!</v>
      </c>
      <c r="C2" s="3069" t="s">
        <v>2297</v>
      </c>
      <c r="D2" s="3069"/>
      <c r="E2" s="3070"/>
      <c r="F2" s="3071"/>
      <c r="G2" s="3072"/>
      <c r="H2" s="3073"/>
      <c r="I2" s="3074"/>
      <c r="J2" s="3964" t="s">
        <v>2298</v>
      </c>
      <c r="K2" s="3965"/>
      <c r="L2" s="3075" t="s">
        <v>2299</v>
      </c>
      <c r="M2" s="3075" t="s">
        <v>2300</v>
      </c>
      <c r="N2" s="3075" t="s">
        <v>2301</v>
      </c>
      <c r="O2" s="3075" t="s">
        <v>2302</v>
      </c>
      <c r="P2" s="3075" t="s">
        <v>2303</v>
      </c>
      <c r="Q2" s="3076" t="s">
        <v>2304</v>
      </c>
      <c r="R2" s="3077" t="s">
        <v>2305</v>
      </c>
      <c r="S2" s="3065"/>
      <c r="T2" s="3065"/>
      <c r="U2" s="3065"/>
      <c r="V2" s="3074"/>
    </row>
    <row r="3" spans="1:22" s="3078" customFormat="1" ht="13.15" customHeight="1">
      <c r="A3" s="3079" t="s">
        <v>2306</v>
      </c>
      <c r="B3" s="3080" t="e">
        <f>ROUND(B2*10000/B4,0)</f>
        <v>#DIV/0!</v>
      </c>
      <c r="C3" s="3069" t="s">
        <v>2307</v>
      </c>
      <c r="D3" s="3069"/>
      <c r="E3" s="3070"/>
      <c r="F3" s="3071"/>
      <c r="G3" s="3072"/>
      <c r="H3" s="3073"/>
      <c r="I3" s="3074"/>
      <c r="J3" s="3966" t="s">
        <v>2308</v>
      </c>
      <c r="K3" s="3967"/>
      <c r="L3" s="3081"/>
      <c r="M3" s="3081"/>
      <c r="N3" s="3081"/>
      <c r="O3" s="3081"/>
      <c r="P3" s="3081"/>
      <c r="Q3" s="3082"/>
      <c r="R3" s="3083">
        <f>SUM(L3:Q3)</f>
        <v>0</v>
      </c>
      <c r="S3" s="3065"/>
      <c r="T3" s="3065"/>
      <c r="U3" s="3065"/>
      <c r="V3" s="3074"/>
    </row>
    <row r="4" spans="1:22" s="3078" customFormat="1" ht="13.15" customHeight="1">
      <c r="A4" s="3084" t="s">
        <v>2309</v>
      </c>
      <c r="B4" s="3085"/>
      <c r="C4" s="3069"/>
      <c r="D4" s="3069"/>
      <c r="E4" s="3070"/>
      <c r="F4" s="3071"/>
      <c r="G4" s="3072"/>
      <c r="H4" s="3073"/>
      <c r="I4" s="3074"/>
      <c r="J4" s="3966" t="s">
        <v>2310</v>
      </c>
      <c r="K4" s="3967"/>
      <c r="L4" s="3086"/>
      <c r="M4" s="3086"/>
      <c r="N4" s="3086"/>
      <c r="O4" s="3086"/>
      <c r="P4" s="3086"/>
      <c r="Q4" s="3087"/>
      <c r="R4" s="3088">
        <f>SUM(L4:Q4)</f>
        <v>0</v>
      </c>
      <c r="S4" s="3065"/>
      <c r="T4" s="3065"/>
      <c r="U4" s="3065"/>
      <c r="V4" s="3074"/>
    </row>
    <row r="5" spans="1:22" s="3078" customFormat="1" ht="13.15" customHeight="1" thickBot="1">
      <c r="A5" s="3089" t="s">
        <v>2311</v>
      </c>
      <c r="B5" s="3090"/>
      <c r="C5" s="3069"/>
      <c r="D5" s="3091"/>
      <c r="E5" s="3071"/>
      <c r="F5" s="3071"/>
      <c r="G5" s="3072"/>
      <c r="H5" s="3073"/>
      <c r="I5" s="3074"/>
      <c r="J5" s="3092" t="s">
        <v>2312</v>
      </c>
      <c r="K5" s="3093"/>
      <c r="L5" s="3093"/>
      <c r="M5" s="3094"/>
      <c r="N5" s="3094"/>
      <c r="O5" s="3094"/>
      <c r="P5" s="3094"/>
      <c r="Q5" s="3094"/>
      <c r="R5" s="3077">
        <f>SUM(R14,R19,R24,R25,R27,R28)</f>
        <v>0</v>
      </c>
      <c r="S5" s="3065"/>
      <c r="T5" s="3065" t="s">
        <v>2313</v>
      </c>
      <c r="U5" s="3065" t="e">
        <f>ROUND(R5*10000/365/R3,1)</f>
        <v>#DIV/0!</v>
      </c>
      <c r="V5" s="3074"/>
    </row>
    <row r="6" spans="1:22" s="3078" customFormat="1" ht="13.15" customHeight="1" thickBot="1">
      <c r="A6" s="3968" t="s">
        <v>2314</v>
      </c>
      <c r="B6" s="3969"/>
      <c r="C6" s="3970"/>
      <c r="D6" s="3095"/>
      <c r="E6" s="3096"/>
      <c r="F6" s="3097"/>
      <c r="G6" s="3098"/>
      <c r="H6" s="3073"/>
      <c r="I6" s="3074"/>
      <c r="J6" s="3971">
        <v>1</v>
      </c>
      <c r="K6" s="3972" t="s">
        <v>2315</v>
      </c>
      <c r="L6" s="3099" t="s">
        <v>2316</v>
      </c>
      <c r="M6" s="3100" t="s">
        <v>2317</v>
      </c>
      <c r="N6" s="3100" t="s">
        <v>2318</v>
      </c>
      <c r="O6" s="3100" t="s">
        <v>2319</v>
      </c>
      <c r="P6" s="3100" t="s">
        <v>2320</v>
      </c>
      <c r="Q6" s="3100" t="s">
        <v>2321</v>
      </c>
      <c r="R6" s="3083" t="s">
        <v>2322</v>
      </c>
      <c r="S6" s="3065"/>
      <c r="T6" s="3065" t="s">
        <v>2323</v>
      </c>
      <c r="U6" s="3065"/>
      <c r="V6" s="3074"/>
    </row>
    <row r="7" spans="1:22" s="3078" customFormat="1" ht="13.15" customHeight="1">
      <c r="A7" s="3101" t="s">
        <v>2324</v>
      </c>
      <c r="B7" s="3102"/>
      <c r="C7" s="3103"/>
      <c r="D7" s="3104">
        <f>SUM(D9,D10,D11,D17,0)</f>
        <v>0</v>
      </c>
      <c r="E7" s="3105" t="e">
        <f>E9+E10+E11+E17</f>
        <v>#DIV/0!</v>
      </c>
      <c r="F7" s="3106"/>
      <c r="G7" s="3107"/>
      <c r="H7" s="3073"/>
      <c r="I7" s="3074"/>
      <c r="J7" s="3971"/>
      <c r="K7" s="3973"/>
      <c r="L7" s="3108" t="s">
        <v>2325</v>
      </c>
      <c r="M7" s="3109"/>
      <c r="N7" s="3085"/>
      <c r="O7" s="3110"/>
      <c r="P7" s="3110"/>
      <c r="Q7" s="3111">
        <v>365</v>
      </c>
      <c r="R7" s="3112">
        <f>ROUND(M7*N7*O7*P7*Q7/10000,0)</f>
        <v>0</v>
      </c>
      <c r="S7" s="3065"/>
      <c r="T7" s="3065" t="s">
        <v>2326</v>
      </c>
      <c r="U7" s="3065"/>
      <c r="V7" s="3074"/>
    </row>
    <row r="8" spans="1:22" s="3078" customFormat="1" ht="13.15" customHeight="1">
      <c r="A8" s="3113" t="s">
        <v>2327</v>
      </c>
      <c r="B8" s="3975" t="s">
        <v>2328</v>
      </c>
      <c r="C8" s="3976"/>
      <c r="D8" s="3114" t="s">
        <v>2329</v>
      </c>
      <c r="E8" s="3115" t="s">
        <v>2330</v>
      </c>
      <c r="F8" s="3116" t="s">
        <v>2331</v>
      </c>
      <c r="G8" s="3117"/>
      <c r="H8" s="3073"/>
      <c r="I8" s="3074"/>
      <c r="J8" s="3971"/>
      <c r="K8" s="3973"/>
      <c r="L8" s="3108" t="s">
        <v>2332</v>
      </c>
      <c r="M8" s="3109"/>
      <c r="N8" s="3085"/>
      <c r="O8" s="3110"/>
      <c r="P8" s="3110"/>
      <c r="Q8" s="3111">
        <v>365</v>
      </c>
      <c r="R8" s="3112">
        <f t="shared" ref="R8:R13" si="0">ROUND(M8*N8*O8*P8*Q8/10000,0)</f>
        <v>0</v>
      </c>
      <c r="S8" s="3065"/>
      <c r="T8" s="3065" t="s">
        <v>2333</v>
      </c>
      <c r="U8" s="3065"/>
      <c r="V8" s="3074"/>
    </row>
    <row r="9" spans="1:22" s="3078" customFormat="1" ht="13.15" customHeight="1">
      <c r="A9" s="3113">
        <v>1</v>
      </c>
      <c r="B9" s="3975" t="s">
        <v>2334</v>
      </c>
      <c r="C9" s="3976"/>
      <c r="D9" s="3114">
        <f>ROUND(D6*E9,0)</f>
        <v>0</v>
      </c>
      <c r="E9" s="3118"/>
      <c r="F9" s="3119" t="s">
        <v>2335</v>
      </c>
      <c r="G9" s="3098"/>
      <c r="H9" s="3073"/>
      <c r="I9" s="3074"/>
      <c r="J9" s="3971"/>
      <c r="K9" s="3973"/>
      <c r="L9" s="3108" t="s">
        <v>2336</v>
      </c>
      <c r="M9" s="3109"/>
      <c r="N9" s="3085"/>
      <c r="O9" s="3110"/>
      <c r="P9" s="3110"/>
      <c r="Q9" s="3111">
        <v>365</v>
      </c>
      <c r="R9" s="3112">
        <f t="shared" si="0"/>
        <v>0</v>
      </c>
      <c r="S9" s="3065"/>
      <c r="T9" s="3065"/>
      <c r="U9" s="3065"/>
      <c r="V9" s="3074"/>
    </row>
    <row r="10" spans="1:22" s="3078" customFormat="1" ht="13.15" customHeight="1">
      <c r="A10" s="3113">
        <v>2</v>
      </c>
      <c r="B10" s="3975" t="s">
        <v>2337</v>
      </c>
      <c r="C10" s="3976"/>
      <c r="D10" s="3114">
        <f>ROUND(D6*E10,0)</f>
        <v>0</v>
      </c>
      <c r="E10" s="3118"/>
      <c r="F10" s="3119" t="s">
        <v>2338</v>
      </c>
      <c r="G10" s="3098"/>
      <c r="H10" s="3073"/>
      <c r="I10" s="3074"/>
      <c r="J10" s="3971"/>
      <c r="K10" s="3973"/>
      <c r="L10" s="3108" t="s">
        <v>2339</v>
      </c>
      <c r="M10" s="3109"/>
      <c r="N10" s="3085"/>
      <c r="O10" s="3110"/>
      <c r="P10" s="3110"/>
      <c r="Q10" s="3111">
        <v>365</v>
      </c>
      <c r="R10" s="3112">
        <f t="shared" si="0"/>
        <v>0</v>
      </c>
      <c r="S10" s="3065"/>
      <c r="T10" s="3065"/>
      <c r="U10" s="3065"/>
      <c r="V10" s="3074"/>
    </row>
    <row r="11" spans="1:22" s="3078" customFormat="1" ht="13.15" customHeight="1">
      <c r="A11" s="3113">
        <v>3</v>
      </c>
      <c r="B11" s="3975" t="s">
        <v>2340</v>
      </c>
      <c r="C11" s="3976"/>
      <c r="D11" s="3114">
        <f>D12+D14+D15+D16</f>
        <v>0</v>
      </c>
      <c r="E11" s="3120" t="e">
        <f>D11/D6</f>
        <v>#DIV/0!</v>
      </c>
      <c r="F11" s="3116"/>
      <c r="G11" s="3117"/>
      <c r="H11" s="3073"/>
      <c r="I11" s="3074"/>
      <c r="J11" s="3971"/>
      <c r="K11" s="3973"/>
      <c r="L11" s="3108" t="s">
        <v>2341</v>
      </c>
      <c r="M11" s="3109"/>
      <c r="N11" s="3085"/>
      <c r="O11" s="3110"/>
      <c r="P11" s="3110"/>
      <c r="Q11" s="3111">
        <v>365</v>
      </c>
      <c r="R11" s="3112">
        <f t="shared" si="0"/>
        <v>0</v>
      </c>
      <c r="S11" s="3065"/>
      <c r="T11" s="3065"/>
      <c r="U11" s="3065"/>
      <c r="V11" s="3074"/>
    </row>
    <row r="12" spans="1:22" s="3078" customFormat="1" ht="13.15" customHeight="1">
      <c r="A12" s="3121" t="s">
        <v>2342</v>
      </c>
      <c r="B12" s="3977" t="s">
        <v>2343</v>
      </c>
      <c r="C12" s="3978"/>
      <c r="D12" s="3122">
        <f>ROUND(D13*1.2%*(1-30%),0)</f>
        <v>0</v>
      </c>
      <c r="E12" s="3123">
        <v>1.2E-2</v>
      </c>
      <c r="F12" s="3116" t="s">
        <v>2344</v>
      </c>
      <c r="G12" s="3117"/>
      <c r="H12" s="3073"/>
      <c r="I12" s="3074"/>
      <c r="J12" s="3971"/>
      <c r="K12" s="3973"/>
      <c r="L12" s="3108" t="s">
        <v>2345</v>
      </c>
      <c r="M12" s="3109"/>
      <c r="N12" s="3085"/>
      <c r="O12" s="3110"/>
      <c r="P12" s="3110"/>
      <c r="Q12" s="3111">
        <v>365</v>
      </c>
      <c r="R12" s="3112">
        <f t="shared" si="0"/>
        <v>0</v>
      </c>
      <c r="S12" s="3065"/>
      <c r="T12" s="3065"/>
      <c r="U12" s="3065"/>
      <c r="V12" s="3074"/>
    </row>
    <row r="13" spans="1:22" s="3078" customFormat="1" ht="13.15" customHeight="1">
      <c r="A13" s="3121"/>
      <c r="B13" s="3124"/>
      <c r="C13" s="3125" t="s">
        <v>2346</v>
      </c>
      <c r="D13" s="3126"/>
      <c r="E13" s="3127"/>
      <c r="F13" s="3116"/>
      <c r="G13" s="3117"/>
      <c r="H13" s="3073"/>
      <c r="I13" s="3074"/>
      <c r="J13" s="3971"/>
      <c r="K13" s="3973"/>
      <c r="L13" s="3108" t="s">
        <v>2347</v>
      </c>
      <c r="M13" s="3109"/>
      <c r="N13" s="3085"/>
      <c r="O13" s="3110"/>
      <c r="P13" s="3110"/>
      <c r="Q13" s="3111">
        <v>365</v>
      </c>
      <c r="R13" s="3112">
        <f t="shared" si="0"/>
        <v>0</v>
      </c>
      <c r="S13" s="3065"/>
      <c r="T13" s="3065"/>
      <c r="U13" s="3065"/>
      <c r="V13" s="3074"/>
    </row>
    <row r="14" spans="1:22" s="3078" customFormat="1" ht="13.15" customHeight="1">
      <c r="A14" s="3121" t="s">
        <v>2348</v>
      </c>
      <c r="B14" s="3977" t="s">
        <v>2349</v>
      </c>
      <c r="C14" s="3978"/>
      <c r="D14" s="3122">
        <f>ROUND(E14*B5/10000,0)</f>
        <v>0</v>
      </c>
      <c r="E14" s="3111"/>
      <c r="F14" s="3116" t="s">
        <v>2350</v>
      </c>
      <c r="G14" s="3117"/>
      <c r="H14" s="3073"/>
      <c r="I14" s="3074"/>
      <c r="J14" s="3971"/>
      <c r="K14" s="3974"/>
      <c r="L14" s="3128" t="s">
        <v>2351</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2352</v>
      </c>
      <c r="B15" s="3977" t="s">
        <v>2353</v>
      </c>
      <c r="C15" s="3978"/>
      <c r="D15" s="3122">
        <f>ROUND(D6*E15,0)</f>
        <v>0</v>
      </c>
      <c r="E15" s="3123">
        <v>5.5E-2</v>
      </c>
      <c r="F15" s="3116" t="s">
        <v>2354</v>
      </c>
      <c r="G15" s="3098"/>
      <c r="H15" s="3073"/>
      <c r="I15" s="3074"/>
      <c r="J15" s="3971">
        <v>2</v>
      </c>
      <c r="K15" s="3972" t="s">
        <v>2355</v>
      </c>
      <c r="L15" s="3108" t="s">
        <v>2356</v>
      </c>
      <c r="M15" s="3109" t="s">
        <v>2357</v>
      </c>
      <c r="N15" s="3109" t="s">
        <v>2358</v>
      </c>
      <c r="O15" s="3110" t="s">
        <v>2359</v>
      </c>
      <c r="P15" s="3110" t="s">
        <v>2360</v>
      </c>
      <c r="Q15" s="3085" t="s">
        <v>2361</v>
      </c>
      <c r="R15" s="3132" t="s">
        <v>2362</v>
      </c>
      <c r="S15" s="3065"/>
      <c r="T15" s="3065"/>
      <c r="U15" s="3065"/>
      <c r="V15" s="3074"/>
    </row>
    <row r="16" spans="1:22" s="3078" customFormat="1" ht="13.15" customHeight="1">
      <c r="A16" s="3121" t="s">
        <v>2363</v>
      </c>
      <c r="B16" s="3977" t="s">
        <v>2364</v>
      </c>
      <c r="C16" s="3978"/>
      <c r="D16" s="3133">
        <f>D6*E16</f>
        <v>0</v>
      </c>
      <c r="E16" s="3134"/>
      <c r="F16" s="3119" t="s">
        <v>2365</v>
      </c>
      <c r="G16" s="3098"/>
      <c r="H16" s="3073"/>
      <c r="I16" s="3074"/>
      <c r="J16" s="3971"/>
      <c r="K16" s="3973"/>
      <c r="L16" s="3108" t="s">
        <v>2366</v>
      </c>
      <c r="M16" s="3109"/>
      <c r="N16" s="3109"/>
      <c r="O16" s="3110"/>
      <c r="P16" s="3111">
        <v>365</v>
      </c>
      <c r="Q16" s="3085"/>
      <c r="R16" s="3132">
        <f>ROUND(M16*N16*O16*P16/10000,0)</f>
        <v>0</v>
      </c>
      <c r="S16" s="3065"/>
      <c r="T16" s="3065"/>
      <c r="U16" s="3065"/>
      <c r="V16" s="3074"/>
    </row>
    <row r="17" spans="1:22" s="3078" customFormat="1" ht="13.15" customHeight="1" thickBot="1">
      <c r="A17" s="3135">
        <v>4</v>
      </c>
      <c r="B17" s="3979" t="s">
        <v>2367</v>
      </c>
      <c r="C17" s="3980"/>
      <c r="D17" s="3136">
        <f>ROUND(D6*E17,0)</f>
        <v>0</v>
      </c>
      <c r="E17" s="3137"/>
      <c r="F17" s="3138" t="s">
        <v>2368</v>
      </c>
      <c r="G17" s="3098"/>
      <c r="H17" s="3073"/>
      <c r="I17" s="3074"/>
      <c r="J17" s="3971"/>
      <c r="K17" s="3973"/>
      <c r="L17" s="3108" t="s">
        <v>2369</v>
      </c>
      <c r="M17" s="3109"/>
      <c r="N17" s="3109"/>
      <c r="O17" s="3110"/>
      <c r="P17" s="3111">
        <v>365</v>
      </c>
      <c r="Q17" s="3085"/>
      <c r="R17" s="3132">
        <f>ROUND(M17*N17*O17*P17/10000,0)</f>
        <v>0</v>
      </c>
      <c r="S17" s="3065"/>
      <c r="T17" s="3065"/>
      <c r="U17" s="3065"/>
      <c r="V17" s="3074"/>
    </row>
    <row r="18" spans="1:22" s="3078" customFormat="1" ht="13.15" customHeight="1" thickBot="1">
      <c r="A18" s="3101" t="s">
        <v>2370</v>
      </c>
      <c r="B18" s="3102"/>
      <c r="C18" s="3102"/>
      <c r="D18" s="3139">
        <f>ROUND(D6*E18,0)</f>
        <v>0</v>
      </c>
      <c r="E18" s="3140"/>
      <c r="F18" s="3141" t="s">
        <v>2371</v>
      </c>
      <c r="G18" s="3098"/>
      <c r="H18" s="3073"/>
      <c r="I18" s="3074"/>
      <c r="J18" s="3971"/>
      <c r="K18" s="3973"/>
      <c r="L18" s="3108" t="s">
        <v>2372</v>
      </c>
      <c r="M18" s="3109"/>
      <c r="N18" s="3109"/>
      <c r="O18" s="3110"/>
      <c r="P18" s="3111">
        <v>365</v>
      </c>
      <c r="Q18" s="3085"/>
      <c r="R18" s="3132">
        <f>ROUND(M18*N18*O18*P18/10000,0)</f>
        <v>0</v>
      </c>
      <c r="S18" s="3065"/>
      <c r="T18" s="3065"/>
      <c r="U18" s="3065"/>
      <c r="V18" s="3074"/>
    </row>
    <row r="19" spans="1:22" s="3078" customFormat="1" ht="13.15" customHeight="1" thickBot="1">
      <c r="A19" s="3142" t="s">
        <v>2373</v>
      </c>
      <c r="B19" s="3096"/>
      <c r="C19" s="3096"/>
      <c r="D19" s="3096"/>
      <c r="E19" s="3096"/>
      <c r="F19" s="3097"/>
      <c r="G19" s="3117"/>
      <c r="H19" s="3073"/>
      <c r="I19" s="3074"/>
      <c r="J19" s="3971"/>
      <c r="K19" s="3974"/>
      <c r="L19" s="3128" t="s">
        <v>2351</v>
      </c>
      <c r="M19" s="3129"/>
      <c r="N19" s="3129">
        <f>SUM(N16:N18)</f>
        <v>0</v>
      </c>
      <c r="O19" s="3130"/>
      <c r="P19" s="3143" t="s">
        <v>2439</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71">
        <v>3</v>
      </c>
      <c r="K20" s="3972" t="s">
        <v>2374</v>
      </c>
      <c r="L20" s="3108" t="s">
        <v>2375</v>
      </c>
      <c r="M20" s="3109" t="s">
        <v>2376</v>
      </c>
      <c r="N20" s="3146" t="s">
        <v>2377</v>
      </c>
      <c r="O20" s="3110" t="s">
        <v>2378</v>
      </c>
      <c r="P20" s="3111" t="s">
        <v>2379</v>
      </c>
      <c r="Q20" s="3085" t="s">
        <v>2380</v>
      </c>
      <c r="R20" s="3132" t="s">
        <v>2322</v>
      </c>
      <c r="S20" s="3147"/>
      <c r="T20" s="3147"/>
      <c r="U20" s="3147"/>
      <c r="V20" s="3074"/>
    </row>
    <row r="21" spans="1:22" s="3078" customFormat="1" ht="13.15" customHeight="1">
      <c r="A21" s="3101"/>
      <c r="B21" s="3102"/>
      <c r="C21" s="3148" t="s">
        <v>2381</v>
      </c>
      <c r="D21" s="3149" t="s">
        <v>2382</v>
      </c>
      <c r="E21" s="3150" t="s">
        <v>2383</v>
      </c>
      <c r="F21" s="3145"/>
      <c r="G21" s="3117"/>
      <c r="H21" s="3073"/>
      <c r="I21" s="3074"/>
      <c r="J21" s="3971"/>
      <c r="K21" s="3973"/>
      <c r="L21" s="3108" t="s">
        <v>2384</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2385</v>
      </c>
      <c r="D22" s="3153" t="s">
        <v>2386</v>
      </c>
      <c r="E22" s="3154" t="s">
        <v>2387</v>
      </c>
      <c r="F22" s="3145"/>
      <c r="G22" s="3155"/>
      <c r="H22" s="3073"/>
      <c r="I22" s="3074"/>
      <c r="J22" s="3971"/>
      <c r="K22" s="3973"/>
      <c r="L22" s="3108" t="s">
        <v>2388</v>
      </c>
      <c r="M22" s="3109"/>
      <c r="N22" s="3109"/>
      <c r="O22" s="3110"/>
      <c r="P22" s="3111">
        <v>365</v>
      </c>
      <c r="Q22" s="3085"/>
      <c r="R22" s="3151">
        <f>ROUND(M22*N22*O22*P22/10000,0)</f>
        <v>0</v>
      </c>
      <c r="S22" s="3147"/>
      <c r="T22" s="3147"/>
      <c r="U22" s="3147"/>
      <c r="V22" s="3074"/>
    </row>
    <row r="23" spans="1:22" s="3078" customFormat="1" ht="13.15" customHeight="1">
      <c r="A23" s="3156">
        <v>1</v>
      </c>
      <c r="B23" s="3157" t="s">
        <v>2389</v>
      </c>
      <c r="C23" s="3158">
        <f>D6</f>
        <v>0</v>
      </c>
      <c r="D23" s="3159">
        <f>C23*(1+D24)</f>
        <v>0</v>
      </c>
      <c r="E23" s="3160">
        <f>D23*(1+E24)</f>
        <v>0</v>
      </c>
      <c r="F23" s="3161"/>
      <c r="G23" s="3162"/>
      <c r="H23" s="3073"/>
      <c r="I23" s="3074"/>
      <c r="J23" s="3971"/>
      <c r="K23" s="3973"/>
      <c r="L23" s="3108" t="s">
        <v>2390</v>
      </c>
      <c r="M23" s="3109"/>
      <c r="N23" s="3109"/>
      <c r="O23" s="3110"/>
      <c r="P23" s="3111">
        <v>365</v>
      </c>
      <c r="Q23" s="3085"/>
      <c r="R23" s="3151">
        <f>ROUND(M23*N23*O23*P23/10000,0)</f>
        <v>0</v>
      </c>
      <c r="S23" s="3065"/>
      <c r="T23" s="3065"/>
      <c r="U23" s="3065"/>
      <c r="V23" s="3074"/>
    </row>
    <row r="24" spans="1:22" s="3078" customFormat="1" ht="13.15" customHeight="1">
      <c r="A24" s="3163"/>
      <c r="B24" s="3164" t="s">
        <v>2391</v>
      </c>
      <c r="C24" s="3165"/>
      <c r="D24" s="3166"/>
      <c r="E24" s="3167"/>
      <c r="F24" s="3168"/>
      <c r="G24" s="3162"/>
      <c r="H24" s="3073"/>
      <c r="I24" s="3074"/>
      <c r="J24" s="3971"/>
      <c r="K24" s="3974"/>
      <c r="L24" s="3128" t="s">
        <v>2351</v>
      </c>
      <c r="M24" s="3129">
        <f>SUM(M21:M23)</f>
        <v>0</v>
      </c>
      <c r="N24" s="3129"/>
      <c r="O24" s="3130"/>
      <c r="P24" s="3143" t="s">
        <v>2439</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2392</v>
      </c>
      <c r="L25" s="3171"/>
      <c r="M25" s="3171"/>
      <c r="N25" s="3171"/>
      <c r="O25" s="3171"/>
      <c r="P25" s="3172"/>
      <c r="Q25" s="3173"/>
      <c r="R25" s="3144">
        <f>ROUND(R14*Q25,0)</f>
        <v>0</v>
      </c>
      <c r="S25" s="3065"/>
      <c r="T25" s="3065"/>
      <c r="U25" s="3065"/>
      <c r="V25" s="3174"/>
    </row>
    <row r="26" spans="1:22" s="3175" customFormat="1" ht="13.15" customHeight="1">
      <c r="A26" s="3156">
        <v>2</v>
      </c>
      <c r="B26" s="3157" t="s">
        <v>2393</v>
      </c>
      <c r="C26" s="3158">
        <f>D7</f>
        <v>0</v>
      </c>
      <c r="D26" s="3159">
        <f>D23*D27</f>
        <v>0</v>
      </c>
      <c r="E26" s="3160">
        <f>E23*E27</f>
        <v>0</v>
      </c>
      <c r="F26" s="3161"/>
      <c r="G26" s="3162"/>
      <c r="H26" s="3073"/>
      <c r="I26" s="3074"/>
      <c r="J26" s="3981">
        <v>5</v>
      </c>
      <c r="K26" s="3176" t="s">
        <v>2394</v>
      </c>
      <c r="L26" s="3177"/>
      <c r="M26" s="3178"/>
      <c r="N26" s="3179" t="s">
        <v>2395</v>
      </c>
      <c r="O26" s="3179" t="s">
        <v>2396</v>
      </c>
      <c r="P26" s="3180" t="s">
        <v>2397</v>
      </c>
      <c r="Q26" s="3180" t="s">
        <v>2398</v>
      </c>
      <c r="R26" s="3083" t="s">
        <v>2399</v>
      </c>
      <c r="S26" s="3181"/>
      <c r="T26" s="3181"/>
      <c r="U26" s="3181"/>
      <c r="V26" s="3174"/>
    </row>
    <row r="27" spans="1:22" s="3078" customFormat="1" ht="13.15" customHeight="1">
      <c r="A27" s="3163"/>
      <c r="B27" s="3164" t="s">
        <v>2400</v>
      </c>
      <c r="C27" s="3182" t="e">
        <f>E7</f>
        <v>#DIV/0!</v>
      </c>
      <c r="D27" s="3166"/>
      <c r="E27" s="3167"/>
      <c r="F27" s="3168"/>
      <c r="G27" s="3162"/>
      <c r="H27" s="3183"/>
      <c r="I27" s="3174"/>
      <c r="J27" s="3982"/>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2401</v>
      </c>
      <c r="F28" s="3168"/>
      <c r="G28" s="3155"/>
      <c r="H28" s="3183"/>
      <c r="I28" s="3174"/>
      <c r="J28" s="3189">
        <v>6</v>
      </c>
      <c r="K28" s="3190" t="s">
        <v>2402</v>
      </c>
      <c r="L28" s="3191" t="s">
        <v>2403</v>
      </c>
      <c r="M28" s="3192"/>
      <c r="N28" s="3191" t="s">
        <v>2404</v>
      </c>
      <c r="O28" s="3193"/>
      <c r="P28" s="3191" t="s">
        <v>2405</v>
      </c>
      <c r="Q28" s="3194">
        <v>1.4999999999999999E-2</v>
      </c>
      <c r="R28" s="3195"/>
      <c r="S28" s="3147"/>
      <c r="T28" s="3147"/>
      <c r="U28" s="3147"/>
      <c r="V28" s="3174"/>
    </row>
    <row r="29" spans="1:22" s="3175" customFormat="1" ht="13.15" customHeight="1">
      <c r="A29" s="3156">
        <v>3</v>
      </c>
      <c r="B29" s="3157" t="s">
        <v>2406</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2407</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2408</v>
      </c>
      <c r="K31" s="3063"/>
      <c r="L31" s="3063"/>
      <c r="M31" s="3063"/>
      <c r="N31" s="3063"/>
      <c r="O31" s="3063"/>
      <c r="P31" s="3063"/>
      <c r="Q31" s="3063"/>
      <c r="R31" s="3064"/>
      <c r="S31" s="3147"/>
      <c r="T31" s="3065"/>
      <c r="U31" s="3065"/>
      <c r="V31" s="3174"/>
    </row>
    <row r="32" spans="1:22" s="3175" customFormat="1" ht="13.15" customHeight="1">
      <c r="A32" s="3156">
        <v>4</v>
      </c>
      <c r="B32" s="3157" t="s">
        <v>2409</v>
      </c>
      <c r="C32" s="3158">
        <f>C23-C26-C29</f>
        <v>0</v>
      </c>
      <c r="D32" s="3159">
        <f>D23-D26-D29</f>
        <v>0</v>
      </c>
      <c r="E32" s="3160">
        <f>E23-E26-E29</f>
        <v>0</v>
      </c>
      <c r="F32" s="3161"/>
      <c r="G32" s="3155"/>
      <c r="H32" s="3073"/>
      <c r="I32" s="3074"/>
      <c r="J32" s="3964" t="s">
        <v>2410</v>
      </c>
      <c r="K32" s="3965"/>
      <c r="L32" s="3075" t="s">
        <v>2411</v>
      </c>
      <c r="M32" s="3075" t="s">
        <v>2300</v>
      </c>
      <c r="N32" s="3075" t="s">
        <v>2301</v>
      </c>
      <c r="O32" s="3075" t="s">
        <v>2302</v>
      </c>
      <c r="P32" s="3075" t="s">
        <v>2303</v>
      </c>
      <c r="Q32" s="3076" t="s">
        <v>2412</v>
      </c>
      <c r="R32" s="3198" t="s">
        <v>2413</v>
      </c>
      <c r="S32" s="3147"/>
      <c r="T32" s="3065"/>
      <c r="U32" s="3065"/>
      <c r="V32" s="3174"/>
    </row>
    <row r="33" spans="1:23" s="3078" customFormat="1" ht="13.15" customHeight="1">
      <c r="A33" s="3156"/>
      <c r="B33" s="3157"/>
      <c r="C33" s="3158"/>
      <c r="D33" s="3199"/>
      <c r="E33" s="3200"/>
      <c r="F33" s="3161"/>
      <c r="G33" s="3155"/>
      <c r="H33" s="3183"/>
      <c r="I33" s="3174"/>
      <c r="J33" s="3966" t="s">
        <v>2414</v>
      </c>
      <c r="K33" s="3967"/>
      <c r="L33" s="3081"/>
      <c r="M33" s="3081"/>
      <c r="N33" s="3081"/>
      <c r="O33" s="3081"/>
      <c r="P33" s="3081"/>
      <c r="Q33" s="3082"/>
      <c r="R33" s="3201">
        <f>SUM(L33:Q33)</f>
        <v>0</v>
      </c>
      <c r="S33" s="3147"/>
      <c r="T33" s="3065"/>
      <c r="U33" s="3065"/>
      <c r="V33" s="3074"/>
    </row>
    <row r="34" spans="1:23" s="3078" customFormat="1" ht="13.15" customHeight="1">
      <c r="A34" s="3156">
        <v>5</v>
      </c>
      <c r="B34" s="3157" t="s">
        <v>2415</v>
      </c>
      <c r="C34" s="3202"/>
      <c r="D34" s="3203"/>
      <c r="E34" s="3204"/>
      <c r="F34" s="3161"/>
      <c r="G34" s="3155"/>
      <c r="H34" s="3183"/>
      <c r="I34" s="3174"/>
      <c r="J34" s="3966" t="s">
        <v>2416</v>
      </c>
      <c r="K34" s="3967"/>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2417</v>
      </c>
      <c r="C35" s="3206"/>
      <c r="D35" s="3207"/>
      <c r="E35" s="3208"/>
      <c r="F35" s="3161"/>
      <c r="G35" s="3209"/>
      <c r="H35" s="3073"/>
      <c r="I35" s="3174"/>
      <c r="J35" s="3092" t="s">
        <v>2418</v>
      </c>
      <c r="K35" s="3093"/>
      <c r="L35" s="3093"/>
      <c r="M35" s="3094"/>
      <c r="N35" s="3094"/>
      <c r="O35" s="3094"/>
      <c r="P35" s="3094"/>
      <c r="Q35" s="3094"/>
      <c r="R35" s="3210">
        <f>R40+R41+R43</f>
        <v>0</v>
      </c>
      <c r="S35" s="3147"/>
      <c r="T35" s="3065" t="s">
        <v>2419</v>
      </c>
      <c r="U35" s="3065"/>
      <c r="V35" s="3074"/>
    </row>
    <row r="36" spans="1:23" s="3078" customFormat="1" ht="13.15" customHeight="1" thickBot="1">
      <c r="A36" s="3156">
        <v>7</v>
      </c>
      <c r="B36" s="3211" t="s">
        <v>2420</v>
      </c>
      <c r="C36" s="3212"/>
      <c r="D36" s="3213"/>
      <c r="E36" s="3214"/>
      <c r="F36" s="3215">
        <f>C36+D36+E36</f>
        <v>0</v>
      </c>
      <c r="G36" s="3155"/>
      <c r="H36" s="3073"/>
      <c r="I36" s="3074"/>
      <c r="J36" s="3971">
        <v>1</v>
      </c>
      <c r="K36" s="3972" t="s">
        <v>2421</v>
      </c>
      <c r="L36" s="3099"/>
      <c r="M36" s="3100"/>
      <c r="N36" s="3100"/>
      <c r="O36" s="3100"/>
      <c r="P36" s="3100"/>
      <c r="Q36" s="3100"/>
      <c r="R36" s="3083" t="s">
        <v>2322</v>
      </c>
      <c r="S36" s="3147"/>
      <c r="T36" s="3065" t="s">
        <v>2323</v>
      </c>
      <c r="U36" s="3065"/>
      <c r="V36" s="3074"/>
    </row>
    <row r="37" spans="1:23" s="3078" customFormat="1" ht="13.15" customHeight="1">
      <c r="A37" s="3156"/>
      <c r="B37" s="3157"/>
      <c r="C37" s="3157"/>
      <c r="D37" s="3157"/>
      <c r="E37" s="3157"/>
      <c r="F37" s="3161"/>
      <c r="G37" s="3155"/>
      <c r="H37" s="3073"/>
      <c r="I37" s="3074"/>
      <c r="J37" s="3971"/>
      <c r="K37" s="3973"/>
      <c r="L37" s="3108"/>
      <c r="M37" s="3109"/>
      <c r="N37" s="3085"/>
      <c r="O37" s="3110"/>
      <c r="P37" s="3110"/>
      <c r="Q37" s="3111"/>
      <c r="R37" s="3112"/>
      <c r="S37" s="3147"/>
      <c r="T37" s="3065" t="s">
        <v>2326</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71"/>
      <c r="K38" s="3973"/>
      <c r="L38" s="3108"/>
      <c r="M38" s="3109"/>
      <c r="N38" s="3085"/>
      <c r="O38" s="3110"/>
      <c r="P38" s="3110"/>
      <c r="Q38" s="3111"/>
      <c r="R38" s="3112"/>
      <c r="S38" s="3147"/>
      <c r="T38" s="3065" t="s">
        <v>2333</v>
      </c>
      <c r="U38" s="3065"/>
      <c r="V38" s="3074"/>
    </row>
    <row r="39" spans="1:23" s="3078" customFormat="1" ht="13.15" customHeight="1">
      <c r="A39" s="3156">
        <v>9</v>
      </c>
      <c r="B39" s="3157" t="s">
        <v>2422</v>
      </c>
      <c r="C39" s="3122" t="e">
        <f>C38</f>
        <v>#DIV/0!</v>
      </c>
      <c r="D39" s="3157">
        <f>D38/(1+D34)^C36</f>
        <v>0</v>
      </c>
      <c r="E39" s="3157">
        <f>E38/(1+E34)^(C36+D36)</f>
        <v>0</v>
      </c>
      <c r="F39" s="3161"/>
      <c r="G39" s="3216"/>
      <c r="H39" s="3073"/>
      <c r="I39" s="3074"/>
      <c r="J39" s="3971"/>
      <c r="K39" s="3973"/>
      <c r="L39" s="3108"/>
      <c r="M39" s="3109"/>
      <c r="N39" s="3085"/>
      <c r="O39" s="3110"/>
      <c r="P39" s="3110"/>
      <c r="Q39" s="3111"/>
      <c r="R39" s="3112"/>
      <c r="S39" s="3147"/>
      <c r="T39" s="3065"/>
      <c r="U39" s="3065"/>
      <c r="V39" s="3074"/>
    </row>
    <row r="40" spans="1:23" s="3078" customFormat="1" ht="13.15" customHeight="1">
      <c r="A40" s="3217">
        <v>10</v>
      </c>
      <c r="B40" s="3157" t="s">
        <v>2423</v>
      </c>
      <c r="C40" s="3218" t="e">
        <f>C39+D39+E39</f>
        <v>#DIV/0!</v>
      </c>
      <c r="D40" s="3219"/>
      <c r="E40" s="3219"/>
      <c r="F40" s="3220"/>
      <c r="G40" s="3155"/>
      <c r="H40" s="3073"/>
      <c r="I40" s="3074"/>
      <c r="J40" s="3971"/>
      <c r="K40" s="3974"/>
      <c r="L40" s="3128" t="s">
        <v>2424</v>
      </c>
      <c r="M40" s="3129"/>
      <c r="N40" s="3129"/>
      <c r="O40" s="3130"/>
      <c r="P40" s="3130"/>
      <c r="Q40" s="3131"/>
      <c r="R40" s="3077">
        <f>SUM(R37:R39)</f>
        <v>0</v>
      </c>
      <c r="S40" s="3147"/>
      <c r="T40" s="3065"/>
      <c r="U40" s="3065"/>
      <c r="V40" s="3074"/>
    </row>
    <row r="41" spans="1:23" s="3078" customFormat="1" ht="13.15" customHeight="1" thickBot="1">
      <c r="A41" s="3221">
        <v>11</v>
      </c>
      <c r="B41" s="3222" t="s">
        <v>2425</v>
      </c>
      <c r="C41" s="3222" t="e">
        <f>ROUND(C40*10000/B4,0)</f>
        <v>#DIV/0!</v>
      </c>
      <c r="D41" s="3223"/>
      <c r="E41" s="3223"/>
      <c r="F41" s="3224"/>
      <c r="G41" s="3225"/>
      <c r="H41" s="3073"/>
      <c r="I41" s="3074"/>
      <c r="J41" s="3169">
        <v>2</v>
      </c>
      <c r="K41" s="3170" t="s">
        <v>2426</v>
      </c>
      <c r="L41" s="3171"/>
      <c r="M41" s="3171"/>
      <c r="N41" s="3171"/>
      <c r="O41" s="3171"/>
      <c r="P41" s="3172"/>
      <c r="Q41" s="3173"/>
      <c r="R41" s="3144">
        <f>ROUND(R40*Q41,0)</f>
        <v>0</v>
      </c>
      <c r="S41" s="3147"/>
      <c r="T41" s="3065"/>
      <c r="U41" s="3181"/>
      <c r="V41" s="3074"/>
    </row>
    <row r="42" spans="1:23" s="3078" customFormat="1" ht="13.15" customHeight="1">
      <c r="G42" s="3225"/>
      <c r="H42" s="3073"/>
      <c r="I42" s="3074"/>
      <c r="J42" s="3981">
        <v>3</v>
      </c>
      <c r="K42" s="3176" t="s">
        <v>2427</v>
      </c>
      <c r="L42" s="3177"/>
      <c r="M42" s="3178"/>
      <c r="N42" s="3179" t="s">
        <v>2428</v>
      </c>
      <c r="O42" s="3179" t="s">
        <v>2429</v>
      </c>
      <c r="P42" s="3180" t="s">
        <v>2430</v>
      </c>
      <c r="Q42" s="3180" t="s">
        <v>2431</v>
      </c>
      <c r="R42" s="3083" t="s">
        <v>2432</v>
      </c>
      <c r="S42" s="3181"/>
      <c r="T42" s="3181"/>
      <c r="U42" s="3065"/>
      <c r="V42" s="3074"/>
    </row>
    <row r="43" spans="1:23" ht="13.15" customHeight="1">
      <c r="A43" s="3078"/>
      <c r="B43" s="3078"/>
      <c r="C43" s="3078"/>
      <c r="D43" s="3078"/>
      <c r="E43" s="3078"/>
      <c r="F43" s="3078"/>
      <c r="I43" s="3060"/>
      <c r="J43" s="3982"/>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2433</v>
      </c>
      <c r="L44" s="3229" t="s">
        <v>2434</v>
      </c>
      <c r="M44" s="3192"/>
      <c r="N44" s="3229" t="s">
        <v>2435</v>
      </c>
      <c r="O44" s="3192"/>
      <c r="P44" s="3229" t="s">
        <v>2436</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147</v>
      </c>
      <c r="C2" s="3007"/>
      <c r="D2" s="3007"/>
      <c r="E2" s="3007"/>
      <c r="F2" s="3007"/>
      <c r="G2" s="3007"/>
    </row>
    <row r="3" spans="1:25" s="1782" customFormat="1" ht="18" customHeight="1">
      <c r="A3" s="1237" t="s">
        <v>1218</v>
      </c>
      <c r="B3" s="412">
        <f ca="1">ROUND(B2*10000/'数据-汇总表'!E3,0)</f>
        <v>54</v>
      </c>
      <c r="C3" s="3007"/>
      <c r="D3" s="3007"/>
      <c r="E3" s="3007"/>
      <c r="F3" s="3007"/>
      <c r="G3" s="3007"/>
    </row>
    <row r="4" spans="1:25" s="1782" customFormat="1" ht="18" customHeight="1">
      <c r="A4" s="413" t="s">
        <v>428</v>
      </c>
      <c r="B4" s="414">
        <f ca="1">ROUND(B2*10000/'数据-汇总表'!D3,0)</f>
        <v>85</v>
      </c>
      <c r="C4" s="2961"/>
      <c r="D4" s="3007"/>
      <c r="E4" s="3007"/>
      <c r="F4" s="3007"/>
      <c r="G4" s="3007"/>
    </row>
    <row r="5" spans="1:25" s="1782" customFormat="1" ht="18" customHeight="1" thickBot="1">
      <c r="A5" s="416"/>
      <c r="B5" s="417">
        <f ca="1">ROUND(B2/('数据-汇总表'!D3/666.67),0)</f>
        <v>6</v>
      </c>
      <c r="C5" s="418" t="s">
        <v>429</v>
      </c>
      <c r="D5" s="3007"/>
      <c r="E5" s="3007"/>
      <c r="F5" s="3007"/>
      <c r="G5" s="3007"/>
    </row>
    <row r="6" spans="1:25" s="1904" customFormat="1" ht="13.5" customHeight="1">
      <c r="A6" s="711"/>
      <c r="B6" s="712" t="s">
        <v>552</v>
      </c>
      <c r="C6" s="713" t="s">
        <v>553</v>
      </c>
      <c r="D6" s="713" t="s">
        <v>554</v>
      </c>
      <c r="E6" s="714" t="s">
        <v>555</v>
      </c>
      <c r="F6" s="714" t="s">
        <v>556</v>
      </c>
      <c r="G6" s="3006" t="s">
        <v>2280</v>
      </c>
    </row>
    <row r="7" spans="1:25" s="1904" customFormat="1" ht="13.5" customHeight="1">
      <c r="A7" s="2118">
        <v>1</v>
      </c>
      <c r="B7" s="715" t="s">
        <v>557</v>
      </c>
      <c r="C7" s="716">
        <f>C8+C9</f>
        <v>0</v>
      </c>
      <c r="D7" s="716"/>
      <c r="E7" s="717"/>
      <c r="F7" s="717"/>
      <c r="G7" s="2127"/>
    </row>
    <row r="8" spans="1:25" s="1904" customFormat="1" ht="13.5" customHeight="1">
      <c r="A8" s="2118" t="s">
        <v>1784</v>
      </c>
      <c r="B8" s="2121" t="s">
        <v>1786</v>
      </c>
      <c r="C8" s="3010">
        <f>ROUND(D8*E8/10000,0)</f>
        <v>0</v>
      </c>
      <c r="D8" s="3010">
        <v>0</v>
      </c>
      <c r="E8" s="3011">
        <v>0</v>
      </c>
      <c r="F8" s="717"/>
      <c r="G8" s="718"/>
    </row>
    <row r="9" spans="1:25" s="1904" customFormat="1" ht="13.5" customHeight="1">
      <c r="A9" s="2118" t="s">
        <v>1785</v>
      </c>
      <c r="B9" s="2121" t="s">
        <v>1787</v>
      </c>
      <c r="C9" s="3010">
        <f>ROUND(D9*E9/10000,0)</f>
        <v>0</v>
      </c>
      <c r="D9" s="3010">
        <v>0</v>
      </c>
      <c r="E9" s="3011">
        <v>0</v>
      </c>
      <c r="F9" s="717"/>
      <c r="G9" s="718"/>
    </row>
    <row r="10" spans="1:25" s="1904" customFormat="1" ht="36">
      <c r="A10" s="2118">
        <v>2</v>
      </c>
      <c r="B10" s="715" t="s">
        <v>561</v>
      </c>
      <c r="C10" s="716">
        <f>C11+C14+C15</f>
        <v>270</v>
      </c>
      <c r="D10" s="726"/>
      <c r="E10" s="716"/>
      <c r="F10" s="727"/>
      <c r="G10" s="725" t="s">
        <v>562</v>
      </c>
    </row>
    <row r="11" spans="1:25" s="1904" customFormat="1" ht="13.5" customHeight="1">
      <c r="A11" s="2118" t="s">
        <v>1784</v>
      </c>
      <c r="B11" s="719" t="s">
        <v>558</v>
      </c>
      <c r="C11" s="720">
        <f>'数据-取费表'!B29</f>
        <v>270</v>
      </c>
      <c r="D11" s="721"/>
      <c r="E11" s="720"/>
      <c r="F11" s="722"/>
      <c r="G11" s="2126" t="s">
        <v>1795</v>
      </c>
    </row>
    <row r="12" spans="1:25" s="1904" customFormat="1" ht="13.5" customHeight="1">
      <c r="A12" s="2124" t="s">
        <v>1792</v>
      </c>
      <c r="B12" s="723" t="s">
        <v>559</v>
      </c>
      <c r="C12" s="724">
        <f>ROUND(D12*E12/10000,0)</f>
        <v>0</v>
      </c>
      <c r="D12" s="3010">
        <f>'数据-汇总表'!E5</f>
        <v>0</v>
      </c>
      <c r="E12" s="3010">
        <f>'数据-取费表'!B27</f>
        <v>60</v>
      </c>
      <c r="F12" s="722"/>
      <c r="G12" s="725"/>
    </row>
    <row r="13" spans="1:25" s="1904" customFormat="1" ht="13.5" customHeight="1">
      <c r="A13" s="2124" t="s">
        <v>1791</v>
      </c>
      <c r="B13" s="723" t="s">
        <v>560</v>
      </c>
      <c r="C13" s="724">
        <f>ROUND(D13*E13/10000,0)</f>
        <v>270</v>
      </c>
      <c r="D13" s="3010">
        <f>'数据-汇总表'!E6</f>
        <v>27041.94</v>
      </c>
      <c r="E13" s="3010">
        <f>'数据-取费表'!B28</f>
        <v>100</v>
      </c>
      <c r="F13" s="722"/>
      <c r="G13" s="725"/>
    </row>
    <row r="14" spans="1:25" s="1904" customFormat="1" ht="13.5" customHeight="1">
      <c r="A14" s="2118" t="s">
        <v>1785</v>
      </c>
      <c r="B14" s="2123" t="s">
        <v>1788</v>
      </c>
      <c r="C14" s="3012">
        <f>ROUND(D14*E14/10000,0)</f>
        <v>0</v>
      </c>
      <c r="D14" s="3010">
        <v>0</v>
      </c>
      <c r="E14" s="3011">
        <v>0</v>
      </c>
      <c r="F14" s="2122"/>
      <c r="G14" s="2125" t="s">
        <v>1793</v>
      </c>
    </row>
    <row r="15" spans="1:25" s="1904" customFormat="1" ht="13.5" customHeight="1">
      <c r="A15" s="2118" t="s">
        <v>1790</v>
      </c>
      <c r="B15" s="2123" t="s">
        <v>1789</v>
      </c>
      <c r="C15" s="3012">
        <f>ROUND(D15*E15/10000,0)</f>
        <v>0</v>
      </c>
      <c r="D15" s="3010">
        <v>0</v>
      </c>
      <c r="E15" s="3011">
        <v>0</v>
      </c>
      <c r="F15" s="2122"/>
      <c r="G15" s="2125" t="s">
        <v>1794</v>
      </c>
    </row>
    <row r="16" spans="1:25" s="1905" customFormat="1" ht="48">
      <c r="A16" s="2118">
        <v>3</v>
      </c>
      <c r="B16" s="715" t="s">
        <v>563</v>
      </c>
      <c r="C16" s="3012">
        <f>ROUND(D16*E16/10000,0)</f>
        <v>0</v>
      </c>
      <c r="D16" s="3010">
        <v>0</v>
      </c>
      <c r="E16" s="3011">
        <v>0</v>
      </c>
      <c r="F16" s="727"/>
      <c r="G16" s="725" t="s">
        <v>1796</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270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270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147</v>
      </c>
      <c r="D22" s="726"/>
      <c r="E22" s="716"/>
      <c r="F22" s="732">
        <f>'数据-取费表'!AP16</f>
        <v>0.54500000000000004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147</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09" customFormat="1">
      <c r="A24" s="3008"/>
      <c r="D24" s="1724"/>
      <c r="E24" s="1724"/>
    </row>
    <row r="25" spans="1:25" s="3009" customFormat="1">
      <c r="A25" s="3008"/>
      <c r="D25" s="1724"/>
      <c r="E25" s="1724"/>
    </row>
    <row r="26" spans="1:25" s="3009" customFormat="1">
      <c r="A26" s="3008"/>
      <c r="D26" s="1724"/>
      <c r="E26" s="1724"/>
    </row>
    <row r="27" spans="1:25" s="3009" customFormat="1">
      <c r="A27" s="3008"/>
      <c r="D27" s="1724"/>
      <c r="E27" s="1724"/>
    </row>
    <row r="28" spans="1:25" s="3009" customFormat="1">
      <c r="A28" s="3008"/>
      <c r="D28" s="1724"/>
      <c r="E28" s="1724"/>
    </row>
    <row r="29" spans="1:25" s="3009" customFormat="1">
      <c r="A29" s="3008"/>
      <c r="D29" s="1724"/>
      <c r="E29" s="1724"/>
    </row>
    <row r="30" spans="1:25" s="3009" customFormat="1">
      <c r="A30" s="3008"/>
      <c r="D30" s="1724"/>
      <c r="E30" s="1724"/>
    </row>
    <row r="31" spans="1:25" s="3009" customFormat="1">
      <c r="A31" s="3008"/>
      <c r="D31" s="1724"/>
      <c r="E31" s="1724"/>
    </row>
    <row r="32" spans="1:25" s="3009" customFormat="1">
      <c r="A32" s="3008"/>
      <c r="D32" s="1724"/>
      <c r="E32" s="1724"/>
    </row>
    <row r="33" spans="1:5" s="3009" customFormat="1">
      <c r="A33" s="3008"/>
      <c r="D33" s="1724"/>
      <c r="E33" s="1724"/>
    </row>
    <row r="34" spans="1:5" s="3009" customFormat="1">
      <c r="A34" s="3008"/>
      <c r="D34" s="1724"/>
      <c r="E34" s="1724"/>
    </row>
    <row r="35" spans="1:5" s="3009" customFormat="1">
      <c r="A35" s="3008"/>
      <c r="D35" s="1724"/>
      <c r="E35" s="1724"/>
    </row>
    <row r="36" spans="1:5" s="3009" customFormat="1">
      <c r="A36" s="3008"/>
      <c r="D36" s="1724"/>
      <c r="E36" s="1724"/>
    </row>
    <row r="37" spans="1:5" s="3009" customFormat="1">
      <c r="A37" s="3008"/>
      <c r="D37" s="1724"/>
      <c r="E37" s="1724"/>
    </row>
    <row r="38" spans="1:5" s="3009" customFormat="1">
      <c r="A38" s="3008"/>
      <c r="D38" s="1724"/>
      <c r="E38" s="1724"/>
    </row>
    <row r="39" spans="1:5" s="3009" customFormat="1">
      <c r="A39" s="3008"/>
      <c r="D39" s="1724"/>
      <c r="E39" s="1724"/>
    </row>
    <row r="40" spans="1:5" s="3009" customFormat="1">
      <c r="A40" s="3008"/>
      <c r="D40" s="1724"/>
      <c r="E40" s="1724"/>
    </row>
    <row r="41" spans="1:5" s="3009" customFormat="1">
      <c r="A41" s="3008"/>
      <c r="D41" s="1724"/>
      <c r="E41" s="1724"/>
    </row>
    <row r="42" spans="1:5" s="3009" customFormat="1">
      <c r="A42" s="3008"/>
      <c r="D42" s="1724"/>
      <c r="E42" s="1724"/>
    </row>
    <row r="43" spans="1:5" s="3009" customFormat="1">
      <c r="A43" s="3008"/>
      <c r="D43" s="1724"/>
      <c r="E43" s="1724"/>
    </row>
    <row r="44" spans="1:5" s="3009" customFormat="1">
      <c r="A44" s="3008"/>
      <c r="D44" s="1724"/>
      <c r="E44" s="1724"/>
    </row>
    <row r="45" spans="1:5" s="3009" customFormat="1">
      <c r="A45" s="3008"/>
      <c r="D45" s="1724"/>
      <c r="E45" s="1724"/>
    </row>
    <row r="46" spans="1:5" s="3009" customFormat="1">
      <c r="A46" s="3008"/>
      <c r="D46" s="1724"/>
      <c r="E46" s="1724"/>
    </row>
    <row r="47" spans="1:5" s="3009" customFormat="1">
      <c r="A47" s="3008"/>
      <c r="D47" s="1724"/>
      <c r="E47" s="1724"/>
    </row>
    <row r="48" spans="1:5" s="3009" customFormat="1">
      <c r="A48" s="3008"/>
      <c r="D48" s="1724"/>
      <c r="E48" s="1724"/>
    </row>
    <row r="49" spans="1:5" s="3009" customFormat="1">
      <c r="A49" s="3008"/>
      <c r="D49" s="1724"/>
      <c r="E49" s="1724"/>
    </row>
    <row r="50" spans="1:5" s="3009" customFormat="1">
      <c r="A50" s="3008"/>
      <c r="D50" s="1724"/>
      <c r="E50" s="1724"/>
    </row>
    <row r="51" spans="1:5" s="3009" customFormat="1">
      <c r="A51" s="3008"/>
      <c r="D51" s="1724"/>
      <c r="E51" s="1724"/>
    </row>
    <row r="52" spans="1:5" s="3009" customFormat="1">
      <c r="A52" s="3008"/>
      <c r="D52" s="1724"/>
      <c r="E52" s="1724"/>
    </row>
    <row r="53" spans="1:5" s="3009" customFormat="1">
      <c r="A53" s="3008"/>
      <c r="D53" s="1724"/>
      <c r="E53" s="1724"/>
    </row>
    <row r="54" spans="1:5" s="3009" customFormat="1">
      <c r="A54" s="3008"/>
      <c r="D54" s="1724"/>
      <c r="E54" s="1724"/>
    </row>
    <row r="55" spans="1:5" s="3009" customFormat="1">
      <c r="A55" s="3008"/>
      <c r="D55" s="1724"/>
      <c r="E55" s="1724"/>
    </row>
    <row r="56" spans="1:5" s="3009" customFormat="1">
      <c r="A56" s="3008"/>
      <c r="D56" s="1724"/>
      <c r="E56" s="1724"/>
    </row>
    <row r="57" spans="1:5" s="3009" customFormat="1">
      <c r="A57" s="3008"/>
      <c r="D57" s="1724"/>
      <c r="E57" s="1724"/>
    </row>
    <row r="58" spans="1:5" s="3009" customFormat="1">
      <c r="A58" s="3008"/>
      <c r="D58" s="1724"/>
      <c r="E58" s="1724"/>
    </row>
    <row r="59" spans="1:5" s="3009" customFormat="1">
      <c r="A59" s="3008"/>
      <c r="D59" s="1724"/>
      <c r="E59" s="1724"/>
    </row>
    <row r="60" spans="1:5" s="3009" customFormat="1">
      <c r="A60" s="3008"/>
      <c r="D60" s="1724"/>
      <c r="E60" s="1724"/>
    </row>
    <row r="61" spans="1:5" s="3009" customFormat="1">
      <c r="A61" s="3008"/>
      <c r="D61" s="1724"/>
      <c r="E61" s="1724"/>
    </row>
    <row r="62" spans="1:5" s="3009" customFormat="1">
      <c r="A62" s="3008"/>
      <c r="D62" s="1724"/>
      <c r="E62" s="1724"/>
    </row>
    <row r="63" spans="1:5" s="3009" customFormat="1">
      <c r="A63" s="3008"/>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0"/>
      <c r="M1" s="2951"/>
      <c r="N1" s="2951"/>
      <c r="O1" s="2951"/>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884" t="s">
        <v>471</v>
      </c>
      <c r="D4" s="3885"/>
      <c r="E4" s="3886" t="s">
        <v>472</v>
      </c>
      <c r="F4" s="3887"/>
      <c r="G4" s="3884" t="s">
        <v>473</v>
      </c>
      <c r="H4" s="3885"/>
      <c r="I4" s="3884" t="s">
        <v>474</v>
      </c>
      <c r="J4" s="3885"/>
      <c r="K4" s="818" t="s">
        <v>475</v>
      </c>
      <c r="L4" s="1855"/>
      <c r="M4" s="1856"/>
      <c r="N4" s="1856"/>
      <c r="O4" s="1856"/>
      <c r="P4" s="3888" t="s">
        <v>476</v>
      </c>
      <c r="Q4" s="3889"/>
      <c r="R4" s="3870" t="s">
        <v>472</v>
      </c>
      <c r="S4" s="3871"/>
      <c r="T4" s="3870" t="s">
        <v>473</v>
      </c>
      <c r="U4" s="3871"/>
      <c r="V4" s="3896" t="s">
        <v>474</v>
      </c>
      <c r="W4" s="3896"/>
      <c r="X4" s="1380"/>
      <c r="Y4" s="3870" t="s">
        <v>476</v>
      </c>
      <c r="Z4" s="3871"/>
      <c r="AA4" s="3881" t="s">
        <v>472</v>
      </c>
      <c r="AB4" s="3881" t="s">
        <v>473</v>
      </c>
      <c r="AC4" s="3881" t="s">
        <v>474</v>
      </c>
    </row>
    <row r="5" spans="1:29" ht="15">
      <c r="A5" s="485"/>
      <c r="B5" s="486"/>
      <c r="C5" s="3874" t="s">
        <v>2187</v>
      </c>
      <c r="D5" s="3875"/>
      <c r="E5" s="3897" t="s">
        <v>2188</v>
      </c>
      <c r="F5" s="3898"/>
      <c r="G5" s="3874" t="s">
        <v>2189</v>
      </c>
      <c r="H5" s="3875"/>
      <c r="I5" s="3874" t="s">
        <v>2190</v>
      </c>
      <c r="J5" s="3875"/>
      <c r="K5" s="819"/>
      <c r="L5" s="1855"/>
      <c r="M5" s="1856"/>
      <c r="N5" s="1856"/>
      <c r="O5" s="1856"/>
      <c r="P5" s="3890"/>
      <c r="Q5" s="3891"/>
      <c r="R5" s="3872"/>
      <c r="S5" s="3873"/>
      <c r="T5" s="3872"/>
      <c r="U5" s="3873"/>
      <c r="V5" s="3896"/>
      <c r="W5" s="3896"/>
      <c r="X5" s="1380"/>
      <c r="Y5" s="3872"/>
      <c r="Z5" s="3873"/>
      <c r="AA5" s="3882"/>
      <c r="AB5" s="3882"/>
      <c r="AC5" s="3882"/>
    </row>
    <row r="6" spans="1:29" ht="15.75" thickBot="1">
      <c r="A6" s="487"/>
      <c r="B6" s="488"/>
      <c r="C6" s="3876" t="s">
        <v>2191</v>
      </c>
      <c r="D6" s="3877"/>
      <c r="E6" s="3879" t="s">
        <v>2191</v>
      </c>
      <c r="F6" s="3880"/>
      <c r="G6" s="3876" t="s">
        <v>2191</v>
      </c>
      <c r="H6" s="3877"/>
      <c r="I6" s="3876" t="s">
        <v>2191</v>
      </c>
      <c r="J6" s="3877"/>
      <c r="K6" s="819" t="s">
        <v>477</v>
      </c>
      <c r="L6" s="1855"/>
      <c r="M6" s="1856"/>
      <c r="N6" s="1856"/>
      <c r="O6" s="1856"/>
      <c r="P6" s="3892"/>
      <c r="Q6" s="3893"/>
      <c r="R6" s="3872"/>
      <c r="S6" s="3873"/>
      <c r="T6" s="3894"/>
      <c r="U6" s="3895"/>
      <c r="V6" s="3896"/>
      <c r="W6" s="3896"/>
      <c r="X6" s="1380"/>
      <c r="Y6" s="3894"/>
      <c r="Z6" s="3895"/>
      <c r="AA6" s="3883"/>
      <c r="AB6" s="3883"/>
      <c r="AC6" s="3883"/>
    </row>
    <row r="7" spans="1:29" s="1118" customFormat="1" ht="15.75" thickBot="1">
      <c r="A7" s="2391"/>
      <c r="B7" s="2398" t="s">
        <v>478</v>
      </c>
      <c r="C7" s="489">
        <f>'数据-取费表'!B2</f>
        <v>45040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68" t="s">
        <v>479</v>
      </c>
      <c r="Q7" s="3878"/>
      <c r="R7" s="1381" t="s">
        <v>10</v>
      </c>
      <c r="S7" s="1382">
        <f t="shared" ref="S7:S15" si="0">F7</f>
        <v>0</v>
      </c>
      <c r="T7" s="1381" t="s">
        <v>10</v>
      </c>
      <c r="U7" s="1382">
        <f t="shared" ref="U7:U15" si="1">H7</f>
        <v>0</v>
      </c>
      <c r="V7" s="1381" t="s">
        <v>10</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68" t="s">
        <v>482</v>
      </c>
      <c r="Q8" s="3869"/>
      <c r="R8" s="1381" t="s">
        <v>10</v>
      </c>
      <c r="S8" s="1382">
        <f t="shared" si="0"/>
        <v>0</v>
      </c>
      <c r="T8" s="1381" t="s">
        <v>10</v>
      </c>
      <c r="U8" s="1382">
        <f t="shared" si="1"/>
        <v>0</v>
      </c>
      <c r="V8" s="1381" t="s">
        <v>10</v>
      </c>
      <c r="W8" s="1382">
        <f t="shared" si="2"/>
        <v>0</v>
      </c>
      <c r="X8" s="1383"/>
      <c r="Y8" s="3868" t="s">
        <v>482</v>
      </c>
      <c r="Z8" s="3869"/>
      <c r="AA8" s="1384" t="e">
        <f t="shared" ref="AA8:AA46" si="3">D8/F8</f>
        <v>#DIV/0!</v>
      </c>
      <c r="AB8" s="1384" t="e">
        <f t="shared" ref="AB8:AB46" si="4">D8/H8</f>
        <v>#DIV/0!</v>
      </c>
      <c r="AC8" s="1384" t="e">
        <f t="shared" ref="AC8:AC46" si="5">D8/J8</f>
        <v>#DIV/0!</v>
      </c>
    </row>
    <row r="9" spans="1:29" s="1118" customFormat="1" ht="15">
      <c r="A9" s="2393"/>
      <c r="B9" s="2400" t="s">
        <v>2036</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3"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8"/>
      <c r="F10" s="826">
        <f>SUMIF(65:65,E10,66:66)-SUMIF(65:65,C10,66:66)+100</f>
        <v>100</v>
      </c>
      <c r="G10" s="3657"/>
      <c r="H10" s="246">
        <f>SUMIF(65:65,G10,66:66)-SUMIF(65:65,C10,66:66)+100</f>
        <v>100</v>
      </c>
      <c r="I10" s="3657"/>
      <c r="J10" s="246">
        <f>SUMIF(65:65,I10,66:66)-SUMIF(65:65,C10,66:66)+100</f>
        <v>100</v>
      </c>
      <c r="K10" s="820"/>
      <c r="L10" s="1860"/>
      <c r="M10" s="1899"/>
      <c r="N10" s="1899"/>
      <c r="O10" s="1861"/>
      <c r="P10" s="3903"/>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5"/>
      <c r="B11" s="2399"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3"/>
      <c r="Q11" s="1050" t="str">
        <f t="shared" si="6"/>
        <v>容积率</v>
      </c>
      <c r="R11" s="1381" t="s">
        <v>8</v>
      </c>
      <c r="S11" s="1382" t="e">
        <f t="shared" si="0"/>
        <v>#N/A</v>
      </c>
      <c r="T11" s="1381" t="s">
        <v>8</v>
      </c>
      <c r="U11" s="1382" t="e">
        <f t="shared" si="1"/>
        <v>#N/A</v>
      </c>
      <c r="V11" s="1381" t="s">
        <v>8</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3"/>
      <c r="Q12" s="1050">
        <f t="shared" si="6"/>
        <v>111</v>
      </c>
      <c r="R12" s="1381" t="s">
        <v>8</v>
      </c>
      <c r="S12" s="1382">
        <f t="shared" si="0"/>
        <v>100</v>
      </c>
      <c r="T12" s="1381" t="s">
        <v>8</v>
      </c>
      <c r="U12" s="1382">
        <f t="shared" si="1"/>
        <v>100</v>
      </c>
      <c r="V12" s="1381" t="s">
        <v>8</v>
      </c>
      <c r="W12" s="1382">
        <f t="shared" si="2"/>
        <v>100</v>
      </c>
      <c r="X12" s="1383"/>
      <c r="Y12" s="3802"/>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3"/>
      <c r="Q13" s="1050">
        <f t="shared" si="6"/>
        <v>111</v>
      </c>
      <c r="R13" s="1381" t="s">
        <v>8</v>
      </c>
      <c r="S13" s="1382">
        <f t="shared" si="0"/>
        <v>100</v>
      </c>
      <c r="T13" s="1381" t="s">
        <v>8</v>
      </c>
      <c r="U13" s="1382">
        <f t="shared" si="1"/>
        <v>100</v>
      </c>
      <c r="V13" s="1381" t="s">
        <v>8</v>
      </c>
      <c r="W13" s="1382">
        <f t="shared" si="2"/>
        <v>100</v>
      </c>
      <c r="X13" s="1383"/>
      <c r="Y13" s="3802"/>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3"/>
      <c r="Q14" s="1050">
        <f t="shared" si="6"/>
        <v>111</v>
      </c>
      <c r="R14" s="1381" t="s">
        <v>8</v>
      </c>
      <c r="S14" s="1382">
        <f t="shared" si="0"/>
        <v>100</v>
      </c>
      <c r="T14" s="1381" t="s">
        <v>8</v>
      </c>
      <c r="U14" s="1382">
        <f t="shared" si="1"/>
        <v>100</v>
      </c>
      <c r="V14" s="1381" t="s">
        <v>8</v>
      </c>
      <c r="W14" s="1382">
        <f t="shared" si="2"/>
        <v>100</v>
      </c>
      <c r="X14" s="1383"/>
      <c r="Y14" s="3802"/>
      <c r="Z14" s="1049">
        <f t="shared" si="7"/>
        <v>111</v>
      </c>
      <c r="AA14" s="1384">
        <f t="shared" si="3"/>
        <v>1</v>
      </c>
      <c r="AB14" s="1384">
        <f t="shared" si="4"/>
        <v>1</v>
      </c>
      <c r="AC14" s="1384">
        <f t="shared" si="5"/>
        <v>1</v>
      </c>
    </row>
    <row r="15" spans="1:29" ht="99.75">
      <c r="A15" s="2389" t="s">
        <v>2034</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99" t="s">
        <v>489</v>
      </c>
      <c r="Q15" s="1385" t="str">
        <f t="shared" si="6"/>
        <v>居住社区成熟度</v>
      </c>
      <c r="R15" s="1386" t="s">
        <v>8</v>
      </c>
      <c r="S15" s="1387">
        <f t="shared" si="0"/>
        <v>100</v>
      </c>
      <c r="T15" s="1386" t="s">
        <v>8</v>
      </c>
      <c r="U15" s="1387">
        <f t="shared" si="1"/>
        <v>100</v>
      </c>
      <c r="V15" s="1386" t="s">
        <v>8</v>
      </c>
      <c r="W15" s="1387">
        <f t="shared" si="2"/>
        <v>100</v>
      </c>
      <c r="X15" s="1380"/>
      <c r="Y15" s="389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00"/>
      <c r="Q16" s="1385"/>
      <c r="R16" s="1386"/>
      <c r="S16" s="1387"/>
      <c r="T16" s="1386"/>
      <c r="U16" s="1387"/>
      <c r="V16" s="1386"/>
      <c r="W16" s="1387"/>
      <c r="X16" s="1380"/>
      <c r="Y16" s="390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00"/>
      <c r="Q17" s="1385" t="str">
        <f>B17</f>
        <v>交通便捷度</v>
      </c>
      <c r="R17" s="1386" t="s">
        <v>8</v>
      </c>
      <c r="S17" s="1387">
        <f>F17</f>
        <v>100</v>
      </c>
      <c r="T17" s="1386" t="s">
        <v>8</v>
      </c>
      <c r="U17" s="1387">
        <f>H17</f>
        <v>100</v>
      </c>
      <c r="V17" s="1386" t="s">
        <v>8</v>
      </c>
      <c r="W17" s="1387">
        <f>J17</f>
        <v>100</v>
      </c>
      <c r="X17" s="1380"/>
      <c r="Y17" s="390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00"/>
      <c r="Q18" s="1385"/>
      <c r="R18" s="1386"/>
      <c r="S18" s="1387"/>
      <c r="T18" s="1386"/>
      <c r="U18" s="1387"/>
      <c r="V18" s="1386"/>
      <c r="W18" s="1387"/>
      <c r="X18" s="1380"/>
      <c r="Y18" s="3900"/>
      <c r="Z18" s="1388"/>
      <c r="AA18" s="1389">
        <v>1</v>
      </c>
      <c r="AB18" s="1389">
        <v>1</v>
      </c>
      <c r="AC18" s="1389">
        <v>1</v>
      </c>
    </row>
    <row r="19" spans="1:29" ht="42.75">
      <c r="A19" s="502"/>
      <c r="B19" s="2207" t="s">
        <v>1827</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00"/>
      <c r="Q19" s="1385" t="str">
        <f>B19</f>
        <v>公共配套设施</v>
      </c>
      <c r="R19" s="1386" t="s">
        <v>8</v>
      </c>
      <c r="S19" s="1387">
        <f>F19</f>
        <v>100</v>
      </c>
      <c r="T19" s="1386" t="s">
        <v>8</v>
      </c>
      <c r="U19" s="1387">
        <f>H19</f>
        <v>100</v>
      </c>
      <c r="V19" s="1386" t="s">
        <v>8</v>
      </c>
      <c r="W19" s="1387">
        <f>J19</f>
        <v>100</v>
      </c>
      <c r="X19" s="1380"/>
      <c r="Y19" s="390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00"/>
      <c r="Q20" s="1385"/>
      <c r="R20" s="1386"/>
      <c r="S20" s="1387"/>
      <c r="T20" s="1386"/>
      <c r="U20" s="1387"/>
      <c r="V20" s="1386"/>
      <c r="W20" s="1387"/>
      <c r="X20" s="1380"/>
      <c r="Y20" s="3900"/>
      <c r="Z20" s="1388"/>
      <c r="AA20" s="1389">
        <v>1</v>
      </c>
      <c r="AB20" s="1389">
        <v>1</v>
      </c>
      <c r="AC20" s="1389">
        <v>1</v>
      </c>
    </row>
    <row r="21" spans="1:29" ht="28.5">
      <c r="A21" s="502"/>
      <c r="B21" s="2200" t="s">
        <v>1839</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00"/>
      <c r="Q21" s="2192" t="str">
        <f>B21</f>
        <v>基础设施水平</v>
      </c>
      <c r="R21" s="1386" t="s">
        <v>8</v>
      </c>
      <c r="S21" s="1387">
        <f>F21</f>
        <v>100</v>
      </c>
      <c r="T21" s="1386" t="s">
        <v>8</v>
      </c>
      <c r="U21" s="1387">
        <f>H21</f>
        <v>100</v>
      </c>
      <c r="V21" s="1386" t="s">
        <v>8</v>
      </c>
      <c r="W21" s="1387">
        <f>J21</f>
        <v>100</v>
      </c>
      <c r="X21" s="2194"/>
      <c r="Y21" s="3900"/>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00"/>
      <c r="Q22" s="2192"/>
      <c r="R22" s="1386"/>
      <c r="S22" s="1387"/>
      <c r="T22" s="1386"/>
      <c r="U22" s="1387"/>
      <c r="V22" s="1386"/>
      <c r="W22" s="1387"/>
      <c r="X22" s="2194"/>
      <c r="Y22" s="3900"/>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00"/>
      <c r="Q23" s="1385" t="str">
        <f>B23</f>
        <v>自然及人文环境</v>
      </c>
      <c r="R23" s="1386" t="s">
        <v>8</v>
      </c>
      <c r="S23" s="1387">
        <f>F23</f>
        <v>100</v>
      </c>
      <c r="T23" s="1386" t="s">
        <v>8</v>
      </c>
      <c r="U23" s="1387">
        <f>H23</f>
        <v>100</v>
      </c>
      <c r="V23" s="1386" t="s">
        <v>8</v>
      </c>
      <c r="W23" s="1387">
        <f>J23</f>
        <v>100</v>
      </c>
      <c r="X23" s="1380"/>
      <c r="Y23" s="390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00"/>
      <c r="Q24" s="1385"/>
      <c r="R24" s="1386"/>
      <c r="S24" s="1387"/>
      <c r="T24" s="1386"/>
      <c r="U24" s="1387"/>
      <c r="V24" s="1386"/>
      <c r="W24" s="1387"/>
      <c r="X24" s="1380"/>
      <c r="Y24" s="3900"/>
      <c r="Z24" s="1388"/>
      <c r="AA24" s="1389">
        <v>1</v>
      </c>
      <c r="AB24" s="1389">
        <v>1</v>
      </c>
      <c r="AC24" s="1389">
        <v>1</v>
      </c>
    </row>
    <row r="25" spans="1:29" ht="15">
      <c r="A25" s="502"/>
      <c r="B25" s="1650" t="s">
        <v>1613</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00"/>
      <c r="Q25" s="1385" t="str">
        <f t="shared" ref="Q25:Q46" si="8">B25</f>
        <v>楼层-1</v>
      </c>
      <c r="R25" s="1386" t="s">
        <v>8</v>
      </c>
      <c r="S25" s="1387">
        <f>F25</f>
        <v>100</v>
      </c>
      <c r="T25" s="1386" t="s">
        <v>8</v>
      </c>
      <c r="U25" s="1387">
        <f>H25</f>
        <v>100</v>
      </c>
      <c r="V25" s="1386" t="s">
        <v>8</v>
      </c>
      <c r="W25" s="1387">
        <f>J25</f>
        <v>100</v>
      </c>
      <c r="X25" s="1380"/>
      <c r="Y25" s="390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00"/>
      <c r="Q26" s="1385" t="str">
        <f t="shared" si="8"/>
        <v>朝向</v>
      </c>
      <c r="R26" s="1386" t="s">
        <v>8</v>
      </c>
      <c r="S26" s="1387">
        <f>F26</f>
        <v>100</v>
      </c>
      <c r="T26" s="1386" t="s">
        <v>8</v>
      </c>
      <c r="U26" s="1387">
        <f>H26</f>
        <v>100</v>
      </c>
      <c r="V26" s="1386" t="s">
        <v>8</v>
      </c>
      <c r="W26" s="1387">
        <f>J26</f>
        <v>100</v>
      </c>
      <c r="X26" s="1380"/>
      <c r="Y26" s="390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00"/>
      <c r="Q27" s="1050" t="str">
        <f t="shared" si="8"/>
        <v>道路级别</v>
      </c>
      <c r="R27" s="1381" t="s">
        <v>8</v>
      </c>
      <c r="S27" s="1382">
        <f>F27</f>
        <v>100</v>
      </c>
      <c r="T27" s="1381" t="s">
        <v>8</v>
      </c>
      <c r="U27" s="1382">
        <f>H27</f>
        <v>100</v>
      </c>
      <c r="V27" s="1381" t="s">
        <v>8</v>
      </c>
      <c r="W27" s="1382">
        <f>J27</f>
        <v>100</v>
      </c>
      <c r="X27" s="1383"/>
      <c r="Y27" s="390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00"/>
      <c r="Q28" s="1385">
        <f t="shared" si="8"/>
        <v>111</v>
      </c>
      <c r="R28" s="1386" t="s">
        <v>8</v>
      </c>
      <c r="S28" s="1387">
        <f t="shared" ref="S28:S46" si="9">F28</f>
        <v>100</v>
      </c>
      <c r="T28" s="1386" t="s">
        <v>8</v>
      </c>
      <c r="U28" s="1387">
        <f t="shared" ref="U28:U46" si="10">H28</f>
        <v>100</v>
      </c>
      <c r="V28" s="1386" t="s">
        <v>8</v>
      </c>
      <c r="W28" s="1387">
        <f t="shared" ref="W28:W46" si="11">J28</f>
        <v>100</v>
      </c>
      <c r="X28" s="1380"/>
      <c r="Y28" s="390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00"/>
      <c r="Q29" s="1385">
        <f t="shared" si="8"/>
        <v>111</v>
      </c>
      <c r="R29" s="1386" t="s">
        <v>8</v>
      </c>
      <c r="S29" s="1387">
        <f t="shared" si="9"/>
        <v>100</v>
      </c>
      <c r="T29" s="1386" t="s">
        <v>8</v>
      </c>
      <c r="U29" s="1387">
        <f t="shared" si="10"/>
        <v>100</v>
      </c>
      <c r="V29" s="1386" t="s">
        <v>8</v>
      </c>
      <c r="W29" s="1387">
        <f t="shared" si="11"/>
        <v>100</v>
      </c>
      <c r="X29" s="1380"/>
      <c r="Y29" s="390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00"/>
      <c r="Q30" s="1385">
        <f t="shared" si="8"/>
        <v>111</v>
      </c>
      <c r="R30" s="1386" t="s">
        <v>8</v>
      </c>
      <c r="S30" s="1387">
        <f t="shared" si="9"/>
        <v>100</v>
      </c>
      <c r="T30" s="1386" t="s">
        <v>8</v>
      </c>
      <c r="U30" s="1387">
        <f t="shared" si="10"/>
        <v>100</v>
      </c>
      <c r="V30" s="1386" t="s">
        <v>8</v>
      </c>
      <c r="W30" s="1387">
        <f t="shared" si="11"/>
        <v>100</v>
      </c>
      <c r="X30" s="1380"/>
      <c r="Y30" s="390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00"/>
      <c r="Q31" s="1385">
        <f t="shared" si="8"/>
        <v>111</v>
      </c>
      <c r="R31" s="1386" t="s">
        <v>8</v>
      </c>
      <c r="S31" s="1387">
        <f t="shared" si="9"/>
        <v>100</v>
      </c>
      <c r="T31" s="1386" t="s">
        <v>8</v>
      </c>
      <c r="U31" s="1387">
        <f t="shared" si="10"/>
        <v>100</v>
      </c>
      <c r="V31" s="1386" t="s">
        <v>8</v>
      </c>
      <c r="W31" s="1387">
        <f t="shared" si="11"/>
        <v>100</v>
      </c>
      <c r="X31" s="1380"/>
      <c r="Y31" s="3900"/>
      <c r="Z31" s="1388">
        <f t="shared" si="12"/>
        <v>111</v>
      </c>
      <c r="AA31" s="1389">
        <f t="shared" si="3"/>
        <v>1</v>
      </c>
      <c r="AB31" s="1389">
        <f t="shared" si="4"/>
        <v>1</v>
      </c>
      <c r="AC31" s="1389">
        <f t="shared" si="5"/>
        <v>1</v>
      </c>
    </row>
    <row r="32" spans="1:29" ht="15">
      <c r="A32" s="2386"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01" t="s">
        <v>499</v>
      </c>
      <c r="Q32" s="1385" t="str">
        <f t="shared" si="8"/>
        <v>建筑类型</v>
      </c>
      <c r="R32" s="1386" t="s">
        <v>8</v>
      </c>
      <c r="S32" s="1387">
        <f t="shared" si="9"/>
        <v>100</v>
      </c>
      <c r="T32" s="1386" t="s">
        <v>8</v>
      </c>
      <c r="U32" s="1387">
        <f t="shared" si="10"/>
        <v>100</v>
      </c>
      <c r="V32" s="1386" t="s">
        <v>8</v>
      </c>
      <c r="W32" s="1387">
        <f t="shared" si="11"/>
        <v>100</v>
      </c>
      <c r="X32" s="1380"/>
      <c r="Y32" s="390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02"/>
      <c r="Q33" s="1414" t="str">
        <f t="shared" si="8"/>
        <v>项目建筑规模</v>
      </c>
      <c r="R33" s="1390" t="s">
        <v>8</v>
      </c>
      <c r="S33" s="1391" t="e">
        <f t="shared" si="9"/>
        <v>#N/A</v>
      </c>
      <c r="T33" s="1390" t="s">
        <v>8</v>
      </c>
      <c r="U33" s="1391" t="e">
        <f t="shared" si="10"/>
        <v>#N/A</v>
      </c>
      <c r="V33" s="1390" t="s">
        <v>8</v>
      </c>
      <c r="W33" s="1391" t="e">
        <f t="shared" si="11"/>
        <v>#N/A</v>
      </c>
      <c r="X33" s="1392"/>
      <c r="Y33" s="390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02"/>
      <c r="Q34" s="1385" t="str">
        <f t="shared" si="8"/>
        <v>建筑结构</v>
      </c>
      <c r="R34" s="1386" t="s">
        <v>8</v>
      </c>
      <c r="S34" s="1387">
        <f t="shared" si="9"/>
        <v>100</v>
      </c>
      <c r="T34" s="1386" t="s">
        <v>8</v>
      </c>
      <c r="U34" s="1387">
        <f t="shared" si="10"/>
        <v>100</v>
      </c>
      <c r="V34" s="1386" t="s">
        <v>8</v>
      </c>
      <c r="W34" s="1387">
        <f t="shared" si="11"/>
        <v>100</v>
      </c>
      <c r="X34" s="1380"/>
      <c r="Y34" s="390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02"/>
      <c r="Q35" s="1385" t="str">
        <f t="shared" si="8"/>
        <v>建筑品质</v>
      </c>
      <c r="R35" s="1386" t="s">
        <v>8</v>
      </c>
      <c r="S35" s="1387">
        <f t="shared" si="9"/>
        <v>100</v>
      </c>
      <c r="T35" s="1386" t="s">
        <v>8</v>
      </c>
      <c r="U35" s="1387">
        <f t="shared" si="10"/>
        <v>100</v>
      </c>
      <c r="V35" s="1386" t="s">
        <v>8</v>
      </c>
      <c r="W35" s="1387">
        <f t="shared" si="11"/>
        <v>100</v>
      </c>
      <c r="X35" s="1380"/>
      <c r="Y35" s="390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02"/>
      <c r="Q36" s="1385" t="str">
        <f t="shared" si="8"/>
        <v>公共部分装修</v>
      </c>
      <c r="R36" s="1386" t="s">
        <v>8</v>
      </c>
      <c r="S36" s="1387">
        <f t="shared" si="9"/>
        <v>100</v>
      </c>
      <c r="T36" s="1386" t="s">
        <v>8</v>
      </c>
      <c r="U36" s="1387">
        <f t="shared" si="10"/>
        <v>100</v>
      </c>
      <c r="V36" s="1386" t="s">
        <v>8</v>
      </c>
      <c r="W36" s="1387">
        <f t="shared" si="11"/>
        <v>100</v>
      </c>
      <c r="X36" s="1380"/>
      <c r="Y36" s="390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02"/>
      <c r="Q37" s="1050" t="str">
        <f t="shared" si="8"/>
        <v>成新度</v>
      </c>
      <c r="R37" s="1381" t="s">
        <v>8</v>
      </c>
      <c r="S37" s="1382" t="e">
        <f t="shared" si="9"/>
        <v>#N/A</v>
      </c>
      <c r="T37" s="1381" t="s">
        <v>8</v>
      </c>
      <c r="U37" s="1382" t="e">
        <f t="shared" si="10"/>
        <v>#N/A</v>
      </c>
      <c r="V37" s="1381" t="s">
        <v>8</v>
      </c>
      <c r="W37" s="1382" t="e">
        <f t="shared" si="11"/>
        <v>#N/A</v>
      </c>
      <c r="X37" s="1383"/>
      <c r="Y37" s="390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02" t="s">
        <v>499</v>
      </c>
      <c r="Q38" s="1385" t="str">
        <f t="shared" si="8"/>
        <v>物业管理</v>
      </c>
      <c r="R38" s="1386" t="s">
        <v>8</v>
      </c>
      <c r="S38" s="1387">
        <f t="shared" si="9"/>
        <v>100</v>
      </c>
      <c r="T38" s="1386" t="s">
        <v>8</v>
      </c>
      <c r="U38" s="1387">
        <f t="shared" si="10"/>
        <v>100</v>
      </c>
      <c r="V38" s="1386" t="s">
        <v>8</v>
      </c>
      <c r="W38" s="1387">
        <f t="shared" si="11"/>
        <v>100</v>
      </c>
      <c r="X38" s="1380"/>
      <c r="Y38" s="3902" t="s">
        <v>499</v>
      </c>
      <c r="Z38" s="1388" t="str">
        <f t="shared" si="12"/>
        <v>物业管理</v>
      </c>
      <c r="AA38" s="1389">
        <f t="shared" si="3"/>
        <v>1</v>
      </c>
      <c r="AB38" s="1389">
        <f t="shared" si="4"/>
        <v>1</v>
      </c>
      <c r="AC38" s="1389">
        <f t="shared" si="5"/>
        <v>1</v>
      </c>
    </row>
    <row r="39" spans="1:29" ht="15">
      <c r="A39" s="564"/>
      <c r="B39" s="1650"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02"/>
      <c r="Q39" s="1385" t="str">
        <f t="shared" si="8"/>
        <v>市政基础设施</v>
      </c>
      <c r="R39" s="1386" t="s">
        <v>8</v>
      </c>
      <c r="S39" s="1387">
        <f t="shared" si="9"/>
        <v>100</v>
      </c>
      <c r="T39" s="1386" t="s">
        <v>8</v>
      </c>
      <c r="U39" s="1387">
        <f t="shared" si="10"/>
        <v>100</v>
      </c>
      <c r="V39" s="1386" t="s">
        <v>8</v>
      </c>
      <c r="W39" s="1387">
        <f t="shared" si="11"/>
        <v>100</v>
      </c>
      <c r="X39" s="1380"/>
      <c r="Y39" s="390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02"/>
      <c r="Q40" s="1385" t="str">
        <f t="shared" si="8"/>
        <v>房型</v>
      </c>
      <c r="R40" s="1386" t="s">
        <v>8</v>
      </c>
      <c r="S40" s="1387">
        <f t="shared" si="9"/>
        <v>100</v>
      </c>
      <c r="T40" s="1386" t="s">
        <v>8</v>
      </c>
      <c r="U40" s="1387">
        <f t="shared" si="10"/>
        <v>100</v>
      </c>
      <c r="V40" s="1386" t="s">
        <v>8</v>
      </c>
      <c r="W40" s="1387">
        <f t="shared" si="11"/>
        <v>100</v>
      </c>
      <c r="X40" s="1380"/>
      <c r="Y40" s="390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02"/>
      <c r="Q41" s="1414" t="str">
        <f t="shared" si="8"/>
        <v>单套/主力户型建筑面积</v>
      </c>
      <c r="R41" s="1390" t="s">
        <v>8</v>
      </c>
      <c r="S41" s="1391">
        <f t="shared" si="9"/>
        <v>100</v>
      </c>
      <c r="T41" s="1390" t="s">
        <v>8</v>
      </c>
      <c r="U41" s="1391">
        <f t="shared" si="10"/>
        <v>100</v>
      </c>
      <c r="V41" s="1390" t="s">
        <v>8</v>
      </c>
      <c r="W41" s="1391">
        <f t="shared" si="11"/>
        <v>100</v>
      </c>
      <c r="X41" s="1392"/>
      <c r="Y41" s="390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02"/>
      <c r="Q42" s="1385" t="str">
        <f t="shared" si="8"/>
        <v>内部装修</v>
      </c>
      <c r="R42" s="1386" t="s">
        <v>8</v>
      </c>
      <c r="S42" s="1387">
        <f t="shared" si="9"/>
        <v>100</v>
      </c>
      <c r="T42" s="1386" t="s">
        <v>8</v>
      </c>
      <c r="U42" s="1387">
        <f t="shared" si="10"/>
        <v>100</v>
      </c>
      <c r="V42" s="1386" t="s">
        <v>8</v>
      </c>
      <c r="W42" s="1387">
        <f t="shared" si="11"/>
        <v>100</v>
      </c>
      <c r="X42" s="1380"/>
      <c r="Y42" s="390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02"/>
      <c r="Q43" s="1385" t="str">
        <f t="shared" si="8"/>
        <v>内部装修维护情况</v>
      </c>
      <c r="R43" s="1386" t="s">
        <v>8</v>
      </c>
      <c r="S43" s="1387">
        <f t="shared" si="9"/>
        <v>100</v>
      </c>
      <c r="T43" s="1386" t="s">
        <v>8</v>
      </c>
      <c r="U43" s="1387">
        <f t="shared" si="10"/>
        <v>100</v>
      </c>
      <c r="V43" s="1386" t="s">
        <v>8</v>
      </c>
      <c r="W43" s="1387">
        <f t="shared" si="11"/>
        <v>100</v>
      </c>
      <c r="X43" s="1380"/>
      <c r="Y43" s="390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02"/>
      <c r="Q44" s="1050">
        <f t="shared" si="8"/>
        <v>111</v>
      </c>
      <c r="R44" s="1381" t="s">
        <v>8</v>
      </c>
      <c r="S44" s="1382">
        <f t="shared" si="9"/>
        <v>100</v>
      </c>
      <c r="T44" s="1381" t="s">
        <v>8</v>
      </c>
      <c r="U44" s="1382">
        <f t="shared" si="10"/>
        <v>100</v>
      </c>
      <c r="V44" s="1381" t="s">
        <v>8</v>
      </c>
      <c r="W44" s="1382">
        <f t="shared" si="11"/>
        <v>100</v>
      </c>
      <c r="X44" s="1383"/>
      <c r="Y44" s="390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02"/>
      <c r="Q45" s="1385">
        <f t="shared" si="8"/>
        <v>111</v>
      </c>
      <c r="R45" s="1386" t="s">
        <v>8</v>
      </c>
      <c r="S45" s="1387">
        <f t="shared" si="9"/>
        <v>100</v>
      </c>
      <c r="T45" s="1386" t="s">
        <v>8</v>
      </c>
      <c r="U45" s="1387">
        <f t="shared" si="10"/>
        <v>100</v>
      </c>
      <c r="V45" s="1386" t="s">
        <v>8</v>
      </c>
      <c r="W45" s="1387">
        <f t="shared" si="11"/>
        <v>100</v>
      </c>
      <c r="X45" s="1380"/>
      <c r="Y45" s="390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85"/>
      <c r="Q46" s="1385">
        <f t="shared" si="8"/>
        <v>111</v>
      </c>
      <c r="R46" s="1386" t="s">
        <v>7</v>
      </c>
      <c r="S46" s="1387">
        <f t="shared" si="9"/>
        <v>100</v>
      </c>
      <c r="T46" s="1386" t="s">
        <v>7</v>
      </c>
      <c r="U46" s="1387">
        <f t="shared" si="10"/>
        <v>100</v>
      </c>
      <c r="V46" s="1386" t="s">
        <v>7</v>
      </c>
      <c r="W46" s="1387">
        <f t="shared" si="11"/>
        <v>100</v>
      </c>
      <c r="X46" s="1380"/>
      <c r="Y46" s="3985"/>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903" t="str">
        <f>A47</f>
        <v>成交单价（元/平方米）</v>
      </c>
      <c r="Q47" s="3903"/>
      <c r="R47" s="3984">
        <f>E47</f>
        <v>0</v>
      </c>
      <c r="S47" s="3984"/>
      <c r="T47" s="3984">
        <f>G47</f>
        <v>0</v>
      </c>
      <c r="U47" s="3984"/>
      <c r="V47" s="3984">
        <f>I47</f>
        <v>0</v>
      </c>
      <c r="W47" s="3984"/>
      <c r="X47" s="1375"/>
      <c r="Y47" s="1394"/>
      <c r="Z47" s="1375"/>
      <c r="AA47" s="1375"/>
      <c r="AB47" s="1375"/>
      <c r="AC47" s="1375"/>
    </row>
    <row r="48" spans="1:29" ht="15.75" thickBot="1">
      <c r="A48" s="585" t="s">
        <v>2040</v>
      </c>
      <c r="B48" s="851"/>
      <c r="C48" s="2239" t="e">
        <f>R49</f>
        <v>#DIV/0!</v>
      </c>
      <c r="D48" s="2756" t="s">
        <v>2256</v>
      </c>
      <c r="E48" s="2240" t="e">
        <f>R48</f>
        <v>#DIV/0!</v>
      </c>
      <c r="F48" s="2757"/>
      <c r="G48" s="2239" t="e">
        <f>T48</f>
        <v>#DIV/0!</v>
      </c>
      <c r="H48" s="2757"/>
      <c r="I48" s="2240" t="e">
        <f>V48</f>
        <v>#DIV/0!</v>
      </c>
      <c r="J48" s="2757"/>
      <c r="K48" s="2765">
        <f>F48+H48+J48</f>
        <v>0</v>
      </c>
      <c r="L48" s="1866"/>
      <c r="M48" s="1867"/>
      <c r="N48" s="1867"/>
      <c r="O48" s="1867"/>
      <c r="P48" s="3903" t="str">
        <f>A48</f>
        <v>比较价格（元/平方米）</v>
      </c>
      <c r="Q48" s="3903"/>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2193</v>
      </c>
      <c r="B49" s="590"/>
      <c r="C49" s="2241" t="e">
        <f>R49</f>
        <v>#DIV/0!</v>
      </c>
      <c r="D49" s="2241"/>
      <c r="E49" s="2241"/>
      <c r="F49" s="2241"/>
      <c r="G49" s="2241"/>
      <c r="H49" s="2241"/>
      <c r="I49" s="2241"/>
      <c r="J49" s="2241"/>
      <c r="K49" s="1416"/>
      <c r="L49" s="1866"/>
      <c r="M49" s="1867"/>
      <c r="N49" s="1867"/>
      <c r="O49" s="1867"/>
      <c r="P49" s="3908" t="str">
        <f>A49</f>
        <v>估价对象XX用房的比较价格（楼面单价，元/平方米）</v>
      </c>
      <c r="Q49" s="3909"/>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1838</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1839</v>
      </c>
      <c r="C82" s="2205" t="s">
        <v>1840</v>
      </c>
      <c r="D82" s="2205" t="s">
        <v>1841</v>
      </c>
      <c r="E82" s="2205" t="s">
        <v>1842</v>
      </c>
      <c r="F82" s="2205" t="s">
        <v>1843</v>
      </c>
      <c r="G82" s="2205" t="s">
        <v>1844</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1614</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1837</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1615</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1616</v>
      </c>
      <c r="C137" s="1674"/>
      <c r="D137" s="1674"/>
      <c r="E137" s="1674"/>
      <c r="F137" s="1674"/>
      <c r="G137" s="1675"/>
      <c r="H137" s="1676"/>
      <c r="I137" s="1677" t="s">
        <v>1617</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1618</v>
      </c>
      <c r="D138" s="1680" t="s">
        <v>1619</v>
      </c>
      <c r="E138" s="1681" t="s">
        <v>1620</v>
      </c>
      <c r="F138" s="1682" t="s">
        <v>1621</v>
      </c>
      <c r="G138" s="1680" t="s">
        <v>1622</v>
      </c>
      <c r="H138" s="1683" t="s">
        <v>1623</v>
      </c>
      <c r="I138" s="1684"/>
      <c r="J138" s="1680" t="s">
        <v>1624</v>
      </c>
      <c r="K138" s="1683" t="s">
        <v>1625</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1626</v>
      </c>
      <c r="E139" s="1654">
        <v>100</v>
      </c>
      <c r="F139" s="1655">
        <v>102.5</v>
      </c>
      <c r="G139" s="1685" t="s">
        <v>1627</v>
      </c>
      <c r="H139" s="1656">
        <v>105</v>
      </c>
      <c r="I139" s="1686" t="s">
        <v>1628</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1629</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1630</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1631</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1632</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1633</v>
      </c>
      <c r="E144" s="1660">
        <v>102</v>
      </c>
      <c r="F144" s="1666">
        <v>100</v>
      </c>
      <c r="G144" s="1689" t="s">
        <v>1633</v>
      </c>
      <c r="H144" s="1662">
        <v>105</v>
      </c>
      <c r="I144" s="1688" t="s">
        <v>1632</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1634</v>
      </c>
      <c r="C145" s="1667">
        <f>ROUND(MAX(C139:C144)/MIN(C139:C144)-1,3)</f>
        <v>7.2999999999999995E-2</v>
      </c>
      <c r="D145" s="1691"/>
      <c r="E145" s="1691"/>
      <c r="F145" s="1692" t="s">
        <v>1635</v>
      </c>
      <c r="G145" s="1693"/>
      <c r="H145" s="1694"/>
      <c r="I145" s="1695" t="s">
        <v>1632</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1643</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1644</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84" t="s">
        <v>471</v>
      </c>
      <c r="D4" s="3885"/>
      <c r="E4" s="3886" t="s">
        <v>472</v>
      </c>
      <c r="F4" s="3887"/>
      <c r="G4" s="3884" t="s">
        <v>473</v>
      </c>
      <c r="H4" s="3885"/>
      <c r="I4" s="3884" t="s">
        <v>474</v>
      </c>
      <c r="J4" s="3885"/>
      <c r="K4" s="484" t="s">
        <v>475</v>
      </c>
      <c r="L4" s="1855"/>
      <c r="M4" s="1856"/>
      <c r="N4" s="1856"/>
      <c r="O4" s="1856"/>
      <c r="P4" s="3888" t="s">
        <v>476</v>
      </c>
      <c r="Q4" s="3889"/>
      <c r="R4" s="3870" t="s">
        <v>472</v>
      </c>
      <c r="S4" s="3871"/>
      <c r="T4" s="3870" t="s">
        <v>473</v>
      </c>
      <c r="U4" s="3871"/>
      <c r="V4" s="3896" t="s">
        <v>474</v>
      </c>
      <c r="W4" s="3896"/>
      <c r="X4" s="1380"/>
      <c r="Y4" s="3870" t="s">
        <v>476</v>
      </c>
      <c r="Z4" s="3871"/>
      <c r="AA4" s="3881" t="s">
        <v>472</v>
      </c>
      <c r="AB4" s="3896" t="s">
        <v>473</v>
      </c>
      <c r="AC4" s="3881" t="s">
        <v>474</v>
      </c>
    </row>
    <row r="5" spans="1:29" ht="15">
      <c r="A5" s="485"/>
      <c r="B5" s="486"/>
      <c r="C5" s="3874" t="s">
        <v>2187</v>
      </c>
      <c r="D5" s="3875"/>
      <c r="E5" s="3897" t="s">
        <v>2188</v>
      </c>
      <c r="F5" s="3898"/>
      <c r="G5" s="3874" t="s">
        <v>2189</v>
      </c>
      <c r="H5" s="3875"/>
      <c r="I5" s="3874" t="s">
        <v>2190</v>
      </c>
      <c r="J5" s="3875"/>
      <c r="K5" s="484"/>
      <c r="L5" s="1855"/>
      <c r="M5" s="1856"/>
      <c r="N5" s="1856"/>
      <c r="O5" s="1856"/>
      <c r="P5" s="3890"/>
      <c r="Q5" s="3891"/>
      <c r="R5" s="3872"/>
      <c r="S5" s="3873"/>
      <c r="T5" s="3872"/>
      <c r="U5" s="3873"/>
      <c r="V5" s="3896"/>
      <c r="W5" s="3896"/>
      <c r="X5" s="1380"/>
      <c r="Y5" s="3872"/>
      <c r="Z5" s="3873"/>
      <c r="AA5" s="3882"/>
      <c r="AB5" s="3896"/>
      <c r="AC5" s="3882"/>
    </row>
    <row r="6" spans="1:29" ht="15.75" thickBot="1">
      <c r="A6" s="487"/>
      <c r="B6" s="488"/>
      <c r="C6" s="3876" t="s">
        <v>2191</v>
      </c>
      <c r="D6" s="3877"/>
      <c r="E6" s="3879" t="s">
        <v>2191</v>
      </c>
      <c r="F6" s="3880"/>
      <c r="G6" s="3876" t="s">
        <v>2191</v>
      </c>
      <c r="H6" s="3877"/>
      <c r="I6" s="3876" t="s">
        <v>2191</v>
      </c>
      <c r="J6" s="3877"/>
      <c r="K6" s="484" t="s">
        <v>477</v>
      </c>
      <c r="L6" s="1855"/>
      <c r="M6" s="1856"/>
      <c r="N6" s="1856"/>
      <c r="O6" s="1856"/>
      <c r="P6" s="3892"/>
      <c r="Q6" s="3893"/>
      <c r="R6" s="3872"/>
      <c r="S6" s="3873"/>
      <c r="T6" s="3894"/>
      <c r="U6" s="3895"/>
      <c r="V6" s="3896"/>
      <c r="W6" s="3896"/>
      <c r="X6" s="1380"/>
      <c r="Y6" s="3894"/>
      <c r="Z6" s="3895"/>
      <c r="AA6" s="3883"/>
      <c r="AB6" s="3896"/>
      <c r="AC6" s="3883"/>
    </row>
    <row r="7" spans="1:29" s="1118" customFormat="1" ht="15.75" thickBot="1">
      <c r="A7" s="2391"/>
      <c r="B7" s="2398" t="s">
        <v>478</v>
      </c>
      <c r="C7" s="489">
        <f>'数据-取费表'!B2</f>
        <v>45040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68" t="s">
        <v>479</v>
      </c>
      <c r="Q7" s="3878"/>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46" si="3">D8/F8</f>
        <v>#DIV/0!</v>
      </c>
      <c r="AB8" s="1384" t="e">
        <f t="shared" ref="AB8:AB46" si="4">D8/H8</f>
        <v>#DIV/0!</v>
      </c>
      <c r="AC8" s="1384" t="e">
        <f t="shared" ref="AC8:AC46" si="5">D8/J8</f>
        <v>#DIV/0!</v>
      </c>
    </row>
    <row r="9" spans="1:29" s="1118" customFormat="1" ht="15">
      <c r="A9" s="2393"/>
      <c r="B9" s="2400" t="s">
        <v>2036</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3"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SUMIF(65:65,E10,66:66)-SUMIF(65:65,C10,66:66)+100</f>
        <v>100</v>
      </c>
      <c r="G10" s="3658"/>
      <c r="H10" s="246">
        <f>SUMIF(65:65,G10,66:66)-SUMIF(65:65,C10,66:66)+100</f>
        <v>100</v>
      </c>
      <c r="I10" s="3657"/>
      <c r="J10" s="246">
        <f>SUMIF(65:65,I10,66:66)-SUMIF(65:65,C10,66:66)+100</f>
        <v>100</v>
      </c>
      <c r="K10" s="494"/>
      <c r="L10" s="1860"/>
      <c r="M10" s="1899"/>
      <c r="N10" s="1899"/>
      <c r="O10" s="1861"/>
      <c r="P10" s="3903"/>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3"/>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3"/>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3"/>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3"/>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89" t="s">
        <v>2034</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899" t="s">
        <v>489</v>
      </c>
      <c r="Q15" s="1385" t="str">
        <f t="shared" si="6"/>
        <v>商业繁华度</v>
      </c>
      <c r="R15" s="1386" t="s">
        <v>5</v>
      </c>
      <c r="S15" s="1387">
        <f t="shared" si="0"/>
        <v>100</v>
      </c>
      <c r="T15" s="1386" t="s">
        <v>5</v>
      </c>
      <c r="U15" s="1387">
        <f t="shared" si="1"/>
        <v>100</v>
      </c>
      <c r="V15" s="1386" t="s">
        <v>5</v>
      </c>
      <c r="W15" s="1387">
        <f t="shared" si="2"/>
        <v>100</v>
      </c>
      <c r="X15" s="1380"/>
      <c r="Y15" s="389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00"/>
      <c r="Q16" s="1385"/>
      <c r="R16" s="1386"/>
      <c r="S16" s="1387"/>
      <c r="T16" s="1386"/>
      <c r="U16" s="1387"/>
      <c r="V16" s="1386"/>
      <c r="W16" s="1387"/>
      <c r="X16" s="1380"/>
      <c r="Y16" s="390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00"/>
      <c r="Q17" s="1385" t="str">
        <f>B17</f>
        <v>交通便捷度</v>
      </c>
      <c r="R17" s="1386" t="s">
        <v>5</v>
      </c>
      <c r="S17" s="1387">
        <f>F17</f>
        <v>100</v>
      </c>
      <c r="T17" s="1386" t="s">
        <v>5</v>
      </c>
      <c r="U17" s="1387">
        <f>H17</f>
        <v>100</v>
      </c>
      <c r="V17" s="1386" t="s">
        <v>5</v>
      </c>
      <c r="W17" s="1387">
        <f>J17</f>
        <v>100</v>
      </c>
      <c r="X17" s="1380"/>
      <c r="Y17" s="390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00"/>
      <c r="Q18" s="1385"/>
      <c r="R18" s="1386"/>
      <c r="S18" s="1387"/>
      <c r="T18" s="1386"/>
      <c r="U18" s="1387"/>
      <c r="V18" s="1386"/>
      <c r="W18" s="1387"/>
      <c r="X18" s="1380"/>
      <c r="Y18" s="3900"/>
      <c r="Z18" s="1388"/>
      <c r="AA18" s="1389">
        <v>1</v>
      </c>
      <c r="AB18" s="1389">
        <v>1</v>
      </c>
      <c r="AC18" s="1389">
        <v>1</v>
      </c>
    </row>
    <row r="19" spans="1:29" ht="42.75">
      <c r="A19" s="502"/>
      <c r="B19" s="2207" t="s">
        <v>1827</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00"/>
      <c r="Q19" s="1385" t="str">
        <f>B19</f>
        <v>公共配套设施</v>
      </c>
      <c r="R19" s="1386" t="s">
        <v>5</v>
      </c>
      <c r="S19" s="1387">
        <f>F19</f>
        <v>100</v>
      </c>
      <c r="T19" s="1386" t="s">
        <v>5</v>
      </c>
      <c r="U19" s="1387">
        <f>H19</f>
        <v>100</v>
      </c>
      <c r="V19" s="1386" t="s">
        <v>5</v>
      </c>
      <c r="W19" s="1387">
        <f>J19</f>
        <v>100</v>
      </c>
      <c r="X19" s="1380"/>
      <c r="Y19" s="390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00"/>
      <c r="Q20" s="1385"/>
      <c r="R20" s="1386"/>
      <c r="S20" s="1387"/>
      <c r="T20" s="1386"/>
      <c r="U20" s="1387"/>
      <c r="V20" s="1386"/>
      <c r="W20" s="1387"/>
      <c r="X20" s="1380"/>
      <c r="Y20" s="3900"/>
      <c r="Z20" s="1388"/>
      <c r="AA20" s="1389">
        <v>1</v>
      </c>
      <c r="AB20" s="1389">
        <v>1</v>
      </c>
      <c r="AC20" s="1389">
        <v>1</v>
      </c>
    </row>
    <row r="21" spans="1:29" ht="28.5">
      <c r="A21" s="502"/>
      <c r="B21" s="2200" t="s">
        <v>1839</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00"/>
      <c r="Q21" s="2192" t="str">
        <f>B21</f>
        <v>基础设施水平</v>
      </c>
      <c r="R21" s="1386" t="s">
        <v>5</v>
      </c>
      <c r="S21" s="1387">
        <f>F21</f>
        <v>100</v>
      </c>
      <c r="T21" s="1386" t="s">
        <v>5</v>
      </c>
      <c r="U21" s="1387">
        <f>H21</f>
        <v>100</v>
      </c>
      <c r="V21" s="1386" t="s">
        <v>5</v>
      </c>
      <c r="W21" s="1387">
        <f>J21</f>
        <v>100</v>
      </c>
      <c r="X21" s="2194"/>
      <c r="Y21" s="3900"/>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00"/>
      <c r="Q22" s="2192"/>
      <c r="R22" s="1386"/>
      <c r="S22" s="1387"/>
      <c r="T22" s="1386"/>
      <c r="U22" s="1387"/>
      <c r="V22" s="1386"/>
      <c r="W22" s="1387"/>
      <c r="X22" s="2194"/>
      <c r="Y22" s="3900"/>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00"/>
      <c r="Q23" s="1385" t="str">
        <f>B23</f>
        <v>自然及人文环境</v>
      </c>
      <c r="R23" s="1386" t="s">
        <v>5</v>
      </c>
      <c r="S23" s="1387">
        <f>F23</f>
        <v>100</v>
      </c>
      <c r="T23" s="1386" t="s">
        <v>5</v>
      </c>
      <c r="U23" s="1387">
        <f>H23</f>
        <v>100</v>
      </c>
      <c r="V23" s="1386" t="s">
        <v>5</v>
      </c>
      <c r="W23" s="1387">
        <f>J23</f>
        <v>100</v>
      </c>
      <c r="X23" s="1380"/>
      <c r="Y23" s="390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00"/>
      <c r="Q24" s="1385"/>
      <c r="R24" s="1386"/>
      <c r="S24" s="1387"/>
      <c r="T24" s="1386"/>
      <c r="U24" s="1387"/>
      <c r="V24" s="1386"/>
      <c r="W24" s="1387"/>
      <c r="X24" s="1380"/>
      <c r="Y24" s="390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00"/>
      <c r="Q25" s="1385" t="str">
        <f t="shared" ref="Q25:Q46" si="8">B25</f>
        <v>临街状况</v>
      </c>
      <c r="R25" s="1386" t="s">
        <v>5</v>
      </c>
      <c r="S25" s="1387">
        <f>F25</f>
        <v>100</v>
      </c>
      <c r="T25" s="1386" t="s">
        <v>5</v>
      </c>
      <c r="U25" s="1387">
        <f>H25</f>
        <v>100</v>
      </c>
      <c r="V25" s="1386" t="s">
        <v>5</v>
      </c>
      <c r="W25" s="1387">
        <f>J25</f>
        <v>100</v>
      </c>
      <c r="X25" s="1380"/>
      <c r="Y25" s="390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00"/>
      <c r="Q26" s="1385" t="str">
        <f t="shared" si="8"/>
        <v>平面位置/可视性</v>
      </c>
      <c r="R26" s="1386" t="s">
        <v>5</v>
      </c>
      <c r="S26" s="1387">
        <f>F26</f>
        <v>100</v>
      </c>
      <c r="T26" s="1386" t="s">
        <v>5</v>
      </c>
      <c r="U26" s="1387">
        <f>H26</f>
        <v>100</v>
      </c>
      <c r="V26" s="1386" t="s">
        <v>5</v>
      </c>
      <c r="W26" s="1387">
        <f>J26</f>
        <v>100</v>
      </c>
      <c r="X26" s="1380"/>
      <c r="Y26" s="390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00"/>
      <c r="Q27" s="1050" t="str">
        <f t="shared" si="8"/>
        <v>人流量</v>
      </c>
      <c r="R27" s="1381" t="s">
        <v>5</v>
      </c>
      <c r="S27" s="1382">
        <f>F27</f>
        <v>100</v>
      </c>
      <c r="T27" s="1381" t="s">
        <v>5</v>
      </c>
      <c r="U27" s="1382">
        <f>H27</f>
        <v>100</v>
      </c>
      <c r="V27" s="1381" t="s">
        <v>5</v>
      </c>
      <c r="W27" s="1382">
        <f>J27</f>
        <v>100</v>
      </c>
      <c r="X27" s="1383"/>
      <c r="Y27" s="390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0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00"/>
      <c r="Q29" s="1385">
        <f t="shared" si="8"/>
        <v>111</v>
      </c>
      <c r="R29" s="1386" t="s">
        <v>5</v>
      </c>
      <c r="S29" s="1387">
        <f t="shared" si="9"/>
        <v>100</v>
      </c>
      <c r="T29" s="1386" t="s">
        <v>5</v>
      </c>
      <c r="U29" s="1387">
        <f t="shared" si="10"/>
        <v>100</v>
      </c>
      <c r="V29" s="1386" t="s">
        <v>5</v>
      </c>
      <c r="W29" s="1387">
        <f t="shared" si="11"/>
        <v>100</v>
      </c>
      <c r="X29" s="1380"/>
      <c r="Y29" s="390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00"/>
      <c r="Q30" s="1385">
        <f t="shared" si="8"/>
        <v>111</v>
      </c>
      <c r="R30" s="1386" t="s">
        <v>5</v>
      </c>
      <c r="S30" s="1387">
        <f t="shared" si="9"/>
        <v>100</v>
      </c>
      <c r="T30" s="1386" t="s">
        <v>5</v>
      </c>
      <c r="U30" s="1387">
        <f t="shared" si="10"/>
        <v>100</v>
      </c>
      <c r="V30" s="1386" t="s">
        <v>5</v>
      </c>
      <c r="W30" s="1387">
        <f t="shared" si="11"/>
        <v>100</v>
      </c>
      <c r="X30" s="1380"/>
      <c r="Y30" s="390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00"/>
      <c r="Q31" s="1385">
        <f t="shared" si="8"/>
        <v>111</v>
      </c>
      <c r="R31" s="1386" t="s">
        <v>5</v>
      </c>
      <c r="S31" s="1387">
        <f t="shared" si="9"/>
        <v>100</v>
      </c>
      <c r="T31" s="1386" t="s">
        <v>5</v>
      </c>
      <c r="U31" s="1387">
        <f t="shared" si="10"/>
        <v>100</v>
      </c>
      <c r="V31" s="1386" t="s">
        <v>5</v>
      </c>
      <c r="W31" s="1387">
        <f t="shared" si="11"/>
        <v>100</v>
      </c>
      <c r="X31" s="1380"/>
      <c r="Y31" s="3900"/>
      <c r="Z31" s="1388">
        <f t="shared" si="12"/>
        <v>111</v>
      </c>
      <c r="AA31" s="1389">
        <f t="shared" si="3"/>
        <v>1</v>
      </c>
      <c r="AB31" s="1389">
        <f t="shared" si="4"/>
        <v>1</v>
      </c>
      <c r="AC31" s="1389">
        <f t="shared" si="5"/>
        <v>1</v>
      </c>
    </row>
    <row r="32" spans="1:29" ht="15">
      <c r="A32" s="2386"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01" t="s">
        <v>499</v>
      </c>
      <c r="Q32" s="1385" t="str">
        <f t="shared" si="8"/>
        <v>商业类型</v>
      </c>
      <c r="R32" s="1386" t="s">
        <v>5</v>
      </c>
      <c r="S32" s="1387">
        <f t="shared" si="9"/>
        <v>100</v>
      </c>
      <c r="T32" s="1386" t="s">
        <v>5</v>
      </c>
      <c r="U32" s="1387">
        <f t="shared" si="10"/>
        <v>100</v>
      </c>
      <c r="V32" s="1386" t="s">
        <v>5</v>
      </c>
      <c r="W32" s="1387">
        <f t="shared" si="11"/>
        <v>100</v>
      </c>
      <c r="X32" s="1380"/>
      <c r="Y32" s="390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02"/>
      <c r="Q33" s="1414" t="str">
        <f t="shared" si="8"/>
        <v>项目建筑规模</v>
      </c>
      <c r="R33" s="1390" t="s">
        <v>5</v>
      </c>
      <c r="S33" s="1391" t="e">
        <f t="shared" si="9"/>
        <v>#N/A</v>
      </c>
      <c r="T33" s="1390" t="s">
        <v>5</v>
      </c>
      <c r="U33" s="1391" t="e">
        <f t="shared" si="10"/>
        <v>#N/A</v>
      </c>
      <c r="V33" s="1390" t="s">
        <v>5</v>
      </c>
      <c r="W33" s="1391" t="e">
        <f t="shared" si="11"/>
        <v>#N/A</v>
      </c>
      <c r="X33" s="1392"/>
      <c r="Y33" s="390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02"/>
      <c r="Q34" s="1385" t="str">
        <f t="shared" si="8"/>
        <v>建筑结构</v>
      </c>
      <c r="R34" s="1386" t="s">
        <v>5</v>
      </c>
      <c r="S34" s="1387">
        <f t="shared" si="9"/>
        <v>100</v>
      </c>
      <c r="T34" s="1386" t="s">
        <v>5</v>
      </c>
      <c r="U34" s="1387">
        <f t="shared" si="10"/>
        <v>100</v>
      </c>
      <c r="V34" s="1386" t="s">
        <v>5</v>
      </c>
      <c r="W34" s="1387">
        <f t="shared" si="11"/>
        <v>100</v>
      </c>
      <c r="X34" s="1380"/>
      <c r="Y34" s="390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02"/>
      <c r="Q35" s="1385" t="str">
        <f t="shared" si="8"/>
        <v>公共部分装修</v>
      </c>
      <c r="R35" s="1386" t="s">
        <v>5</v>
      </c>
      <c r="S35" s="1387">
        <f t="shared" si="9"/>
        <v>100</v>
      </c>
      <c r="T35" s="1386" t="s">
        <v>5</v>
      </c>
      <c r="U35" s="1387">
        <f t="shared" si="10"/>
        <v>100</v>
      </c>
      <c r="V35" s="1386" t="s">
        <v>5</v>
      </c>
      <c r="W35" s="1387">
        <f t="shared" si="11"/>
        <v>100</v>
      </c>
      <c r="X35" s="1380"/>
      <c r="Y35" s="390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02"/>
      <c r="Q36" s="1385" t="str">
        <f t="shared" si="8"/>
        <v>成新度</v>
      </c>
      <c r="R36" s="1386" t="s">
        <v>5</v>
      </c>
      <c r="S36" s="1387" t="e">
        <f t="shared" si="9"/>
        <v>#N/A</v>
      </c>
      <c r="T36" s="1386" t="s">
        <v>5</v>
      </c>
      <c r="U36" s="1387" t="e">
        <f t="shared" si="10"/>
        <v>#N/A</v>
      </c>
      <c r="V36" s="1386" t="s">
        <v>5</v>
      </c>
      <c r="W36" s="1387" t="e">
        <f t="shared" si="11"/>
        <v>#N/A</v>
      </c>
      <c r="X36" s="1380"/>
      <c r="Y36" s="3902"/>
      <c r="Z36" s="1388" t="str">
        <f t="shared" si="12"/>
        <v>成新度</v>
      </c>
      <c r="AA36" s="1389" t="e">
        <f t="shared" si="3"/>
        <v>#N/A</v>
      </c>
      <c r="AB36" s="1389" t="e">
        <f t="shared" si="4"/>
        <v>#N/A</v>
      </c>
      <c r="AC36" s="1389" t="e">
        <f t="shared" si="5"/>
        <v>#N/A</v>
      </c>
    </row>
    <row r="37" spans="1:29" s="1118" customFormat="1" ht="15">
      <c r="A37" s="570"/>
      <c r="B37" s="1650"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02"/>
      <c r="Q37" s="1050" t="str">
        <f t="shared" si="8"/>
        <v>市政基础设施</v>
      </c>
      <c r="R37" s="1381" t="s">
        <v>5</v>
      </c>
      <c r="S37" s="1382">
        <f t="shared" si="9"/>
        <v>100</v>
      </c>
      <c r="T37" s="1381" t="s">
        <v>5</v>
      </c>
      <c r="U37" s="1382">
        <f t="shared" si="10"/>
        <v>100</v>
      </c>
      <c r="V37" s="1381" t="s">
        <v>5</v>
      </c>
      <c r="W37" s="1382">
        <f t="shared" si="11"/>
        <v>100</v>
      </c>
      <c r="X37" s="1383"/>
      <c r="Y37" s="390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02" t="s">
        <v>706</v>
      </c>
      <c r="Q38" s="1385" t="str">
        <f t="shared" si="8"/>
        <v>业态</v>
      </c>
      <c r="R38" s="1386" t="s">
        <v>5</v>
      </c>
      <c r="S38" s="1387">
        <f t="shared" si="9"/>
        <v>100</v>
      </c>
      <c r="T38" s="1386" t="s">
        <v>5</v>
      </c>
      <c r="U38" s="1387">
        <f t="shared" si="10"/>
        <v>100</v>
      </c>
      <c r="V38" s="1386" t="s">
        <v>5</v>
      </c>
      <c r="W38" s="1387">
        <f t="shared" si="11"/>
        <v>100</v>
      </c>
      <c r="X38" s="1380"/>
      <c r="Y38" s="390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02"/>
      <c r="Q39" s="1385" t="str">
        <f t="shared" si="8"/>
        <v>层高</v>
      </c>
      <c r="R39" s="1386" t="s">
        <v>5</v>
      </c>
      <c r="S39" s="1387">
        <f t="shared" si="9"/>
        <v>100</v>
      </c>
      <c r="T39" s="1386" t="s">
        <v>5</v>
      </c>
      <c r="U39" s="1387">
        <f t="shared" si="10"/>
        <v>100</v>
      </c>
      <c r="V39" s="1386" t="s">
        <v>5</v>
      </c>
      <c r="W39" s="1387">
        <f t="shared" si="11"/>
        <v>100</v>
      </c>
      <c r="X39" s="1380"/>
      <c r="Y39" s="390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02"/>
      <c r="Q40" s="1385" t="str">
        <f t="shared" si="8"/>
        <v>单套建筑面积</v>
      </c>
      <c r="R40" s="1386" t="s">
        <v>5</v>
      </c>
      <c r="S40" s="1387">
        <f t="shared" si="9"/>
        <v>100</v>
      </c>
      <c r="T40" s="1386" t="s">
        <v>5</v>
      </c>
      <c r="U40" s="1387">
        <f t="shared" si="10"/>
        <v>100</v>
      </c>
      <c r="V40" s="1386" t="s">
        <v>5</v>
      </c>
      <c r="W40" s="1387">
        <f t="shared" si="11"/>
        <v>100</v>
      </c>
      <c r="X40" s="1380"/>
      <c r="Y40" s="390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02"/>
      <c r="Q41" s="1414" t="str">
        <f t="shared" si="8"/>
        <v>进深比</v>
      </c>
      <c r="R41" s="1390" t="s">
        <v>5</v>
      </c>
      <c r="S41" s="1391">
        <f t="shared" si="9"/>
        <v>100</v>
      </c>
      <c r="T41" s="1390" t="s">
        <v>5</v>
      </c>
      <c r="U41" s="1391">
        <f t="shared" si="10"/>
        <v>100</v>
      </c>
      <c r="V41" s="1390" t="s">
        <v>5</v>
      </c>
      <c r="W41" s="1391">
        <f t="shared" si="11"/>
        <v>100</v>
      </c>
      <c r="X41" s="1392"/>
      <c r="Y41" s="390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02"/>
      <c r="Q42" s="1385" t="str">
        <f t="shared" si="8"/>
        <v>内部装修</v>
      </c>
      <c r="R42" s="1386" t="s">
        <v>5</v>
      </c>
      <c r="S42" s="1387">
        <f t="shared" si="9"/>
        <v>100</v>
      </c>
      <c r="T42" s="1386" t="s">
        <v>5</v>
      </c>
      <c r="U42" s="1387">
        <f t="shared" si="10"/>
        <v>100</v>
      </c>
      <c r="V42" s="1386" t="s">
        <v>5</v>
      </c>
      <c r="W42" s="1387">
        <f t="shared" si="11"/>
        <v>100</v>
      </c>
      <c r="X42" s="1380"/>
      <c r="Y42" s="390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02"/>
      <c r="Q43" s="1385" t="str">
        <f t="shared" si="8"/>
        <v>内部装修维护情况</v>
      </c>
      <c r="R43" s="1386" t="s">
        <v>5</v>
      </c>
      <c r="S43" s="1387">
        <f t="shared" si="9"/>
        <v>100</v>
      </c>
      <c r="T43" s="1386" t="s">
        <v>5</v>
      </c>
      <c r="U43" s="1387">
        <f t="shared" si="10"/>
        <v>100</v>
      </c>
      <c r="V43" s="1386" t="s">
        <v>5</v>
      </c>
      <c r="W43" s="1387">
        <f t="shared" si="11"/>
        <v>100</v>
      </c>
      <c r="X43" s="1380"/>
      <c r="Y43" s="390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02"/>
      <c r="Q44" s="1050">
        <f t="shared" si="8"/>
        <v>111</v>
      </c>
      <c r="R44" s="1381" t="s">
        <v>5</v>
      </c>
      <c r="S44" s="1382">
        <f t="shared" si="9"/>
        <v>100</v>
      </c>
      <c r="T44" s="1381" t="s">
        <v>5</v>
      </c>
      <c r="U44" s="1382">
        <f t="shared" si="10"/>
        <v>100</v>
      </c>
      <c r="V44" s="1381" t="s">
        <v>5</v>
      </c>
      <c r="W44" s="1382">
        <f t="shared" si="11"/>
        <v>100</v>
      </c>
      <c r="X44" s="1383"/>
      <c r="Y44" s="390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02"/>
      <c r="Q45" s="1385">
        <f t="shared" si="8"/>
        <v>111</v>
      </c>
      <c r="R45" s="1386" t="s">
        <v>5</v>
      </c>
      <c r="S45" s="1387">
        <f t="shared" si="9"/>
        <v>100</v>
      </c>
      <c r="T45" s="1386" t="s">
        <v>5</v>
      </c>
      <c r="U45" s="1387">
        <f t="shared" si="10"/>
        <v>100</v>
      </c>
      <c r="V45" s="1386" t="s">
        <v>5</v>
      </c>
      <c r="W45" s="1387">
        <f t="shared" si="11"/>
        <v>100</v>
      </c>
      <c r="X45" s="1380"/>
      <c r="Y45" s="390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85"/>
      <c r="Q46" s="1385">
        <f t="shared" si="8"/>
        <v>111</v>
      </c>
      <c r="R46" s="1386" t="s">
        <v>5</v>
      </c>
      <c r="S46" s="1387">
        <f t="shared" si="9"/>
        <v>100</v>
      </c>
      <c r="T46" s="1386" t="s">
        <v>5</v>
      </c>
      <c r="U46" s="1387">
        <f t="shared" si="10"/>
        <v>100</v>
      </c>
      <c r="V46" s="1386" t="s">
        <v>5</v>
      </c>
      <c r="W46" s="1387">
        <f t="shared" si="11"/>
        <v>100</v>
      </c>
      <c r="X46" s="1380"/>
      <c r="Y46" s="3985"/>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903" t="str">
        <f>A47</f>
        <v>成交单价（元/平方米）</v>
      </c>
      <c r="Q47" s="3903"/>
      <c r="R47" s="3984">
        <f>E47</f>
        <v>0</v>
      </c>
      <c r="S47" s="3984"/>
      <c r="T47" s="3984">
        <f>G47</f>
        <v>0</v>
      </c>
      <c r="U47" s="3984"/>
      <c r="V47" s="3984">
        <f>I47</f>
        <v>0</v>
      </c>
      <c r="W47" s="3984"/>
      <c r="X47" s="1375"/>
      <c r="Y47" s="1394"/>
      <c r="Z47" s="1375"/>
      <c r="AA47" s="1375"/>
      <c r="AB47" s="1375"/>
      <c r="AC47" s="1375"/>
    </row>
    <row r="48" spans="1:29" ht="15.75" thickBot="1">
      <c r="A48" s="585" t="s">
        <v>2040</v>
      </c>
      <c r="B48" s="851"/>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903" t="str">
        <f>A48</f>
        <v>比较价格（元/平方米）</v>
      </c>
      <c r="Q48" s="3903"/>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2193</v>
      </c>
      <c r="B49" s="590"/>
      <c r="C49" s="2241" t="e">
        <f>R49</f>
        <v>#DIV/0!</v>
      </c>
      <c r="D49" s="2241"/>
      <c r="E49" s="2241"/>
      <c r="F49" s="2241"/>
      <c r="G49" s="2241"/>
      <c r="H49" s="2241"/>
      <c r="I49" s="2241"/>
      <c r="J49" s="2241"/>
      <c r="K49" s="1420"/>
      <c r="L49" s="1866"/>
      <c r="M49" s="1867"/>
      <c r="N49" s="1856"/>
      <c r="O49" s="1867"/>
      <c r="P49" s="3908" t="str">
        <f>A49</f>
        <v>估价对象XX用房的比较价格（楼面单价，元/平方米）</v>
      </c>
      <c r="Q49" s="3909"/>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1838</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1839</v>
      </c>
      <c r="C82" s="2205" t="s">
        <v>1840</v>
      </c>
      <c r="D82" s="2205" t="s">
        <v>1841</v>
      </c>
      <c r="E82" s="2205" t="s">
        <v>1842</v>
      </c>
      <c r="F82" s="2205" t="s">
        <v>1843</v>
      </c>
      <c r="G82" s="2205" t="s">
        <v>1844</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1837</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0"/>
      <c r="M1" s="2951"/>
      <c r="N1" s="2951"/>
      <c r="O1" s="2951"/>
      <c r="P1" s="3013"/>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3"/>
      <c r="Q2" s="1854"/>
      <c r="R2" s="1854"/>
      <c r="S2" s="1854"/>
      <c r="T2" s="1854"/>
      <c r="U2" s="1854"/>
      <c r="V2" s="1854"/>
      <c r="W2" s="1854"/>
      <c r="X2" s="1854"/>
      <c r="Y2" s="1854"/>
      <c r="Z2" s="1854"/>
      <c r="AA2" s="1854"/>
      <c r="AB2" s="1854"/>
      <c r="AC2" s="2952"/>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3"/>
      <c r="Q3" s="1854"/>
      <c r="R3" s="1854"/>
      <c r="S3" s="1854"/>
      <c r="T3" s="1854"/>
      <c r="U3" s="1854"/>
      <c r="V3" s="1854"/>
      <c r="W3" s="1854"/>
      <c r="X3" s="1854"/>
      <c r="Y3" s="1854"/>
      <c r="Z3" s="1854"/>
      <c r="AA3" s="1854"/>
      <c r="AB3" s="1854"/>
      <c r="AC3" s="2952"/>
    </row>
    <row r="4" spans="1:29" ht="15">
      <c r="A4" s="482" t="s">
        <v>470</v>
      </c>
      <c r="B4" s="483"/>
      <c r="C4" s="3884" t="s">
        <v>471</v>
      </c>
      <c r="D4" s="3885"/>
      <c r="E4" s="3886" t="s">
        <v>472</v>
      </c>
      <c r="F4" s="3887"/>
      <c r="G4" s="3884" t="s">
        <v>473</v>
      </c>
      <c r="H4" s="3885"/>
      <c r="I4" s="3884" t="s">
        <v>474</v>
      </c>
      <c r="J4" s="3885"/>
      <c r="K4" s="484" t="s">
        <v>475</v>
      </c>
      <c r="L4" s="1855"/>
      <c r="M4" s="1856"/>
      <c r="N4" s="1856"/>
      <c r="O4" s="1856"/>
      <c r="P4" s="3987" t="s">
        <v>476</v>
      </c>
      <c r="Q4" s="3889"/>
      <c r="R4" s="3870" t="s">
        <v>472</v>
      </c>
      <c r="S4" s="3871"/>
      <c r="T4" s="3870" t="s">
        <v>473</v>
      </c>
      <c r="U4" s="3871"/>
      <c r="V4" s="3896" t="s">
        <v>474</v>
      </c>
      <c r="W4" s="3896"/>
      <c r="X4" s="1380"/>
      <c r="Y4" s="3870" t="s">
        <v>476</v>
      </c>
      <c r="Z4" s="3871"/>
      <c r="AA4" s="3881" t="s">
        <v>472</v>
      </c>
      <c r="AB4" s="3881" t="s">
        <v>473</v>
      </c>
      <c r="AC4" s="3881" t="s">
        <v>474</v>
      </c>
    </row>
    <row r="5" spans="1:29" ht="15">
      <c r="A5" s="485"/>
      <c r="B5" s="486"/>
      <c r="C5" s="3874" t="s">
        <v>2187</v>
      </c>
      <c r="D5" s="3875"/>
      <c r="E5" s="3897" t="s">
        <v>2188</v>
      </c>
      <c r="F5" s="3898"/>
      <c r="G5" s="3874" t="s">
        <v>2189</v>
      </c>
      <c r="H5" s="3875"/>
      <c r="I5" s="3874" t="s">
        <v>2190</v>
      </c>
      <c r="J5" s="3875"/>
      <c r="K5" s="484"/>
      <c r="L5" s="1855"/>
      <c r="M5" s="1856"/>
      <c r="N5" s="1856"/>
      <c r="O5" s="1856"/>
      <c r="P5" s="3988"/>
      <c r="Q5" s="3891"/>
      <c r="R5" s="3872"/>
      <c r="S5" s="3873"/>
      <c r="T5" s="3872"/>
      <c r="U5" s="3873"/>
      <c r="V5" s="3896"/>
      <c r="W5" s="3896"/>
      <c r="X5" s="1380"/>
      <c r="Y5" s="3872"/>
      <c r="Z5" s="3873"/>
      <c r="AA5" s="3882"/>
      <c r="AB5" s="3882"/>
      <c r="AC5" s="3882"/>
    </row>
    <row r="6" spans="1:29" ht="15.75" thickBot="1">
      <c r="A6" s="487"/>
      <c r="B6" s="488"/>
      <c r="C6" s="3876" t="s">
        <v>2191</v>
      </c>
      <c r="D6" s="3877"/>
      <c r="E6" s="3879" t="s">
        <v>2191</v>
      </c>
      <c r="F6" s="3880"/>
      <c r="G6" s="3876" t="s">
        <v>2191</v>
      </c>
      <c r="H6" s="3877"/>
      <c r="I6" s="3876" t="s">
        <v>2191</v>
      </c>
      <c r="J6" s="3877"/>
      <c r="K6" s="484" t="s">
        <v>477</v>
      </c>
      <c r="L6" s="1855"/>
      <c r="M6" s="1856"/>
      <c r="N6" s="1856"/>
      <c r="O6" s="1856"/>
      <c r="P6" s="3989"/>
      <c r="Q6" s="3893"/>
      <c r="R6" s="3872"/>
      <c r="S6" s="3873"/>
      <c r="T6" s="3894"/>
      <c r="U6" s="3895"/>
      <c r="V6" s="3896"/>
      <c r="W6" s="3896"/>
      <c r="X6" s="1380"/>
      <c r="Y6" s="3894"/>
      <c r="Z6" s="3895"/>
      <c r="AA6" s="3883"/>
      <c r="AB6" s="3883"/>
      <c r="AC6" s="3883"/>
    </row>
    <row r="7" spans="1:29" s="1118" customFormat="1" ht="15.75" thickBot="1">
      <c r="A7" s="2391"/>
      <c r="B7" s="2398" t="s">
        <v>478</v>
      </c>
      <c r="C7" s="489">
        <f>'数据-取费表'!B2</f>
        <v>45040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78" t="s">
        <v>479</v>
      </c>
      <c r="Q7" s="3878"/>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78" t="s">
        <v>482</v>
      </c>
      <c r="Q8" s="3869"/>
      <c r="R8" s="1381" t="s">
        <v>5</v>
      </c>
      <c r="S8" s="1382">
        <f t="shared" si="0"/>
        <v>0</v>
      </c>
      <c r="T8" s="1381" t="s">
        <v>5</v>
      </c>
      <c r="U8" s="1382">
        <f t="shared" si="1"/>
        <v>0</v>
      </c>
      <c r="V8" s="1381" t="s">
        <v>5</v>
      </c>
      <c r="W8" s="1382">
        <f t="shared" si="2"/>
        <v>0</v>
      </c>
      <c r="X8" s="1383"/>
      <c r="Y8" s="3868" t="s">
        <v>482</v>
      </c>
      <c r="Z8" s="3869"/>
      <c r="AA8" s="1384" t="e">
        <f t="shared" ref="AA8:AA47" si="3">D8/F8</f>
        <v>#DIV/0!</v>
      </c>
      <c r="AB8" s="1384" t="e">
        <f t="shared" ref="AB8:AB47" si="4">D8/H8</f>
        <v>#DIV/0!</v>
      </c>
      <c r="AC8" s="1384" t="e">
        <f t="shared" ref="AC8:AC47" si="5">D8/J8</f>
        <v>#DIV/0!</v>
      </c>
    </row>
    <row r="9" spans="1:29" s="1118" customFormat="1" ht="15">
      <c r="A9" s="2393"/>
      <c r="B9" s="2400" t="s">
        <v>2036</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3"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SUMIF(66:66,E10,67:67)-SUMIF(66:66,C10,67:67)+100</f>
        <v>100</v>
      </c>
      <c r="G10" s="3658"/>
      <c r="H10" s="246">
        <f>SUMIF(66:66,G10,67:67)-SUMIF(66:66,C10,67:67)+100</f>
        <v>100</v>
      </c>
      <c r="I10" s="3657"/>
      <c r="J10" s="246">
        <f>SUMIF(66:66,I10,67:67)-SUMIF(66:66,C10,67:67)+100</f>
        <v>100</v>
      </c>
      <c r="K10" s="494"/>
      <c r="L10" s="1860"/>
      <c r="M10" s="1899"/>
      <c r="N10" s="1899"/>
      <c r="O10" s="1899"/>
      <c r="P10" s="3903"/>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3"/>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3"/>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3"/>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3"/>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89" t="s">
        <v>2034</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99" t="s">
        <v>489</v>
      </c>
      <c r="Q15" s="1385" t="str">
        <f t="shared" si="6"/>
        <v>办公集聚程度</v>
      </c>
      <c r="R15" s="1386" t="s">
        <v>5</v>
      </c>
      <c r="S15" s="1387">
        <f t="shared" si="0"/>
        <v>100</v>
      </c>
      <c r="T15" s="1386" t="s">
        <v>5</v>
      </c>
      <c r="U15" s="1387">
        <f t="shared" si="1"/>
        <v>100</v>
      </c>
      <c r="V15" s="1386" t="s">
        <v>5</v>
      </c>
      <c r="W15" s="1387">
        <f t="shared" si="2"/>
        <v>100</v>
      </c>
      <c r="X15" s="1380"/>
      <c r="Y15" s="389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00"/>
      <c r="Q16" s="1385"/>
      <c r="R16" s="1386"/>
      <c r="S16" s="1387"/>
      <c r="T16" s="1386"/>
      <c r="U16" s="1387"/>
      <c r="V16" s="1386"/>
      <c r="W16" s="1387"/>
      <c r="X16" s="1380"/>
      <c r="Y16" s="390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00"/>
      <c r="Q17" s="1385" t="str">
        <f>B17</f>
        <v>交通便捷度</v>
      </c>
      <c r="R17" s="1386" t="s">
        <v>5</v>
      </c>
      <c r="S17" s="1387">
        <f>F17</f>
        <v>100</v>
      </c>
      <c r="T17" s="1386" t="s">
        <v>5</v>
      </c>
      <c r="U17" s="1387">
        <f>H17</f>
        <v>100</v>
      </c>
      <c r="V17" s="1386" t="s">
        <v>5</v>
      </c>
      <c r="W17" s="1387">
        <f>J17</f>
        <v>100</v>
      </c>
      <c r="X17" s="1380"/>
      <c r="Y17" s="390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00"/>
      <c r="Q18" s="1385"/>
      <c r="R18" s="1386"/>
      <c r="S18" s="1387"/>
      <c r="T18" s="1386"/>
      <c r="U18" s="1387"/>
      <c r="V18" s="1386"/>
      <c r="W18" s="1387"/>
      <c r="X18" s="1380"/>
      <c r="Y18" s="3900"/>
      <c r="Z18" s="1388"/>
      <c r="AA18" s="1389">
        <v>1</v>
      </c>
      <c r="AB18" s="1389">
        <v>1</v>
      </c>
      <c r="AC18" s="1389">
        <v>1</v>
      </c>
    </row>
    <row r="19" spans="1:29" ht="42.75">
      <c r="A19" s="502"/>
      <c r="B19" s="2210" t="s">
        <v>1827</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00"/>
      <c r="Q19" s="1385" t="str">
        <f>B19</f>
        <v>公共配套设施</v>
      </c>
      <c r="R19" s="1386" t="s">
        <v>5</v>
      </c>
      <c r="S19" s="1387">
        <f>F19</f>
        <v>100</v>
      </c>
      <c r="T19" s="1386" t="s">
        <v>5</v>
      </c>
      <c r="U19" s="1387">
        <f>H19</f>
        <v>100</v>
      </c>
      <c r="V19" s="1386" t="s">
        <v>5</v>
      </c>
      <c r="W19" s="1387">
        <f>J19</f>
        <v>100</v>
      </c>
      <c r="X19" s="1380"/>
      <c r="Y19" s="390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00"/>
      <c r="Q20" s="1385"/>
      <c r="R20" s="1386"/>
      <c r="S20" s="1387"/>
      <c r="T20" s="1386"/>
      <c r="U20" s="1387"/>
      <c r="V20" s="1386"/>
      <c r="W20" s="1387"/>
      <c r="X20" s="1380"/>
      <c r="Y20" s="3900"/>
      <c r="Z20" s="1388"/>
      <c r="AA20" s="1389">
        <v>1</v>
      </c>
      <c r="AB20" s="1389">
        <v>1</v>
      </c>
      <c r="AC20" s="1389">
        <v>1</v>
      </c>
    </row>
    <row r="21" spans="1:29" ht="28.5">
      <c r="A21" s="502"/>
      <c r="B21" s="2198" t="s">
        <v>1839</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00"/>
      <c r="Q21" s="2192" t="str">
        <f>B21</f>
        <v>基础设施水平</v>
      </c>
      <c r="R21" s="1386" t="s">
        <v>5</v>
      </c>
      <c r="S21" s="1387">
        <f>F21</f>
        <v>100</v>
      </c>
      <c r="T21" s="1386" t="s">
        <v>5</v>
      </c>
      <c r="U21" s="1387">
        <f>H21</f>
        <v>100</v>
      </c>
      <c r="V21" s="1386" t="s">
        <v>5</v>
      </c>
      <c r="W21" s="1387">
        <f>J21</f>
        <v>100</v>
      </c>
      <c r="X21" s="2194"/>
      <c r="Y21" s="3900"/>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00"/>
      <c r="Q22" s="2192"/>
      <c r="R22" s="1386"/>
      <c r="S22" s="1387"/>
      <c r="T22" s="1386"/>
      <c r="U22" s="1387"/>
      <c r="V22" s="1386"/>
      <c r="W22" s="1387"/>
      <c r="X22" s="2194"/>
      <c r="Y22" s="3900"/>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00"/>
      <c r="Q23" s="1385" t="str">
        <f>B23</f>
        <v>环境质量</v>
      </c>
      <c r="R23" s="1386" t="s">
        <v>5</v>
      </c>
      <c r="S23" s="1387">
        <f>F23</f>
        <v>100</v>
      </c>
      <c r="T23" s="1386" t="s">
        <v>5</v>
      </c>
      <c r="U23" s="1387">
        <f>H23</f>
        <v>100</v>
      </c>
      <c r="V23" s="1386" t="s">
        <v>5</v>
      </c>
      <c r="W23" s="1387">
        <f>J23</f>
        <v>100</v>
      </c>
      <c r="X23" s="1380"/>
      <c r="Y23" s="390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00"/>
      <c r="Q24" s="1385"/>
      <c r="R24" s="1386"/>
      <c r="S24" s="1387"/>
      <c r="T24" s="1386"/>
      <c r="U24" s="1387"/>
      <c r="V24" s="1386"/>
      <c r="W24" s="1387"/>
      <c r="X24" s="1380"/>
      <c r="Y24" s="390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00"/>
      <c r="Q25" s="1385" t="str">
        <f>B25</f>
        <v>毗邻道路的类型与等级</v>
      </c>
      <c r="R25" s="1386" t="s">
        <v>5</v>
      </c>
      <c r="S25" s="1387">
        <f>F25</f>
        <v>100</v>
      </c>
      <c r="T25" s="1386" t="s">
        <v>5</v>
      </c>
      <c r="U25" s="1387">
        <f>H25</f>
        <v>100</v>
      </c>
      <c r="V25" s="1386" t="s">
        <v>5</v>
      </c>
      <c r="W25" s="1387">
        <f>J25</f>
        <v>100</v>
      </c>
      <c r="X25" s="1380"/>
      <c r="Y25" s="390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00"/>
      <c r="Q26" s="1385"/>
      <c r="R26" s="1386"/>
      <c r="S26" s="1387"/>
      <c r="T26" s="1386"/>
      <c r="U26" s="1387"/>
      <c r="V26" s="1386"/>
      <c r="W26" s="1387"/>
      <c r="X26" s="1380"/>
      <c r="Y26" s="390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00"/>
      <c r="Q27" s="1385" t="str">
        <f t="shared" ref="Q27:Q47" si="8">B27</f>
        <v>楼层</v>
      </c>
      <c r="R27" s="1386" t="s">
        <v>5</v>
      </c>
      <c r="S27" s="1387">
        <f>F27</f>
        <v>100</v>
      </c>
      <c r="T27" s="1386" t="s">
        <v>5</v>
      </c>
      <c r="U27" s="1387">
        <f>H27</f>
        <v>100</v>
      </c>
      <c r="V27" s="1386" t="s">
        <v>5</v>
      </c>
      <c r="W27" s="1387">
        <f>J27</f>
        <v>100</v>
      </c>
      <c r="X27" s="1380"/>
      <c r="Y27" s="390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00"/>
      <c r="Q28" s="1050" t="str">
        <f t="shared" si="8"/>
        <v>朝向</v>
      </c>
      <c r="R28" s="1381" t="s">
        <v>5</v>
      </c>
      <c r="S28" s="1382">
        <f>F28</f>
        <v>100</v>
      </c>
      <c r="T28" s="1381" t="s">
        <v>5</v>
      </c>
      <c r="U28" s="1382">
        <f>H28</f>
        <v>100</v>
      </c>
      <c r="V28" s="1381" t="s">
        <v>5</v>
      </c>
      <c r="W28" s="1382">
        <f>J28</f>
        <v>100</v>
      </c>
      <c r="X28" s="1383"/>
      <c r="Y28" s="390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00"/>
      <c r="Q29" s="1385">
        <f t="shared" si="8"/>
        <v>111</v>
      </c>
      <c r="R29" s="1386" t="s">
        <v>5</v>
      </c>
      <c r="S29" s="1387">
        <f t="shared" ref="S29:S47" si="9">F29</f>
        <v>100</v>
      </c>
      <c r="T29" s="1386" t="s">
        <v>5</v>
      </c>
      <c r="U29" s="1387">
        <f t="shared" ref="U29:U47" si="10">H29</f>
        <v>100</v>
      </c>
      <c r="V29" s="1386" t="s">
        <v>5</v>
      </c>
      <c r="W29" s="1387">
        <f t="shared" ref="W29:W47" si="11">J29</f>
        <v>100</v>
      </c>
      <c r="X29" s="1380"/>
      <c r="Y29" s="390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00"/>
      <c r="Q30" s="1385">
        <f t="shared" si="8"/>
        <v>111</v>
      </c>
      <c r="R30" s="1386" t="s">
        <v>5</v>
      </c>
      <c r="S30" s="1387">
        <f t="shared" si="9"/>
        <v>100</v>
      </c>
      <c r="T30" s="1386" t="s">
        <v>5</v>
      </c>
      <c r="U30" s="1387">
        <f t="shared" si="10"/>
        <v>100</v>
      </c>
      <c r="V30" s="1386" t="s">
        <v>5</v>
      </c>
      <c r="W30" s="1387">
        <f t="shared" si="11"/>
        <v>100</v>
      </c>
      <c r="X30" s="1380"/>
      <c r="Y30" s="390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00"/>
      <c r="Q31" s="1385">
        <f t="shared" si="8"/>
        <v>111</v>
      </c>
      <c r="R31" s="1386" t="s">
        <v>5</v>
      </c>
      <c r="S31" s="1387">
        <f t="shared" si="9"/>
        <v>100</v>
      </c>
      <c r="T31" s="1386" t="s">
        <v>5</v>
      </c>
      <c r="U31" s="1387">
        <f t="shared" si="10"/>
        <v>100</v>
      </c>
      <c r="V31" s="1386" t="s">
        <v>5</v>
      </c>
      <c r="W31" s="1387">
        <f t="shared" si="11"/>
        <v>100</v>
      </c>
      <c r="X31" s="1380"/>
      <c r="Y31" s="390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00"/>
      <c r="Q32" s="1385">
        <f t="shared" si="8"/>
        <v>111</v>
      </c>
      <c r="R32" s="1386" t="s">
        <v>5</v>
      </c>
      <c r="S32" s="1387">
        <f t="shared" si="9"/>
        <v>100</v>
      </c>
      <c r="T32" s="1386" t="s">
        <v>5</v>
      </c>
      <c r="U32" s="1387">
        <f t="shared" si="10"/>
        <v>100</v>
      </c>
      <c r="V32" s="1386" t="s">
        <v>5</v>
      </c>
      <c r="W32" s="1387">
        <f t="shared" si="11"/>
        <v>100</v>
      </c>
      <c r="X32" s="1380"/>
      <c r="Y32" s="3900"/>
      <c r="Z32" s="1388">
        <f t="shared" si="12"/>
        <v>111</v>
      </c>
      <c r="AA32" s="1389">
        <f t="shared" si="3"/>
        <v>1</v>
      </c>
      <c r="AB32" s="1389">
        <f t="shared" si="4"/>
        <v>1</v>
      </c>
      <c r="AC32" s="1389">
        <f t="shared" si="5"/>
        <v>1</v>
      </c>
    </row>
    <row r="33" spans="1:29" ht="15">
      <c r="A33" s="2386"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01" t="s">
        <v>499</v>
      </c>
      <c r="Q33" s="1385" t="str">
        <f t="shared" si="8"/>
        <v>建筑类型</v>
      </c>
      <c r="R33" s="1386" t="s">
        <v>5</v>
      </c>
      <c r="S33" s="1387">
        <f t="shared" si="9"/>
        <v>100</v>
      </c>
      <c r="T33" s="1386" t="s">
        <v>5</v>
      </c>
      <c r="U33" s="1387">
        <f t="shared" si="10"/>
        <v>100</v>
      </c>
      <c r="V33" s="1386" t="s">
        <v>5</v>
      </c>
      <c r="W33" s="1387">
        <f t="shared" si="11"/>
        <v>100</v>
      </c>
      <c r="X33" s="1380"/>
      <c r="Y33" s="390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02"/>
      <c r="Q34" s="1414" t="str">
        <f t="shared" si="8"/>
        <v>项目建筑规模</v>
      </c>
      <c r="R34" s="1390" t="s">
        <v>5</v>
      </c>
      <c r="S34" s="1391" t="e">
        <f t="shared" si="9"/>
        <v>#N/A</v>
      </c>
      <c r="T34" s="1390" t="s">
        <v>5</v>
      </c>
      <c r="U34" s="1391" t="e">
        <f t="shared" si="10"/>
        <v>#N/A</v>
      </c>
      <c r="V34" s="1390" t="s">
        <v>5</v>
      </c>
      <c r="W34" s="1391" t="e">
        <f t="shared" si="11"/>
        <v>#N/A</v>
      </c>
      <c r="X34" s="1392"/>
      <c r="Y34" s="390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02"/>
      <c r="Q35" s="1385" t="str">
        <f t="shared" si="8"/>
        <v>建筑结构</v>
      </c>
      <c r="R35" s="1386" t="s">
        <v>5</v>
      </c>
      <c r="S35" s="1387">
        <f t="shared" si="9"/>
        <v>100</v>
      </c>
      <c r="T35" s="1386" t="s">
        <v>5</v>
      </c>
      <c r="U35" s="1387">
        <f t="shared" si="10"/>
        <v>100</v>
      </c>
      <c r="V35" s="1386" t="s">
        <v>5</v>
      </c>
      <c r="W35" s="1387">
        <f t="shared" si="11"/>
        <v>100</v>
      </c>
      <c r="X35" s="1380"/>
      <c r="Y35" s="390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02"/>
      <c r="Q36" s="1385" t="str">
        <f t="shared" si="8"/>
        <v>公共部分装修</v>
      </c>
      <c r="R36" s="1386" t="s">
        <v>5</v>
      </c>
      <c r="S36" s="1387">
        <f t="shared" si="9"/>
        <v>100</v>
      </c>
      <c r="T36" s="1386" t="s">
        <v>5</v>
      </c>
      <c r="U36" s="1387">
        <f t="shared" si="10"/>
        <v>100</v>
      </c>
      <c r="V36" s="1386" t="s">
        <v>5</v>
      </c>
      <c r="W36" s="1387">
        <f t="shared" si="11"/>
        <v>100</v>
      </c>
      <c r="X36" s="1380"/>
      <c r="Y36" s="390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02"/>
      <c r="Q37" s="1385" t="str">
        <f t="shared" si="8"/>
        <v>成新度</v>
      </c>
      <c r="R37" s="1386" t="s">
        <v>5</v>
      </c>
      <c r="S37" s="1387" t="e">
        <f t="shared" si="9"/>
        <v>#N/A</v>
      </c>
      <c r="T37" s="1386" t="s">
        <v>5</v>
      </c>
      <c r="U37" s="1387" t="e">
        <f t="shared" si="10"/>
        <v>#N/A</v>
      </c>
      <c r="V37" s="1386" t="s">
        <v>5</v>
      </c>
      <c r="W37" s="1387" t="e">
        <f t="shared" si="11"/>
        <v>#N/A</v>
      </c>
      <c r="X37" s="1380"/>
      <c r="Y37" s="390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02"/>
      <c r="Q38" s="1050" t="str">
        <f t="shared" si="8"/>
        <v>写字楼等级</v>
      </c>
      <c r="R38" s="1381" t="s">
        <v>5</v>
      </c>
      <c r="S38" s="1382">
        <f t="shared" si="9"/>
        <v>100</v>
      </c>
      <c r="T38" s="1381" t="s">
        <v>5</v>
      </c>
      <c r="U38" s="1382">
        <f t="shared" si="10"/>
        <v>100</v>
      </c>
      <c r="V38" s="1381" t="s">
        <v>5</v>
      </c>
      <c r="W38" s="1382">
        <f t="shared" si="11"/>
        <v>100</v>
      </c>
      <c r="X38" s="1383"/>
      <c r="Y38" s="390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02" t="s">
        <v>499</v>
      </c>
      <c r="Q39" s="1385" t="str">
        <f t="shared" si="8"/>
        <v>物业管理</v>
      </c>
      <c r="R39" s="1386" t="s">
        <v>5</v>
      </c>
      <c r="S39" s="1387">
        <f t="shared" si="9"/>
        <v>100</v>
      </c>
      <c r="T39" s="1386" t="s">
        <v>5</v>
      </c>
      <c r="U39" s="1387">
        <f t="shared" si="10"/>
        <v>100</v>
      </c>
      <c r="V39" s="1386" t="s">
        <v>5</v>
      </c>
      <c r="W39" s="1387">
        <f t="shared" si="11"/>
        <v>100</v>
      </c>
      <c r="X39" s="1380"/>
      <c r="Y39" s="3902" t="s">
        <v>499</v>
      </c>
      <c r="Z39" s="1388" t="str">
        <f t="shared" si="12"/>
        <v>物业管理</v>
      </c>
      <c r="AA39" s="1389">
        <f t="shared" si="3"/>
        <v>1</v>
      </c>
      <c r="AB39" s="1389">
        <f t="shared" si="4"/>
        <v>1</v>
      </c>
      <c r="AC39" s="1389">
        <f t="shared" si="5"/>
        <v>1</v>
      </c>
    </row>
    <row r="40" spans="1:29" ht="15">
      <c r="A40" s="564"/>
      <c r="B40" s="1650"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02"/>
      <c r="Q40" s="1385" t="str">
        <f t="shared" si="8"/>
        <v>市政基础设施</v>
      </c>
      <c r="R40" s="1386" t="s">
        <v>5</v>
      </c>
      <c r="S40" s="1387">
        <f t="shared" si="9"/>
        <v>100</v>
      </c>
      <c r="T40" s="1386" t="s">
        <v>5</v>
      </c>
      <c r="U40" s="1387">
        <f t="shared" si="10"/>
        <v>100</v>
      </c>
      <c r="V40" s="1386" t="s">
        <v>5</v>
      </c>
      <c r="W40" s="1387">
        <f t="shared" si="11"/>
        <v>100</v>
      </c>
      <c r="X40" s="1380"/>
      <c r="Y40" s="390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02"/>
      <c r="Q41" s="1385" t="str">
        <f t="shared" si="8"/>
        <v>层高</v>
      </c>
      <c r="R41" s="1386" t="s">
        <v>5</v>
      </c>
      <c r="S41" s="1387">
        <f t="shared" si="9"/>
        <v>100</v>
      </c>
      <c r="T41" s="1386" t="s">
        <v>5</v>
      </c>
      <c r="U41" s="1387">
        <f t="shared" si="10"/>
        <v>100</v>
      </c>
      <c r="V41" s="1386" t="s">
        <v>5</v>
      </c>
      <c r="W41" s="1387">
        <f t="shared" si="11"/>
        <v>100</v>
      </c>
      <c r="X41" s="1380"/>
      <c r="Y41" s="390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02"/>
      <c r="Q42" s="1414" t="str">
        <f t="shared" si="8"/>
        <v>单套建筑面积</v>
      </c>
      <c r="R42" s="1390" t="s">
        <v>5</v>
      </c>
      <c r="S42" s="1391">
        <f t="shared" si="9"/>
        <v>100</v>
      </c>
      <c r="T42" s="1390" t="s">
        <v>5</v>
      </c>
      <c r="U42" s="1391">
        <f t="shared" si="10"/>
        <v>100</v>
      </c>
      <c r="V42" s="1390" t="s">
        <v>5</v>
      </c>
      <c r="W42" s="1391">
        <f t="shared" si="11"/>
        <v>100</v>
      </c>
      <c r="X42" s="1392"/>
      <c r="Y42" s="390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02"/>
      <c r="Q43" s="1385" t="str">
        <f t="shared" si="8"/>
        <v>内部装修</v>
      </c>
      <c r="R43" s="1386" t="s">
        <v>5</v>
      </c>
      <c r="S43" s="1387">
        <f t="shared" si="9"/>
        <v>100</v>
      </c>
      <c r="T43" s="1386" t="s">
        <v>5</v>
      </c>
      <c r="U43" s="1387">
        <f t="shared" si="10"/>
        <v>100</v>
      </c>
      <c r="V43" s="1386" t="s">
        <v>5</v>
      </c>
      <c r="W43" s="1387">
        <f t="shared" si="11"/>
        <v>100</v>
      </c>
      <c r="X43" s="1380"/>
      <c r="Y43" s="390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02"/>
      <c r="Q44" s="1385" t="str">
        <f t="shared" si="8"/>
        <v>内部装修维护情况</v>
      </c>
      <c r="R44" s="1386" t="s">
        <v>5</v>
      </c>
      <c r="S44" s="1387">
        <f t="shared" si="9"/>
        <v>100</v>
      </c>
      <c r="T44" s="1386" t="s">
        <v>5</v>
      </c>
      <c r="U44" s="1387">
        <f t="shared" si="10"/>
        <v>100</v>
      </c>
      <c r="V44" s="1386" t="s">
        <v>5</v>
      </c>
      <c r="W44" s="1387">
        <f t="shared" si="11"/>
        <v>100</v>
      </c>
      <c r="X44" s="1380"/>
      <c r="Y44" s="390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02"/>
      <c r="Q45" s="1050">
        <f t="shared" si="8"/>
        <v>111</v>
      </c>
      <c r="R45" s="1381" t="s">
        <v>5</v>
      </c>
      <c r="S45" s="1382">
        <f t="shared" si="9"/>
        <v>100</v>
      </c>
      <c r="T45" s="1381" t="s">
        <v>5</v>
      </c>
      <c r="U45" s="1382">
        <f t="shared" si="10"/>
        <v>100</v>
      </c>
      <c r="V45" s="1381" t="s">
        <v>5</v>
      </c>
      <c r="W45" s="1382">
        <f t="shared" si="11"/>
        <v>100</v>
      </c>
      <c r="X45" s="1383"/>
      <c r="Y45" s="390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02"/>
      <c r="Q46" s="1385">
        <f t="shared" si="8"/>
        <v>111</v>
      </c>
      <c r="R46" s="1386" t="s">
        <v>5</v>
      </c>
      <c r="S46" s="1387">
        <f t="shared" si="9"/>
        <v>100</v>
      </c>
      <c r="T46" s="1386" t="s">
        <v>5</v>
      </c>
      <c r="U46" s="1387">
        <f t="shared" si="10"/>
        <v>100</v>
      </c>
      <c r="V46" s="1386" t="s">
        <v>5</v>
      </c>
      <c r="W46" s="1387">
        <f t="shared" si="11"/>
        <v>100</v>
      </c>
      <c r="X46" s="1380"/>
      <c r="Y46" s="390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85"/>
      <c r="Q47" s="1385">
        <f t="shared" si="8"/>
        <v>111</v>
      </c>
      <c r="R47" s="1386" t="s">
        <v>5</v>
      </c>
      <c r="S47" s="1387">
        <f t="shared" si="9"/>
        <v>100</v>
      </c>
      <c r="T47" s="1386" t="s">
        <v>5</v>
      </c>
      <c r="U47" s="1387">
        <f t="shared" si="10"/>
        <v>100</v>
      </c>
      <c r="V47" s="1386" t="s">
        <v>5</v>
      </c>
      <c r="W47" s="1387">
        <f t="shared" si="11"/>
        <v>100</v>
      </c>
      <c r="X47" s="1380"/>
      <c r="Y47" s="3985"/>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909" t="str">
        <f>A48</f>
        <v>成交单价（元/平方米）</v>
      </c>
      <c r="Q48" s="3903"/>
      <c r="R48" s="3984">
        <f>E48</f>
        <v>0</v>
      </c>
      <c r="S48" s="3984"/>
      <c r="T48" s="3984">
        <f>G48</f>
        <v>0</v>
      </c>
      <c r="U48" s="3984"/>
      <c r="V48" s="3984">
        <f>I48</f>
        <v>0</v>
      </c>
      <c r="W48" s="3984"/>
      <c r="X48" s="1375"/>
      <c r="Y48" s="1394"/>
      <c r="Z48" s="1375"/>
      <c r="AA48" s="1375"/>
      <c r="AB48" s="1375"/>
      <c r="AC48" s="1375"/>
    </row>
    <row r="49" spans="1:29" ht="15.75" thickBot="1">
      <c r="A49" s="585" t="s">
        <v>2040</v>
      </c>
      <c r="B49" s="851"/>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909" t="str">
        <f>A49</f>
        <v>比较价格（元/平方米）</v>
      </c>
      <c r="Q49" s="3903"/>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375"/>
      <c r="Y49" s="1375"/>
      <c r="Z49" s="1375"/>
      <c r="AA49" s="1375"/>
      <c r="AB49" s="1375"/>
      <c r="AC49" s="1375"/>
    </row>
    <row r="50" spans="1:29" ht="15.75" thickBot="1">
      <c r="A50" s="589" t="s">
        <v>2193</v>
      </c>
      <c r="B50" s="590"/>
      <c r="C50" s="2241" t="e">
        <f>R50</f>
        <v>#DIV/0!</v>
      </c>
      <c r="D50" s="2241"/>
      <c r="E50" s="2241"/>
      <c r="F50" s="2241"/>
      <c r="G50" s="2241"/>
      <c r="H50" s="2241"/>
      <c r="I50" s="2241"/>
      <c r="J50" s="2241"/>
      <c r="K50" s="1420"/>
      <c r="L50" s="1866"/>
      <c r="M50" s="1856"/>
      <c r="N50" s="1856"/>
      <c r="O50" s="1856"/>
      <c r="P50" s="3986" t="str">
        <f>A50</f>
        <v>估价对象XX用房的比较价格（楼面单价，元/平方米）</v>
      </c>
      <c r="Q50" s="3909"/>
      <c r="R50" s="3983" t="e">
        <f>IF(F1="售价",ROUND(IF(D49="简单平均",AVERAGE(R49:V49),R49*F49+T49*H49+V49*J49),0),ROUND(IF(D49="简单平均",AVERAGE(R49:V49),R49*F49+T49*H49+V49*J49),1))</f>
        <v>#DIV/0!</v>
      </c>
      <c r="S50" s="3983"/>
      <c r="T50" s="3983"/>
      <c r="U50" s="3983"/>
      <c r="V50" s="3983"/>
      <c r="W50" s="3983"/>
      <c r="X50" s="1375"/>
      <c r="Y50" s="1375"/>
      <c r="Z50" s="1375"/>
      <c r="AA50" s="1375"/>
      <c r="AB50" s="1375"/>
      <c r="AC50" s="1375"/>
    </row>
    <row r="51" spans="1:29">
      <c r="A51" s="2954"/>
      <c r="B51" s="2954"/>
      <c r="C51" s="2954"/>
      <c r="D51" s="2954"/>
      <c r="E51" s="2954"/>
      <c r="F51" s="2954"/>
      <c r="G51" s="2956"/>
      <c r="H51" s="2954"/>
      <c r="I51" s="2954"/>
      <c r="J51" s="2954"/>
      <c r="K51" s="2957"/>
      <c r="L51" s="1871"/>
      <c r="M51" s="1867"/>
      <c r="N51" s="1867"/>
      <c r="O51" s="1867"/>
      <c r="P51" s="1926"/>
      <c r="Q51" s="1867"/>
      <c r="R51" s="1867"/>
      <c r="S51" s="1867"/>
      <c r="T51" s="1867"/>
      <c r="U51" s="1867"/>
      <c r="V51" s="1867"/>
      <c r="W51" s="1867"/>
      <c r="X51" s="1867"/>
      <c r="Y51" s="1867"/>
      <c r="Z51" s="1867"/>
      <c r="AA51" s="1867"/>
      <c r="AB51" s="1867"/>
      <c r="AC51" s="1867"/>
    </row>
    <row r="52" spans="1:29">
      <c r="A52" s="2954"/>
      <c r="B52" s="2954"/>
      <c r="C52" s="2954"/>
      <c r="D52" s="2954"/>
      <c r="E52" s="2954"/>
      <c r="F52" s="2954"/>
      <c r="G52" s="2954"/>
      <c r="H52" s="2954"/>
      <c r="I52" s="2954"/>
      <c r="J52" s="2954"/>
      <c r="K52" s="2957"/>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2023-4</v>
      </c>
      <c r="D59" s="2283">
        <f>EDATE(C59,-1)</f>
        <v>44986</v>
      </c>
      <c r="E59" s="2283">
        <f t="shared" ref="E59:O59" si="13">EDATE(D59,-1)</f>
        <v>44958</v>
      </c>
      <c r="F59" s="2283">
        <f t="shared" si="13"/>
        <v>44927</v>
      </c>
      <c r="G59" s="2283">
        <f t="shared" si="13"/>
        <v>44896</v>
      </c>
      <c r="H59" s="2283">
        <f t="shared" si="13"/>
        <v>44866</v>
      </c>
      <c r="I59" s="2283">
        <f t="shared" si="13"/>
        <v>44835</v>
      </c>
      <c r="J59" s="2283">
        <f t="shared" si="13"/>
        <v>44805</v>
      </c>
      <c r="K59" s="2283">
        <f t="shared" si="13"/>
        <v>44774</v>
      </c>
      <c r="L59" s="2283">
        <f t="shared" si="13"/>
        <v>44743</v>
      </c>
      <c r="M59" s="2283">
        <f t="shared" si="13"/>
        <v>44713</v>
      </c>
      <c r="N59" s="2283">
        <f t="shared" si="13"/>
        <v>44682</v>
      </c>
      <c r="O59" s="2283">
        <f t="shared" si="13"/>
        <v>44652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1838</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1839</v>
      </c>
      <c r="C83" s="2205" t="s">
        <v>1840</v>
      </c>
      <c r="D83" s="2205" t="s">
        <v>1841</v>
      </c>
      <c r="E83" s="2205" t="s">
        <v>1842</v>
      </c>
      <c r="F83" s="2205" t="s">
        <v>1843</v>
      </c>
      <c r="G83" s="2205" t="s">
        <v>1844</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1837</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0"/>
      <c r="M1" s="2951"/>
      <c r="N1" s="2951"/>
      <c r="O1" s="2951"/>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470</v>
      </c>
      <c r="B4" s="483"/>
      <c r="C4" s="3884" t="s">
        <v>471</v>
      </c>
      <c r="D4" s="3885"/>
      <c r="E4" s="3886" t="s">
        <v>472</v>
      </c>
      <c r="F4" s="3887"/>
      <c r="G4" s="3884" t="s">
        <v>473</v>
      </c>
      <c r="H4" s="3885"/>
      <c r="I4" s="3884" t="s">
        <v>474</v>
      </c>
      <c r="J4" s="3885"/>
      <c r="K4" s="484" t="s">
        <v>475</v>
      </c>
      <c r="L4" s="1855"/>
      <c r="M4" s="1856"/>
      <c r="N4" s="1856"/>
      <c r="O4" s="1856"/>
      <c r="P4" s="3888" t="s">
        <v>476</v>
      </c>
      <c r="Q4" s="3889"/>
      <c r="R4" s="3870" t="s">
        <v>472</v>
      </c>
      <c r="S4" s="3871"/>
      <c r="T4" s="3870" t="s">
        <v>473</v>
      </c>
      <c r="U4" s="3871"/>
      <c r="V4" s="3896" t="s">
        <v>474</v>
      </c>
      <c r="W4" s="3896"/>
      <c r="X4" s="1380"/>
      <c r="Y4" s="3870" t="s">
        <v>476</v>
      </c>
      <c r="Z4" s="3871"/>
      <c r="AA4" s="3881" t="s">
        <v>472</v>
      </c>
      <c r="AB4" s="3882" t="s">
        <v>473</v>
      </c>
      <c r="AC4" s="3881" t="s">
        <v>474</v>
      </c>
    </row>
    <row r="5" spans="1:29" ht="15">
      <c r="A5" s="485"/>
      <c r="B5" s="486"/>
      <c r="C5" s="3874" t="s">
        <v>2187</v>
      </c>
      <c r="D5" s="3875"/>
      <c r="E5" s="3897" t="s">
        <v>2188</v>
      </c>
      <c r="F5" s="3898"/>
      <c r="G5" s="3874" t="s">
        <v>2189</v>
      </c>
      <c r="H5" s="3875"/>
      <c r="I5" s="3874" t="s">
        <v>2190</v>
      </c>
      <c r="J5" s="3875"/>
      <c r="K5" s="484"/>
      <c r="L5" s="1855"/>
      <c r="M5" s="1856"/>
      <c r="N5" s="1856"/>
      <c r="O5" s="1856"/>
      <c r="P5" s="3890"/>
      <c r="Q5" s="3891"/>
      <c r="R5" s="3872"/>
      <c r="S5" s="3873"/>
      <c r="T5" s="3872"/>
      <c r="U5" s="3873"/>
      <c r="V5" s="3896"/>
      <c r="W5" s="3896"/>
      <c r="X5" s="1380"/>
      <c r="Y5" s="3872"/>
      <c r="Z5" s="3873"/>
      <c r="AA5" s="3882"/>
      <c r="AB5" s="3882"/>
      <c r="AC5" s="3882"/>
    </row>
    <row r="6" spans="1:29" ht="15.75" thickBot="1">
      <c r="A6" s="487"/>
      <c r="B6" s="488"/>
      <c r="C6" s="3876" t="s">
        <v>2191</v>
      </c>
      <c r="D6" s="3877"/>
      <c r="E6" s="3879" t="s">
        <v>2191</v>
      </c>
      <c r="F6" s="3880"/>
      <c r="G6" s="3876" t="s">
        <v>2191</v>
      </c>
      <c r="H6" s="3877"/>
      <c r="I6" s="3876" t="s">
        <v>2191</v>
      </c>
      <c r="J6" s="3877"/>
      <c r="K6" s="484" t="s">
        <v>477</v>
      </c>
      <c r="L6" s="1855"/>
      <c r="M6" s="1856"/>
      <c r="N6" s="1856"/>
      <c r="O6" s="1856"/>
      <c r="P6" s="3892"/>
      <c r="Q6" s="3893"/>
      <c r="R6" s="3872"/>
      <c r="S6" s="3873"/>
      <c r="T6" s="3894"/>
      <c r="U6" s="3895"/>
      <c r="V6" s="3896"/>
      <c r="W6" s="3896"/>
      <c r="X6" s="1380"/>
      <c r="Y6" s="3894"/>
      <c r="Z6" s="3895"/>
      <c r="AA6" s="3883"/>
      <c r="AB6" s="3883"/>
      <c r="AC6" s="3883"/>
    </row>
    <row r="7" spans="1:29" s="1118" customFormat="1" ht="15.75" thickBot="1">
      <c r="A7" s="2391"/>
      <c r="B7" s="2398" t="s">
        <v>478</v>
      </c>
      <c r="C7" s="489">
        <f>'数据-取费表'!B2</f>
        <v>45040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68" t="s">
        <v>479</v>
      </c>
      <c r="Q7" s="3878"/>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40" si="3">D8/F8</f>
        <v>#DIV/0!</v>
      </c>
      <c r="AB8" s="1384" t="e">
        <f t="shared" ref="AB8:AB40" si="4">D8/H8</f>
        <v>#DIV/0!</v>
      </c>
      <c r="AC8" s="1384" t="e">
        <f t="shared" ref="AC8:AC40" si="5">D8/J8</f>
        <v>#DIV/0!</v>
      </c>
    </row>
    <row r="9" spans="1:29" s="1118" customFormat="1" ht="15">
      <c r="A9" s="2393"/>
      <c r="B9" s="2400" t="s">
        <v>2036</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3"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SUMIF(59:59,E10,60:60)-SUMIF(59:59,C10,60:60)+100</f>
        <v>100</v>
      </c>
      <c r="G10" s="3658"/>
      <c r="H10" s="246">
        <f>SUMIF(59:59,G10,60:60)-SUMIF(59:59,C10,60:60)+100</f>
        <v>100</v>
      </c>
      <c r="I10" s="3657"/>
      <c r="J10" s="246">
        <f>SUMIF(59:59,I10,60:60)-SUMIF(59:59,C10,60:60)+100</f>
        <v>100</v>
      </c>
      <c r="K10" s="494"/>
      <c r="L10" s="1860"/>
      <c r="M10" s="1899"/>
      <c r="N10" s="1899"/>
      <c r="O10" s="1861"/>
      <c r="P10" s="3903"/>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03"/>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3"/>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3"/>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3"/>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15">
      <c r="A15" s="2389" t="s">
        <v>2034</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99" t="s">
        <v>489</v>
      </c>
      <c r="Q15" s="1385" t="str">
        <f t="shared" si="6"/>
        <v>产业集聚程度</v>
      </c>
      <c r="R15" s="1386" t="s">
        <v>5</v>
      </c>
      <c r="S15" s="1387">
        <f t="shared" si="0"/>
        <v>100</v>
      </c>
      <c r="T15" s="1386" t="s">
        <v>5</v>
      </c>
      <c r="U15" s="1387">
        <f t="shared" si="1"/>
        <v>100</v>
      </c>
      <c r="V15" s="1386" t="s">
        <v>5</v>
      </c>
      <c r="W15" s="1387">
        <f t="shared" si="2"/>
        <v>100</v>
      </c>
      <c r="X15" s="1380"/>
      <c r="Y15" s="389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00"/>
      <c r="Q16" s="1385"/>
      <c r="R16" s="1386"/>
      <c r="S16" s="1387"/>
      <c r="T16" s="1386"/>
      <c r="U16" s="1387"/>
      <c r="V16" s="1386"/>
      <c r="W16" s="1387"/>
      <c r="X16" s="1380"/>
      <c r="Y16" s="3900"/>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00"/>
      <c r="Q17" s="1385" t="str">
        <f>B17</f>
        <v>交通便捷度</v>
      </c>
      <c r="R17" s="1386" t="s">
        <v>5</v>
      </c>
      <c r="S17" s="1387">
        <f>F17</f>
        <v>100</v>
      </c>
      <c r="T17" s="1386" t="s">
        <v>5</v>
      </c>
      <c r="U17" s="1387">
        <f>H17</f>
        <v>100</v>
      </c>
      <c r="V17" s="1386" t="s">
        <v>5</v>
      </c>
      <c r="W17" s="1387">
        <f>J17</f>
        <v>100</v>
      </c>
      <c r="X17" s="1380"/>
      <c r="Y17" s="390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00"/>
      <c r="Q18" s="1385"/>
      <c r="R18" s="1386"/>
      <c r="S18" s="1387"/>
      <c r="T18" s="1386"/>
      <c r="U18" s="1387"/>
      <c r="V18" s="1386"/>
      <c r="W18" s="1387"/>
      <c r="X18" s="1380"/>
      <c r="Y18" s="3900"/>
      <c r="Z18" s="1388"/>
      <c r="AA18" s="1389">
        <v>1</v>
      </c>
      <c r="AB18" s="1389">
        <v>1</v>
      </c>
      <c r="AC18" s="1389">
        <v>1</v>
      </c>
    </row>
    <row r="19" spans="1:29" ht="15">
      <c r="A19" s="502"/>
      <c r="B19" s="2210" t="s">
        <v>1827</v>
      </c>
      <c r="C19" s="835" t="str">
        <f>估价对象房地状况!G5</f>
        <v>一般</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00"/>
      <c r="Q19" s="1385" t="str">
        <f>B19</f>
        <v>公共配套设施</v>
      </c>
      <c r="R19" s="1386" t="s">
        <v>5</v>
      </c>
      <c r="S19" s="1387">
        <f>F19</f>
        <v>100</v>
      </c>
      <c r="T19" s="1386" t="s">
        <v>5</v>
      </c>
      <c r="U19" s="1387">
        <f>H19</f>
        <v>100</v>
      </c>
      <c r="V19" s="1386" t="s">
        <v>5</v>
      </c>
      <c r="W19" s="1387">
        <f>J19</f>
        <v>100</v>
      </c>
      <c r="X19" s="1380"/>
      <c r="Y19" s="390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00"/>
      <c r="Q20" s="1385"/>
      <c r="R20" s="1386"/>
      <c r="S20" s="1387"/>
      <c r="T20" s="1386"/>
      <c r="U20" s="1387"/>
      <c r="V20" s="1386"/>
      <c r="W20" s="1387"/>
      <c r="X20" s="1380"/>
      <c r="Y20" s="3900"/>
      <c r="Z20" s="1388"/>
      <c r="AA20" s="1389">
        <v>1</v>
      </c>
      <c r="AB20" s="1389">
        <v>1</v>
      </c>
      <c r="AC20" s="1389">
        <v>1</v>
      </c>
    </row>
    <row r="21" spans="1:29" ht="15">
      <c r="A21" s="502"/>
      <c r="B21" s="2198" t="s">
        <v>1839</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00"/>
      <c r="Q21" s="2192" t="str">
        <f>B21</f>
        <v>基础设施水平</v>
      </c>
      <c r="R21" s="1386" t="s">
        <v>5</v>
      </c>
      <c r="S21" s="1387">
        <f>F21</f>
        <v>100</v>
      </c>
      <c r="T21" s="1386" t="s">
        <v>5</v>
      </c>
      <c r="U21" s="1387">
        <f>H21</f>
        <v>100</v>
      </c>
      <c r="V21" s="1386" t="s">
        <v>5</v>
      </c>
      <c r="W21" s="1387">
        <f>J21</f>
        <v>100</v>
      </c>
      <c r="X21" s="2194"/>
      <c r="Y21" s="3900"/>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00"/>
      <c r="Q22" s="2192"/>
      <c r="R22" s="1386"/>
      <c r="S22" s="1387"/>
      <c r="T22" s="1386"/>
      <c r="U22" s="1387"/>
      <c r="V22" s="1386"/>
      <c r="W22" s="1387"/>
      <c r="X22" s="2194"/>
      <c r="Y22" s="3900"/>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00"/>
      <c r="Q23" s="1385" t="str">
        <f>B23</f>
        <v>环境质量</v>
      </c>
      <c r="R23" s="1386" t="s">
        <v>5</v>
      </c>
      <c r="S23" s="1387">
        <f>F23</f>
        <v>100</v>
      </c>
      <c r="T23" s="1386" t="s">
        <v>5</v>
      </c>
      <c r="U23" s="1387">
        <f>H23</f>
        <v>100</v>
      </c>
      <c r="V23" s="1386" t="s">
        <v>5</v>
      </c>
      <c r="W23" s="1387">
        <f>J23</f>
        <v>100</v>
      </c>
      <c r="X23" s="1380"/>
      <c r="Y23" s="390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00"/>
      <c r="Q24" s="1385"/>
      <c r="R24" s="1386"/>
      <c r="S24" s="1387"/>
      <c r="T24" s="1386"/>
      <c r="U24" s="1387"/>
      <c r="V24" s="1386"/>
      <c r="W24" s="1387"/>
      <c r="X24" s="1380"/>
      <c r="Y24" s="390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00"/>
      <c r="Q25" s="1385">
        <f>B25</f>
        <v>111</v>
      </c>
      <c r="R25" s="1386" t="s">
        <v>5</v>
      </c>
      <c r="S25" s="1387">
        <f>F25</f>
        <v>100</v>
      </c>
      <c r="T25" s="1386" t="s">
        <v>5</v>
      </c>
      <c r="U25" s="1387">
        <f>H25</f>
        <v>100</v>
      </c>
      <c r="V25" s="1386" t="s">
        <v>5</v>
      </c>
      <c r="W25" s="1387">
        <f>J25</f>
        <v>100</v>
      </c>
      <c r="X25" s="1380"/>
      <c r="Y25" s="390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00"/>
      <c r="Q26" s="1385">
        <f t="shared" ref="Q26:Q40" si="8">B26</f>
        <v>111</v>
      </c>
      <c r="R26" s="1386" t="s">
        <v>5</v>
      </c>
      <c r="S26" s="1387">
        <f>F26</f>
        <v>100</v>
      </c>
      <c r="T26" s="1386" t="s">
        <v>5</v>
      </c>
      <c r="U26" s="1387">
        <f>H26</f>
        <v>100</v>
      </c>
      <c r="V26" s="1386" t="s">
        <v>5</v>
      </c>
      <c r="W26" s="1387">
        <f>J26</f>
        <v>100</v>
      </c>
      <c r="X26" s="1380"/>
      <c r="Y26" s="390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00"/>
      <c r="Q27" s="1050">
        <f t="shared" si="8"/>
        <v>111</v>
      </c>
      <c r="R27" s="1381" t="s">
        <v>5</v>
      </c>
      <c r="S27" s="1382">
        <f>F27</f>
        <v>100</v>
      </c>
      <c r="T27" s="1381" t="s">
        <v>5</v>
      </c>
      <c r="U27" s="1382">
        <f>H27</f>
        <v>100</v>
      </c>
      <c r="V27" s="1381" t="s">
        <v>5</v>
      </c>
      <c r="W27" s="1382">
        <f>J27</f>
        <v>100</v>
      </c>
      <c r="X27" s="1383"/>
      <c r="Y27" s="390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00"/>
      <c r="Q28" s="1385">
        <f t="shared" si="8"/>
        <v>111</v>
      </c>
      <c r="R28" s="1386" t="s">
        <v>5</v>
      </c>
      <c r="S28" s="1387">
        <f t="shared" ref="S28:S40" si="9">F28</f>
        <v>100</v>
      </c>
      <c r="T28" s="1386" t="s">
        <v>5</v>
      </c>
      <c r="U28" s="1387">
        <f t="shared" ref="U28:U40" si="10">H28</f>
        <v>100</v>
      </c>
      <c r="V28" s="1386" t="s">
        <v>5</v>
      </c>
      <c r="W28" s="1387">
        <f t="shared" ref="W28:W40" si="11">J28</f>
        <v>100</v>
      </c>
      <c r="X28" s="1380"/>
      <c r="Y28" s="3900"/>
      <c r="Z28" s="1388">
        <f t="shared" ref="Z28:Z40" si="12">Q28</f>
        <v>111</v>
      </c>
      <c r="AA28" s="1389">
        <f t="shared" si="3"/>
        <v>1</v>
      </c>
      <c r="AB28" s="1389">
        <f t="shared" si="4"/>
        <v>1</v>
      </c>
      <c r="AC28" s="1389">
        <f t="shared" si="5"/>
        <v>1</v>
      </c>
    </row>
    <row r="29" spans="1:29" ht="15">
      <c r="A29" s="2386"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01" t="s">
        <v>499</v>
      </c>
      <c r="Q29" s="1385" t="str">
        <f t="shared" si="8"/>
        <v>建筑类型</v>
      </c>
      <c r="R29" s="1386" t="s">
        <v>5</v>
      </c>
      <c r="S29" s="1387">
        <f t="shared" si="9"/>
        <v>100</v>
      </c>
      <c r="T29" s="1386" t="s">
        <v>5</v>
      </c>
      <c r="U29" s="1387">
        <f t="shared" si="10"/>
        <v>100</v>
      </c>
      <c r="V29" s="1386" t="s">
        <v>5</v>
      </c>
      <c r="W29" s="1387">
        <f t="shared" si="11"/>
        <v>100</v>
      </c>
      <c r="X29" s="1380"/>
      <c r="Y29" s="390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02"/>
      <c r="Q30" s="1414" t="str">
        <f t="shared" si="8"/>
        <v>项目建筑规模</v>
      </c>
      <c r="R30" s="1390" t="s">
        <v>5</v>
      </c>
      <c r="S30" s="1391" t="e">
        <f t="shared" si="9"/>
        <v>#N/A</v>
      </c>
      <c r="T30" s="1390" t="s">
        <v>5</v>
      </c>
      <c r="U30" s="1391" t="e">
        <f t="shared" si="10"/>
        <v>#N/A</v>
      </c>
      <c r="V30" s="1390" t="s">
        <v>5</v>
      </c>
      <c r="W30" s="1391" t="e">
        <f t="shared" si="11"/>
        <v>#N/A</v>
      </c>
      <c r="X30" s="1392"/>
      <c r="Y30" s="390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02"/>
      <c r="Q31" s="1385" t="str">
        <f t="shared" si="8"/>
        <v>建筑结构</v>
      </c>
      <c r="R31" s="1386" t="s">
        <v>5</v>
      </c>
      <c r="S31" s="1387">
        <f t="shared" si="9"/>
        <v>100</v>
      </c>
      <c r="T31" s="1386" t="s">
        <v>5</v>
      </c>
      <c r="U31" s="1387">
        <f t="shared" si="10"/>
        <v>100</v>
      </c>
      <c r="V31" s="1386" t="s">
        <v>5</v>
      </c>
      <c r="W31" s="1387">
        <f t="shared" si="11"/>
        <v>100</v>
      </c>
      <c r="X31" s="1380"/>
      <c r="Y31" s="390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02"/>
      <c r="Q32" s="1385" t="str">
        <f t="shared" si="8"/>
        <v>公共部分装修</v>
      </c>
      <c r="R32" s="1386" t="s">
        <v>5</v>
      </c>
      <c r="S32" s="1387">
        <f t="shared" si="9"/>
        <v>100</v>
      </c>
      <c r="T32" s="1386" t="s">
        <v>5</v>
      </c>
      <c r="U32" s="1387">
        <f t="shared" si="10"/>
        <v>100</v>
      </c>
      <c r="V32" s="1386" t="s">
        <v>5</v>
      </c>
      <c r="W32" s="1387">
        <f t="shared" si="11"/>
        <v>100</v>
      </c>
      <c r="X32" s="1380"/>
      <c r="Y32" s="390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02"/>
      <c r="Q33" s="1385" t="str">
        <f t="shared" si="8"/>
        <v>成新度</v>
      </c>
      <c r="R33" s="1386" t="s">
        <v>5</v>
      </c>
      <c r="S33" s="1387" t="e">
        <f t="shared" si="9"/>
        <v>#N/A</v>
      </c>
      <c r="T33" s="1386" t="s">
        <v>5</v>
      </c>
      <c r="U33" s="1387" t="e">
        <f t="shared" si="10"/>
        <v>#N/A</v>
      </c>
      <c r="V33" s="1386" t="s">
        <v>5</v>
      </c>
      <c r="W33" s="1387" t="e">
        <f t="shared" si="11"/>
        <v>#N/A</v>
      </c>
      <c r="X33" s="1380"/>
      <c r="Y33" s="390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02"/>
      <c r="Q34" s="1050" t="str">
        <f t="shared" si="8"/>
        <v>物业管理</v>
      </c>
      <c r="R34" s="1381" t="s">
        <v>5</v>
      </c>
      <c r="S34" s="1382">
        <f t="shared" si="9"/>
        <v>100</v>
      </c>
      <c r="T34" s="1381" t="s">
        <v>5</v>
      </c>
      <c r="U34" s="1382">
        <f t="shared" si="10"/>
        <v>100</v>
      </c>
      <c r="V34" s="1381" t="s">
        <v>5</v>
      </c>
      <c r="W34" s="1382">
        <f t="shared" si="11"/>
        <v>100</v>
      </c>
      <c r="X34" s="1383"/>
      <c r="Y34" s="3902"/>
      <c r="Z34" s="1049" t="str">
        <f t="shared" si="12"/>
        <v>物业管理</v>
      </c>
      <c r="AA34" s="1384">
        <f t="shared" si="3"/>
        <v>1</v>
      </c>
      <c r="AB34" s="1384">
        <f t="shared" si="4"/>
        <v>1</v>
      </c>
      <c r="AC34" s="1384">
        <f t="shared" si="5"/>
        <v>1</v>
      </c>
    </row>
    <row r="35" spans="1:29" ht="15">
      <c r="A35" s="564"/>
      <c r="B35" s="1650"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02" t="s">
        <v>499</v>
      </c>
      <c r="Q35" s="1385" t="str">
        <f t="shared" si="8"/>
        <v>市政基础设施</v>
      </c>
      <c r="R35" s="1386" t="s">
        <v>5</v>
      </c>
      <c r="S35" s="1387">
        <f t="shared" si="9"/>
        <v>100</v>
      </c>
      <c r="T35" s="1386" t="s">
        <v>5</v>
      </c>
      <c r="U35" s="1387">
        <f t="shared" si="10"/>
        <v>100</v>
      </c>
      <c r="V35" s="1386" t="s">
        <v>5</v>
      </c>
      <c r="W35" s="1387">
        <f t="shared" si="11"/>
        <v>100</v>
      </c>
      <c r="X35" s="1380"/>
      <c r="Y35" s="390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02"/>
      <c r="Q36" s="1385" t="str">
        <f t="shared" si="8"/>
        <v>内部装修</v>
      </c>
      <c r="R36" s="1386" t="s">
        <v>5</v>
      </c>
      <c r="S36" s="1387">
        <f t="shared" si="9"/>
        <v>100</v>
      </c>
      <c r="T36" s="1386" t="s">
        <v>5</v>
      </c>
      <c r="U36" s="1387">
        <f t="shared" si="10"/>
        <v>100</v>
      </c>
      <c r="V36" s="1386" t="s">
        <v>5</v>
      </c>
      <c r="W36" s="1387">
        <f t="shared" si="11"/>
        <v>100</v>
      </c>
      <c r="X36" s="1380"/>
      <c r="Y36" s="390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02"/>
      <c r="Q37" s="1385" t="str">
        <f t="shared" si="8"/>
        <v>内部装修状况</v>
      </c>
      <c r="R37" s="1386" t="s">
        <v>5</v>
      </c>
      <c r="S37" s="1387">
        <f t="shared" si="9"/>
        <v>100</v>
      </c>
      <c r="T37" s="1386" t="s">
        <v>5</v>
      </c>
      <c r="U37" s="1387">
        <f t="shared" si="10"/>
        <v>100</v>
      </c>
      <c r="V37" s="1386" t="s">
        <v>5</v>
      </c>
      <c r="W37" s="1387">
        <f t="shared" si="11"/>
        <v>100</v>
      </c>
      <c r="X37" s="1380"/>
      <c r="Y37" s="390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02"/>
      <c r="Q38" s="1414">
        <f t="shared" si="8"/>
        <v>111</v>
      </c>
      <c r="R38" s="1390" t="s">
        <v>5</v>
      </c>
      <c r="S38" s="1391">
        <f t="shared" si="9"/>
        <v>100</v>
      </c>
      <c r="T38" s="1390" t="s">
        <v>5</v>
      </c>
      <c r="U38" s="1391">
        <f t="shared" si="10"/>
        <v>100</v>
      </c>
      <c r="V38" s="1390" t="s">
        <v>5</v>
      </c>
      <c r="W38" s="1391">
        <f t="shared" si="11"/>
        <v>100</v>
      </c>
      <c r="X38" s="1392"/>
      <c r="Y38" s="390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02"/>
      <c r="Q39" s="1385">
        <f t="shared" si="8"/>
        <v>111</v>
      </c>
      <c r="R39" s="1386" t="s">
        <v>5</v>
      </c>
      <c r="S39" s="1387">
        <f t="shared" si="9"/>
        <v>100</v>
      </c>
      <c r="T39" s="1386" t="s">
        <v>5</v>
      </c>
      <c r="U39" s="1387">
        <f t="shared" si="10"/>
        <v>100</v>
      </c>
      <c r="V39" s="1386" t="s">
        <v>5</v>
      </c>
      <c r="W39" s="1387">
        <f t="shared" si="11"/>
        <v>100</v>
      </c>
      <c r="X39" s="1380"/>
      <c r="Y39" s="390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85"/>
      <c r="Q40" s="1385">
        <f t="shared" si="8"/>
        <v>111</v>
      </c>
      <c r="R40" s="1386" t="s">
        <v>5</v>
      </c>
      <c r="S40" s="1387">
        <f t="shared" si="9"/>
        <v>100</v>
      </c>
      <c r="T40" s="1386" t="s">
        <v>5</v>
      </c>
      <c r="U40" s="1387">
        <f t="shared" si="10"/>
        <v>100</v>
      </c>
      <c r="V40" s="1386" t="s">
        <v>5</v>
      </c>
      <c r="W40" s="1387">
        <f t="shared" si="11"/>
        <v>100</v>
      </c>
      <c r="X40" s="1380"/>
      <c r="Y40" s="3985"/>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903" t="str">
        <f>A41</f>
        <v>成交单价（元/平方米）</v>
      </c>
      <c r="Q41" s="3903"/>
      <c r="R41" s="3984">
        <f>E41</f>
        <v>0</v>
      </c>
      <c r="S41" s="3984"/>
      <c r="T41" s="3984">
        <f>G41</f>
        <v>0</v>
      </c>
      <c r="U41" s="3984"/>
      <c r="V41" s="3984">
        <f>I41</f>
        <v>0</v>
      </c>
      <c r="W41" s="3984"/>
      <c r="X41" s="1375"/>
      <c r="Y41" s="1394"/>
      <c r="Z41" s="1375"/>
      <c r="AA41" s="1375"/>
      <c r="AB41" s="1375"/>
      <c r="AC41" s="1375"/>
    </row>
    <row r="42" spans="1:29" ht="15.75" thickBot="1">
      <c r="A42" s="585" t="s">
        <v>2040</v>
      </c>
      <c r="B42" s="851"/>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903" t="str">
        <f>A42</f>
        <v>比较价格（元/平方米）</v>
      </c>
      <c r="Q42" s="3903"/>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375"/>
      <c r="Y42" s="1375"/>
      <c r="Z42" s="1375"/>
      <c r="AA42" s="1375"/>
      <c r="AB42" s="1375"/>
      <c r="AC42" s="1375"/>
    </row>
    <row r="43" spans="1:29" ht="15.75" thickBot="1">
      <c r="A43" s="589" t="s">
        <v>2193</v>
      </c>
      <c r="B43" s="590"/>
      <c r="C43" s="2241" t="e">
        <f>R43</f>
        <v>#DIV/0!</v>
      </c>
      <c r="D43" s="2241"/>
      <c r="E43" s="2241"/>
      <c r="F43" s="2241"/>
      <c r="G43" s="2241"/>
      <c r="H43" s="2241"/>
      <c r="I43" s="2241"/>
      <c r="J43" s="2241"/>
      <c r="K43" s="1420"/>
      <c r="L43" s="1866"/>
      <c r="M43" s="1867"/>
      <c r="N43" s="1867"/>
      <c r="O43" s="1867"/>
      <c r="P43" s="3908" t="str">
        <f>A43</f>
        <v>估价对象XX用房的比较价格（楼面单价，元/平方米）</v>
      </c>
      <c r="Q43" s="3909"/>
      <c r="R43" s="3983" t="e">
        <f>IF(F1="售价",ROUND(IF(D42="简单平均",AVERAGE(R42:V42),R42*F42+T42*H42+V42*J42),0),ROUND(IF(D42="简单平均",AVERAGE(R42:V42),R42*F42+T42*H42+V42*J42),1))</f>
        <v>#DIV/0!</v>
      </c>
      <c r="S43" s="3983"/>
      <c r="T43" s="3983"/>
      <c r="U43" s="3983"/>
      <c r="V43" s="3983"/>
      <c r="W43" s="3983"/>
      <c r="X43" s="1375"/>
      <c r="Y43" s="1375"/>
      <c r="Z43" s="1375"/>
      <c r="AA43" s="1375"/>
      <c r="AB43" s="1375"/>
      <c r="AC43" s="1375"/>
    </row>
    <row r="44" spans="1:29">
      <c r="A44" s="2954"/>
      <c r="B44" s="2954"/>
      <c r="C44" s="2954"/>
      <c r="D44" s="2954"/>
      <c r="E44" s="2954"/>
      <c r="F44" s="2954"/>
      <c r="G44" s="2956"/>
      <c r="H44" s="2954"/>
      <c r="I44" s="2954"/>
      <c r="J44" s="2954"/>
      <c r="K44" s="2957"/>
      <c r="L44" s="1871"/>
      <c r="M44" s="1867"/>
      <c r="N44" s="1867"/>
      <c r="O44" s="1867"/>
      <c r="P44" s="1867"/>
      <c r="Q44" s="1867"/>
      <c r="R44" s="1867"/>
      <c r="S44" s="1867"/>
      <c r="T44" s="1867"/>
      <c r="U44" s="1867"/>
      <c r="V44" s="1867"/>
      <c r="W44" s="1867"/>
      <c r="X44" s="1867"/>
      <c r="Y44" s="1867"/>
      <c r="Z44" s="1867"/>
      <c r="AA44" s="1867"/>
      <c r="AB44" s="1867"/>
      <c r="AC44" s="1867"/>
    </row>
    <row r="45" spans="1:29">
      <c r="A45" s="2954"/>
      <c r="B45" s="2954"/>
      <c r="C45" s="2954"/>
      <c r="D45" s="2954"/>
      <c r="E45" s="2954"/>
      <c r="F45" s="2954"/>
      <c r="G45" s="2954"/>
      <c r="H45" s="2954"/>
      <c r="I45" s="2954"/>
      <c r="J45" s="2954"/>
      <c r="K45" s="2957"/>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2023-4</v>
      </c>
      <c r="D52" s="2283">
        <f>EDATE(C52,-1)</f>
        <v>44986</v>
      </c>
      <c r="E52" s="2283">
        <f t="shared" ref="E52:O52" si="13">EDATE(D52,-1)</f>
        <v>44958</v>
      </c>
      <c r="F52" s="2283">
        <f t="shared" si="13"/>
        <v>44927</v>
      </c>
      <c r="G52" s="2283">
        <f t="shared" si="13"/>
        <v>44896</v>
      </c>
      <c r="H52" s="2283">
        <f t="shared" si="13"/>
        <v>44866</v>
      </c>
      <c r="I52" s="2283">
        <f t="shared" si="13"/>
        <v>44835</v>
      </c>
      <c r="J52" s="2283">
        <f t="shared" si="13"/>
        <v>44805</v>
      </c>
      <c r="K52" s="2283">
        <f t="shared" si="13"/>
        <v>44774</v>
      </c>
      <c r="L52" s="2283">
        <f t="shared" si="13"/>
        <v>44743</v>
      </c>
      <c r="M52" s="2283">
        <f t="shared" si="13"/>
        <v>44713</v>
      </c>
      <c r="N52" s="2283">
        <f t="shared" si="13"/>
        <v>44682</v>
      </c>
      <c r="O52" s="2283">
        <f t="shared" si="13"/>
        <v>44652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1838</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1839</v>
      </c>
      <c r="C76" s="2205" t="s">
        <v>1840</v>
      </c>
      <c r="D76" s="2205" t="s">
        <v>1841</v>
      </c>
      <c r="E76" s="2205" t="s">
        <v>1842</v>
      </c>
      <c r="F76" s="2205" t="s">
        <v>1843</v>
      </c>
      <c r="G76" s="2205" t="s">
        <v>1844</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1837</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IF(B37="元/平方米",C39,ROUND(B2*10000/D3,0))</f>
        <v>#DIV/0!</v>
      </c>
      <c r="C3" s="817" t="s">
        <v>736</v>
      </c>
      <c r="D3" s="816">
        <f>SUMIF('数据-汇总表'!$C19:$C33,D1,'数据-汇总表'!$E19:$E33)</f>
        <v>0</v>
      </c>
      <c r="E3" s="1633" t="s">
        <v>1592</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884" t="s">
        <v>738</v>
      </c>
      <c r="D4" s="3885"/>
      <c r="E4" s="3884" t="s">
        <v>739</v>
      </c>
      <c r="F4" s="3885"/>
      <c r="G4" s="3884" t="s">
        <v>740</v>
      </c>
      <c r="H4" s="3885"/>
      <c r="I4" s="3884" t="s">
        <v>741</v>
      </c>
      <c r="J4" s="3885"/>
      <c r="K4" s="484" t="s">
        <v>742</v>
      </c>
      <c r="L4" s="1855"/>
      <c r="M4" s="1856"/>
      <c r="N4" s="1856"/>
      <c r="O4" s="1856"/>
      <c r="P4" s="3888" t="s">
        <v>743</v>
      </c>
      <c r="Q4" s="3889"/>
      <c r="R4" s="3870" t="s">
        <v>739</v>
      </c>
      <c r="S4" s="3871"/>
      <c r="T4" s="3870" t="s">
        <v>740</v>
      </c>
      <c r="U4" s="3871"/>
      <c r="V4" s="3896" t="s">
        <v>741</v>
      </c>
      <c r="W4" s="3896"/>
      <c r="X4" s="1380"/>
      <c r="Y4" s="3870" t="s">
        <v>743</v>
      </c>
      <c r="Z4" s="3871"/>
      <c r="AA4" s="3881" t="s">
        <v>739</v>
      </c>
      <c r="AB4" s="3882" t="s">
        <v>740</v>
      </c>
      <c r="AC4" s="3881" t="s">
        <v>741</v>
      </c>
    </row>
    <row r="5" spans="1:29" ht="15">
      <c r="A5" s="485"/>
      <c r="B5" s="486"/>
      <c r="C5" s="3874" t="s">
        <v>2187</v>
      </c>
      <c r="D5" s="3875"/>
      <c r="E5" s="3874" t="s">
        <v>2188</v>
      </c>
      <c r="F5" s="3875"/>
      <c r="G5" s="3874" t="s">
        <v>2189</v>
      </c>
      <c r="H5" s="3875"/>
      <c r="I5" s="3874" t="s">
        <v>2190</v>
      </c>
      <c r="J5" s="3875"/>
      <c r="K5" s="484"/>
      <c r="L5" s="1855"/>
      <c r="M5" s="1856"/>
      <c r="N5" s="1856"/>
      <c r="O5" s="1856"/>
      <c r="P5" s="3890"/>
      <c r="Q5" s="3891"/>
      <c r="R5" s="3872"/>
      <c r="S5" s="3873"/>
      <c r="T5" s="3872"/>
      <c r="U5" s="3873"/>
      <c r="V5" s="3896"/>
      <c r="W5" s="3896"/>
      <c r="X5" s="1380"/>
      <c r="Y5" s="3872"/>
      <c r="Z5" s="3873"/>
      <c r="AA5" s="3882"/>
      <c r="AB5" s="3882"/>
      <c r="AC5" s="3882"/>
    </row>
    <row r="6" spans="1:29" ht="15.75" thickBot="1">
      <c r="A6" s="487"/>
      <c r="B6" s="488"/>
      <c r="C6" s="3876" t="s">
        <v>2191</v>
      </c>
      <c r="D6" s="3877"/>
      <c r="E6" s="3917" t="s">
        <v>2191</v>
      </c>
      <c r="F6" s="3918"/>
      <c r="G6" s="3876" t="s">
        <v>2191</v>
      </c>
      <c r="H6" s="3877"/>
      <c r="I6" s="3876" t="s">
        <v>2191</v>
      </c>
      <c r="J6" s="3877"/>
      <c r="K6" s="484" t="s">
        <v>477</v>
      </c>
      <c r="L6" s="1855"/>
      <c r="M6" s="1856"/>
      <c r="N6" s="1856"/>
      <c r="O6" s="1856"/>
      <c r="P6" s="3892"/>
      <c r="Q6" s="3893"/>
      <c r="R6" s="3872"/>
      <c r="S6" s="3873"/>
      <c r="T6" s="3894"/>
      <c r="U6" s="3895"/>
      <c r="V6" s="3896"/>
      <c r="W6" s="3896"/>
      <c r="X6" s="1380"/>
      <c r="Y6" s="3894"/>
      <c r="Z6" s="3895"/>
      <c r="AA6" s="3883"/>
      <c r="AB6" s="3883"/>
      <c r="AC6" s="3883"/>
    </row>
    <row r="7" spans="1:29" s="1118" customFormat="1" ht="15.75" thickBot="1">
      <c r="A7" s="2391"/>
      <c r="B7" s="2398" t="s">
        <v>478</v>
      </c>
      <c r="C7" s="489">
        <f>'数据-取费表'!B2</f>
        <v>45040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68" t="s">
        <v>479</v>
      </c>
      <c r="Q7" s="3878"/>
      <c r="R7" s="1381" t="s">
        <v>5</v>
      </c>
      <c r="S7" s="1382">
        <f t="shared" ref="S7:S14" si="0">F7</f>
        <v>0</v>
      </c>
      <c r="T7" s="1381" t="s">
        <v>5</v>
      </c>
      <c r="U7" s="1382">
        <f t="shared" ref="U7:U14" si="1">H7</f>
        <v>0</v>
      </c>
      <c r="V7" s="1381" t="s">
        <v>5</v>
      </c>
      <c r="W7" s="1382">
        <f t="shared" ref="W7:W14"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36" si="3">D8/F8</f>
        <v>#DIV/0!</v>
      </c>
      <c r="AB8" s="1384" t="e">
        <f t="shared" ref="AB8:AB36" si="4">D8/H8</f>
        <v>#DIV/0!</v>
      </c>
      <c r="AC8" s="1384" t="e">
        <f t="shared" ref="AC8:AC36" si="5">D8/J8</f>
        <v>#DIV/0!</v>
      </c>
    </row>
    <row r="9" spans="1:29" s="1118" customFormat="1" ht="15">
      <c r="A9" s="2393"/>
      <c r="B9" s="2400" t="s">
        <v>2036</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3"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4"/>
      <c r="B10" s="2399" t="s">
        <v>2037</v>
      </c>
      <c r="C10" s="3657"/>
      <c r="D10" s="246">
        <v>100</v>
      </c>
      <c r="E10" s="3657"/>
      <c r="F10" s="246">
        <f>SUMIF(55:55,E10,56:56)-SUMIF(55:55,C10,56:56)+100</f>
        <v>100</v>
      </c>
      <c r="G10" s="3658"/>
      <c r="H10" s="246">
        <f>SUMIF(55:55,G10,56:56)-SUMIF(55:55,C10,56:56)+100</f>
        <v>100</v>
      </c>
      <c r="I10" s="3657"/>
      <c r="J10" s="246">
        <f>SUMIF(55:55,I10,56:56)-SUMIF(55:55,C10,56:56)+100</f>
        <v>100</v>
      </c>
      <c r="K10" s="494"/>
      <c r="L10" s="1860"/>
      <c r="M10" s="1899"/>
      <c r="N10" s="1899"/>
      <c r="O10" s="1861"/>
      <c r="P10" s="3903"/>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3"/>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3"/>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3"/>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89" t="s">
        <v>2034</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99" t="s">
        <v>489</v>
      </c>
      <c r="Q14" s="1385" t="str">
        <f t="shared" si="6"/>
        <v>交通便捷度</v>
      </c>
      <c r="R14" s="1386" t="s">
        <v>5</v>
      </c>
      <c r="S14" s="1387">
        <f t="shared" si="0"/>
        <v>100</v>
      </c>
      <c r="T14" s="1386" t="s">
        <v>5</v>
      </c>
      <c r="U14" s="1387">
        <f t="shared" si="1"/>
        <v>100</v>
      </c>
      <c r="V14" s="1386" t="s">
        <v>5</v>
      </c>
      <c r="W14" s="1387">
        <f t="shared" si="2"/>
        <v>100</v>
      </c>
      <c r="X14" s="1380"/>
      <c r="Y14" s="389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00"/>
      <c r="Q15" s="1385"/>
      <c r="R15" s="1386"/>
      <c r="S15" s="1387"/>
      <c r="T15" s="1386"/>
      <c r="U15" s="1387"/>
      <c r="V15" s="1386"/>
      <c r="W15" s="1387"/>
      <c r="X15" s="1380"/>
      <c r="Y15" s="3900"/>
      <c r="Z15" s="1388"/>
      <c r="AA15" s="1389">
        <v>1</v>
      </c>
      <c r="AB15" s="1389">
        <v>1</v>
      </c>
      <c r="AC15" s="1389">
        <v>1</v>
      </c>
    </row>
    <row r="16" spans="1:29" ht="42.75">
      <c r="A16" s="485"/>
      <c r="B16" s="2210" t="s">
        <v>1827</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00"/>
      <c r="Q16" s="1385" t="str">
        <f>B16</f>
        <v>公共配套设施</v>
      </c>
      <c r="R16" s="1386" t="s">
        <v>5</v>
      </c>
      <c r="S16" s="1387">
        <f>F16</f>
        <v>100</v>
      </c>
      <c r="T16" s="1386" t="s">
        <v>5</v>
      </c>
      <c r="U16" s="1387">
        <f>H16</f>
        <v>100</v>
      </c>
      <c r="V16" s="1386" t="s">
        <v>5</v>
      </c>
      <c r="W16" s="1387">
        <f>J16</f>
        <v>100</v>
      </c>
      <c r="X16" s="1380"/>
      <c r="Y16" s="390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00"/>
      <c r="Q17" s="1385"/>
      <c r="R17" s="1386"/>
      <c r="S17" s="1387"/>
      <c r="T17" s="1386"/>
      <c r="U17" s="1387"/>
      <c r="V17" s="1386"/>
      <c r="W17" s="1387"/>
      <c r="X17" s="1380"/>
      <c r="Y17" s="3900"/>
      <c r="Z17" s="1388"/>
      <c r="AA17" s="1389">
        <v>1</v>
      </c>
      <c r="AB17" s="1389">
        <v>1</v>
      </c>
      <c r="AC17" s="1389">
        <v>1</v>
      </c>
    </row>
    <row r="18" spans="1:29" ht="28.5">
      <c r="A18" s="485"/>
      <c r="B18" s="2198" t="s">
        <v>1839</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00"/>
      <c r="Q18" s="2192" t="str">
        <f>B18</f>
        <v>基础设施水平</v>
      </c>
      <c r="R18" s="1386" t="s">
        <v>5</v>
      </c>
      <c r="S18" s="1387">
        <f>F18</f>
        <v>100</v>
      </c>
      <c r="T18" s="1386" t="s">
        <v>5</v>
      </c>
      <c r="U18" s="1387">
        <f>H18</f>
        <v>100</v>
      </c>
      <c r="V18" s="1386" t="s">
        <v>5</v>
      </c>
      <c r="W18" s="1387">
        <f>J18</f>
        <v>100</v>
      </c>
      <c r="X18" s="2194"/>
      <c r="Y18" s="3900"/>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00"/>
      <c r="Q19" s="2192"/>
      <c r="R19" s="1386"/>
      <c r="S19" s="1387"/>
      <c r="T19" s="1386"/>
      <c r="U19" s="1387"/>
      <c r="V19" s="1386"/>
      <c r="W19" s="1387"/>
      <c r="X19" s="2194"/>
      <c r="Y19" s="3900"/>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00"/>
      <c r="Q20" s="1385" t="str">
        <f>B20</f>
        <v>自然及人文环境</v>
      </c>
      <c r="R20" s="1386" t="s">
        <v>5</v>
      </c>
      <c r="S20" s="1387">
        <f>F20</f>
        <v>100</v>
      </c>
      <c r="T20" s="1386" t="s">
        <v>5</v>
      </c>
      <c r="U20" s="1387">
        <f>H20</f>
        <v>100</v>
      </c>
      <c r="V20" s="1386" t="s">
        <v>5</v>
      </c>
      <c r="W20" s="1387">
        <f>J20</f>
        <v>100</v>
      </c>
      <c r="X20" s="1380"/>
      <c r="Y20" s="390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00"/>
      <c r="Q21" s="1385"/>
      <c r="R21" s="1386"/>
      <c r="S21" s="1387"/>
      <c r="T21" s="1386"/>
      <c r="U21" s="1387"/>
      <c r="V21" s="1386"/>
      <c r="W21" s="1387"/>
      <c r="X21" s="1380"/>
      <c r="Y21" s="390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00"/>
      <c r="Q22" s="1385" t="str">
        <f>B22</f>
        <v>楼层</v>
      </c>
      <c r="R22" s="1386" t="s">
        <v>5</v>
      </c>
      <c r="S22" s="1387">
        <f>F22</f>
        <v>100</v>
      </c>
      <c r="T22" s="1386" t="s">
        <v>5</v>
      </c>
      <c r="U22" s="1387">
        <f>H22</f>
        <v>100</v>
      </c>
      <c r="V22" s="1386" t="s">
        <v>5</v>
      </c>
      <c r="W22" s="1387">
        <f>J22</f>
        <v>100</v>
      </c>
      <c r="X22" s="1380"/>
      <c r="Y22" s="390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00"/>
      <c r="Q23" s="1385">
        <f>B23</f>
        <v>111</v>
      </c>
      <c r="R23" s="1386" t="s">
        <v>5</v>
      </c>
      <c r="S23" s="1387">
        <f>F23</f>
        <v>100</v>
      </c>
      <c r="T23" s="1386" t="s">
        <v>5</v>
      </c>
      <c r="U23" s="1387">
        <f>H23</f>
        <v>100</v>
      </c>
      <c r="V23" s="1386" t="s">
        <v>5</v>
      </c>
      <c r="W23" s="1387">
        <f>J23</f>
        <v>100</v>
      </c>
      <c r="X23" s="1380"/>
      <c r="Y23" s="390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00"/>
      <c r="Q24" s="1385">
        <f t="shared" ref="Q24:Q36" si="8">B24</f>
        <v>111</v>
      </c>
      <c r="R24" s="1386" t="s">
        <v>5</v>
      </c>
      <c r="S24" s="1387">
        <f>F24</f>
        <v>100</v>
      </c>
      <c r="T24" s="1386" t="s">
        <v>5</v>
      </c>
      <c r="U24" s="1387">
        <f>H24</f>
        <v>100</v>
      </c>
      <c r="V24" s="1386" t="s">
        <v>5</v>
      </c>
      <c r="W24" s="1387">
        <f>J24</f>
        <v>100</v>
      </c>
      <c r="X24" s="1380"/>
      <c r="Y24" s="390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00"/>
      <c r="Q25" s="1050">
        <f t="shared" si="8"/>
        <v>111</v>
      </c>
      <c r="R25" s="1381" t="s">
        <v>5</v>
      </c>
      <c r="S25" s="1382">
        <f>F25</f>
        <v>100</v>
      </c>
      <c r="T25" s="1381" t="s">
        <v>5</v>
      </c>
      <c r="U25" s="1382">
        <f>H25</f>
        <v>100</v>
      </c>
      <c r="V25" s="1381" t="s">
        <v>5</v>
      </c>
      <c r="W25" s="1382">
        <f>J25</f>
        <v>100</v>
      </c>
      <c r="X25" s="1383"/>
      <c r="Y25" s="3900"/>
      <c r="Z25" s="1049">
        <f>Q25</f>
        <v>111</v>
      </c>
      <c r="AA25" s="1389">
        <f>D25/F25</f>
        <v>1</v>
      </c>
      <c r="AB25" s="1389">
        <f>D25/H25</f>
        <v>1</v>
      </c>
      <c r="AC25" s="1389">
        <f>D25/J25</f>
        <v>1</v>
      </c>
    </row>
    <row r="26" spans="1:29" ht="15">
      <c r="A26" s="2386"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0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02"/>
      <c r="Q27" s="1414" t="str">
        <f t="shared" si="8"/>
        <v>项目停车位配比</v>
      </c>
      <c r="R27" s="1390" t="s">
        <v>5</v>
      </c>
      <c r="S27" s="1391">
        <f t="shared" si="9"/>
        <v>100</v>
      </c>
      <c r="T27" s="1390" t="s">
        <v>5</v>
      </c>
      <c r="U27" s="1391">
        <f t="shared" si="10"/>
        <v>100</v>
      </c>
      <c r="V27" s="1390" t="s">
        <v>5</v>
      </c>
      <c r="W27" s="1391">
        <f t="shared" si="11"/>
        <v>100</v>
      </c>
      <c r="X27" s="1392"/>
      <c r="Y27" s="390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02"/>
      <c r="Q28" s="1385" t="str">
        <f t="shared" si="8"/>
        <v>公共部分装修</v>
      </c>
      <c r="R28" s="1386" t="s">
        <v>5</v>
      </c>
      <c r="S28" s="1387">
        <f t="shared" si="9"/>
        <v>100</v>
      </c>
      <c r="T28" s="1386" t="s">
        <v>5</v>
      </c>
      <c r="U28" s="1387">
        <f t="shared" si="10"/>
        <v>100</v>
      </c>
      <c r="V28" s="1386" t="s">
        <v>5</v>
      </c>
      <c r="W28" s="1387">
        <f t="shared" si="11"/>
        <v>100</v>
      </c>
      <c r="X28" s="1380"/>
      <c r="Y28" s="390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02"/>
      <c r="Q29" s="1385" t="str">
        <f t="shared" si="8"/>
        <v>成新率</v>
      </c>
      <c r="R29" s="1386" t="s">
        <v>5</v>
      </c>
      <c r="S29" s="1387" t="e">
        <f t="shared" si="9"/>
        <v>#N/A</v>
      </c>
      <c r="T29" s="1386" t="s">
        <v>5</v>
      </c>
      <c r="U29" s="1387" t="e">
        <f t="shared" si="10"/>
        <v>#N/A</v>
      </c>
      <c r="V29" s="1386" t="s">
        <v>5</v>
      </c>
      <c r="W29" s="1387" t="e">
        <f t="shared" si="11"/>
        <v>#N/A</v>
      </c>
      <c r="X29" s="1380"/>
      <c r="Y29" s="390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02"/>
      <c r="Q30" s="1385" t="str">
        <f t="shared" si="8"/>
        <v>物业等级</v>
      </c>
      <c r="R30" s="1386" t="s">
        <v>5</v>
      </c>
      <c r="S30" s="1387">
        <f t="shared" si="9"/>
        <v>100</v>
      </c>
      <c r="T30" s="1386" t="s">
        <v>5</v>
      </c>
      <c r="U30" s="1387">
        <f t="shared" si="10"/>
        <v>100</v>
      </c>
      <c r="V30" s="1386" t="s">
        <v>5</v>
      </c>
      <c r="W30" s="1387">
        <f t="shared" si="11"/>
        <v>100</v>
      </c>
      <c r="X30" s="1380"/>
      <c r="Y30" s="390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02"/>
      <c r="Q31" s="1050" t="str">
        <f t="shared" si="8"/>
        <v>停车位面积</v>
      </c>
      <c r="R31" s="1381" t="s">
        <v>5</v>
      </c>
      <c r="S31" s="1382" t="e">
        <f t="shared" si="9"/>
        <v>#N/A</v>
      </c>
      <c r="T31" s="1381" t="s">
        <v>5</v>
      </c>
      <c r="U31" s="1382" t="e">
        <f t="shared" si="10"/>
        <v>#N/A</v>
      </c>
      <c r="V31" s="1381" t="s">
        <v>5</v>
      </c>
      <c r="W31" s="1382" t="e">
        <f t="shared" si="11"/>
        <v>#N/A</v>
      </c>
      <c r="X31" s="1383"/>
      <c r="Y31" s="390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02" t="s">
        <v>499</v>
      </c>
      <c r="Q32" s="1385" t="str">
        <f t="shared" si="8"/>
        <v>车位类型</v>
      </c>
      <c r="R32" s="1386" t="s">
        <v>5</v>
      </c>
      <c r="S32" s="1387">
        <f t="shared" si="9"/>
        <v>100</v>
      </c>
      <c r="T32" s="1386" t="s">
        <v>5</v>
      </c>
      <c r="U32" s="1387">
        <f t="shared" si="10"/>
        <v>100</v>
      </c>
      <c r="V32" s="1386" t="s">
        <v>5</v>
      </c>
      <c r="W32" s="1387">
        <f t="shared" si="11"/>
        <v>100</v>
      </c>
      <c r="X32" s="1380"/>
      <c r="Y32" s="390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02"/>
      <c r="Q33" s="1385" t="str">
        <f t="shared" si="8"/>
        <v>是否直接入户</v>
      </c>
      <c r="R33" s="1386" t="s">
        <v>5</v>
      </c>
      <c r="S33" s="1387">
        <f t="shared" si="9"/>
        <v>100</v>
      </c>
      <c r="T33" s="1386" t="s">
        <v>5</v>
      </c>
      <c r="U33" s="1387">
        <f t="shared" si="10"/>
        <v>100</v>
      </c>
      <c r="V33" s="1386" t="s">
        <v>5</v>
      </c>
      <c r="W33" s="1387">
        <f t="shared" si="11"/>
        <v>100</v>
      </c>
      <c r="X33" s="1380"/>
      <c r="Y33" s="390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02"/>
      <c r="Q34" s="1385">
        <f t="shared" si="8"/>
        <v>111</v>
      </c>
      <c r="R34" s="1386" t="s">
        <v>5</v>
      </c>
      <c r="S34" s="1387">
        <f t="shared" si="9"/>
        <v>100</v>
      </c>
      <c r="T34" s="1386" t="s">
        <v>5</v>
      </c>
      <c r="U34" s="1387">
        <f t="shared" si="10"/>
        <v>100</v>
      </c>
      <c r="V34" s="1386" t="s">
        <v>5</v>
      </c>
      <c r="W34" s="1387">
        <f t="shared" si="11"/>
        <v>100</v>
      </c>
      <c r="X34" s="1380"/>
      <c r="Y34" s="390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02"/>
      <c r="Q35" s="1414">
        <f t="shared" si="8"/>
        <v>111</v>
      </c>
      <c r="R35" s="1390" t="s">
        <v>5</v>
      </c>
      <c r="S35" s="1391">
        <f t="shared" si="9"/>
        <v>100</v>
      </c>
      <c r="T35" s="1390" t="s">
        <v>5</v>
      </c>
      <c r="U35" s="1391">
        <f t="shared" si="10"/>
        <v>100</v>
      </c>
      <c r="V35" s="1390" t="s">
        <v>5</v>
      </c>
      <c r="W35" s="1391">
        <f t="shared" si="11"/>
        <v>100</v>
      </c>
      <c r="X35" s="1392"/>
      <c r="Y35" s="390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02"/>
      <c r="Q36" s="1385">
        <f t="shared" si="8"/>
        <v>111</v>
      </c>
      <c r="R36" s="1386" t="s">
        <v>5</v>
      </c>
      <c r="S36" s="1387">
        <f t="shared" si="9"/>
        <v>100</v>
      </c>
      <c r="T36" s="1386" t="s">
        <v>5</v>
      </c>
      <c r="U36" s="1387">
        <f t="shared" si="10"/>
        <v>100</v>
      </c>
      <c r="V36" s="1386" t="s">
        <v>5</v>
      </c>
      <c r="W36" s="1387">
        <f t="shared" si="11"/>
        <v>100</v>
      </c>
      <c r="X36" s="1380"/>
      <c r="Y36" s="3902"/>
      <c r="Z36" s="1388">
        <f t="shared" si="12"/>
        <v>111</v>
      </c>
      <c r="AA36" s="1389">
        <f t="shared" si="3"/>
        <v>1</v>
      </c>
      <c r="AB36" s="1389">
        <f t="shared" si="4"/>
        <v>1</v>
      </c>
      <c r="AC36" s="1389">
        <f t="shared" si="5"/>
        <v>1</v>
      </c>
    </row>
    <row r="37" spans="1:29" ht="15">
      <c r="A37" s="1631" t="s">
        <v>1593</v>
      </c>
      <c r="B37" s="1632" t="s">
        <v>1594</v>
      </c>
      <c r="C37" s="2233" t="s">
        <v>0</v>
      </c>
      <c r="D37" s="2234"/>
      <c r="E37" s="2235"/>
      <c r="F37" s="2236"/>
      <c r="G37" s="2237"/>
      <c r="H37" s="2238"/>
      <c r="I37" s="2235"/>
      <c r="J37" s="2238"/>
      <c r="K37" s="1419"/>
      <c r="L37" s="1866"/>
      <c r="M37" s="1867"/>
      <c r="N37" s="1856"/>
      <c r="O37" s="1867"/>
      <c r="P37" s="3903" t="str">
        <f>A37</f>
        <v>成交单价</v>
      </c>
      <c r="Q37" s="3903"/>
      <c r="R37" s="3984">
        <f>E37</f>
        <v>0</v>
      </c>
      <c r="S37" s="3984"/>
      <c r="T37" s="3984">
        <f>G37</f>
        <v>0</v>
      </c>
      <c r="U37" s="3984"/>
      <c r="V37" s="3984">
        <f>I37</f>
        <v>0</v>
      </c>
      <c r="W37" s="3984"/>
      <c r="X37" s="1375"/>
      <c r="Y37" s="1394"/>
      <c r="Z37" s="1375"/>
      <c r="AA37" s="1375"/>
      <c r="AB37" s="1375"/>
      <c r="AC37" s="1375"/>
    </row>
    <row r="38" spans="1:29" ht="15.75" thickBot="1">
      <c r="A38" s="585" t="s">
        <v>2040</v>
      </c>
      <c r="B38" s="851"/>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903" t="str">
        <f>A38</f>
        <v>比较价格（元/平方米）</v>
      </c>
      <c r="Q38" s="3903"/>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375"/>
      <c r="Y38" s="1375"/>
      <c r="Z38" s="1375"/>
      <c r="AA38" s="1375"/>
      <c r="AB38" s="1375"/>
      <c r="AC38" s="1375"/>
    </row>
    <row r="39" spans="1:29" ht="15.75" thickBot="1">
      <c r="A39" s="589" t="s">
        <v>2193</v>
      </c>
      <c r="B39" s="590"/>
      <c r="C39" s="2241" t="e">
        <f>R39</f>
        <v>#DIV/0!</v>
      </c>
      <c r="D39" s="2241"/>
      <c r="E39" s="2241"/>
      <c r="F39" s="2241"/>
      <c r="G39" s="2241"/>
      <c r="H39" s="2241"/>
      <c r="I39" s="2241"/>
      <c r="J39" s="2241"/>
      <c r="K39" s="1420"/>
      <c r="L39" s="1866"/>
      <c r="M39" s="1867"/>
      <c r="N39" s="1867"/>
      <c r="O39" s="1867"/>
      <c r="P39" s="3908" t="str">
        <f>A39</f>
        <v>估价对象XX用房的比较价格（楼面单价，元/平方米）</v>
      </c>
      <c r="Q39" s="3909"/>
      <c r="R39" s="3983" t="e">
        <f>IF(F1="售价",ROUND(IF(D38="简单平均",AVERAGE(R38:W38),R38*F38+T38*H38+V38*J38),0),ROUND(IF(D38="简单平均",AVERAGE(R38:V38),R38*F38+T38*H38+V38*J38),1))</f>
        <v>#DIV/0!</v>
      </c>
      <c r="S39" s="3983"/>
      <c r="T39" s="3983"/>
      <c r="U39" s="3983"/>
      <c r="V39" s="3983"/>
      <c r="W39" s="3983"/>
      <c r="X39" s="1375"/>
      <c r="Y39" s="1375"/>
      <c r="Z39" s="1375"/>
      <c r="AA39" s="1375"/>
      <c r="AB39" s="1375"/>
      <c r="AC39" s="1375"/>
    </row>
    <row r="40" spans="1:29">
      <c r="A40" s="2954"/>
      <c r="B40" s="2954"/>
      <c r="C40" s="2954"/>
      <c r="D40" s="2954"/>
      <c r="E40" s="2954"/>
      <c r="F40" s="2954"/>
      <c r="G40" s="2956"/>
      <c r="H40" s="2954"/>
      <c r="I40" s="2954"/>
      <c r="J40" s="2954"/>
      <c r="K40" s="2957"/>
      <c r="L40" s="1871"/>
      <c r="M40" s="1867"/>
      <c r="N40" s="1867"/>
      <c r="O40" s="1867"/>
      <c r="P40" s="1867"/>
      <c r="Q40" s="1867"/>
      <c r="R40" s="1867"/>
      <c r="S40" s="1867"/>
      <c r="T40" s="1867"/>
      <c r="U40" s="1867"/>
      <c r="V40" s="1867"/>
      <c r="W40" s="1867"/>
      <c r="X40" s="1867"/>
      <c r="Y40" s="1867"/>
      <c r="Z40" s="1867"/>
      <c r="AA40" s="1867"/>
      <c r="AB40" s="1867"/>
      <c r="AC40" s="1867"/>
    </row>
    <row r="41" spans="1:29">
      <c r="A41" s="2954"/>
      <c r="B41" s="2954"/>
      <c r="C41" s="2954"/>
      <c r="D41" s="2954"/>
      <c r="E41" s="2954"/>
      <c r="F41" s="2954"/>
      <c r="G41" s="2954"/>
      <c r="H41" s="2954"/>
      <c r="I41" s="2954"/>
      <c r="J41" s="2954"/>
      <c r="K41" s="2957"/>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2023-4</v>
      </c>
      <c r="D48" s="2283">
        <f>EDATE(C48,-1)</f>
        <v>44986</v>
      </c>
      <c r="E48" s="2283">
        <f t="shared" ref="E48:O48" si="13">EDATE(D48,-1)</f>
        <v>44958</v>
      </c>
      <c r="F48" s="2283">
        <f t="shared" si="13"/>
        <v>44927</v>
      </c>
      <c r="G48" s="2283">
        <f t="shared" si="13"/>
        <v>44896</v>
      </c>
      <c r="H48" s="2283">
        <f t="shared" si="13"/>
        <v>44866</v>
      </c>
      <c r="I48" s="2283">
        <f t="shared" si="13"/>
        <v>44835</v>
      </c>
      <c r="J48" s="2283">
        <f t="shared" si="13"/>
        <v>44805</v>
      </c>
      <c r="K48" s="2283">
        <f t="shared" si="13"/>
        <v>44774</v>
      </c>
      <c r="L48" s="2283">
        <f t="shared" si="13"/>
        <v>44743</v>
      </c>
      <c r="M48" s="2283">
        <f t="shared" si="13"/>
        <v>44713</v>
      </c>
      <c r="N48" s="2283">
        <f t="shared" si="13"/>
        <v>44682</v>
      </c>
      <c r="O48" s="2283">
        <f t="shared" si="13"/>
        <v>44652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1838</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1839</v>
      </c>
      <c r="C67" s="2205" t="s">
        <v>1840</v>
      </c>
      <c r="D67" s="2205" t="s">
        <v>1841</v>
      </c>
      <c r="E67" s="2205" t="s">
        <v>1842</v>
      </c>
      <c r="F67" s="2205" t="s">
        <v>1843</v>
      </c>
      <c r="G67" s="2205" t="s">
        <v>1844</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884" t="s">
        <v>738</v>
      </c>
      <c r="D4" s="3885"/>
      <c r="E4" s="3886" t="s">
        <v>739</v>
      </c>
      <c r="F4" s="3887"/>
      <c r="G4" s="3884" t="s">
        <v>740</v>
      </c>
      <c r="H4" s="3885"/>
      <c r="I4" s="3884" t="s">
        <v>741</v>
      </c>
      <c r="J4" s="3885"/>
      <c r="K4" s="484" t="s">
        <v>742</v>
      </c>
      <c r="L4" s="1855"/>
      <c r="M4" s="1856"/>
      <c r="N4" s="1856"/>
      <c r="O4" s="1856"/>
      <c r="P4" s="3888" t="s">
        <v>743</v>
      </c>
      <c r="Q4" s="3889"/>
      <c r="R4" s="3870" t="s">
        <v>739</v>
      </c>
      <c r="S4" s="3871"/>
      <c r="T4" s="3870" t="s">
        <v>740</v>
      </c>
      <c r="U4" s="3871"/>
      <c r="V4" s="3896" t="s">
        <v>741</v>
      </c>
      <c r="W4" s="3896"/>
      <c r="X4" s="1380"/>
      <c r="Y4" s="3870" t="s">
        <v>743</v>
      </c>
      <c r="Z4" s="3871"/>
      <c r="AA4" s="3881" t="s">
        <v>739</v>
      </c>
      <c r="AB4" s="3882" t="s">
        <v>740</v>
      </c>
      <c r="AC4" s="3881" t="s">
        <v>741</v>
      </c>
    </row>
    <row r="5" spans="1:29" ht="15">
      <c r="A5" s="485"/>
      <c r="B5" s="486"/>
      <c r="C5" s="3874" t="s">
        <v>2187</v>
      </c>
      <c r="D5" s="3875"/>
      <c r="E5" s="3897" t="s">
        <v>2188</v>
      </c>
      <c r="F5" s="3898"/>
      <c r="G5" s="3874" t="s">
        <v>2189</v>
      </c>
      <c r="H5" s="3875"/>
      <c r="I5" s="3874" t="s">
        <v>2190</v>
      </c>
      <c r="J5" s="3875"/>
      <c r="K5" s="484"/>
      <c r="L5" s="1855"/>
      <c r="M5" s="1856"/>
      <c r="N5" s="1856"/>
      <c r="O5" s="1856"/>
      <c r="P5" s="3890"/>
      <c r="Q5" s="3891"/>
      <c r="R5" s="3872"/>
      <c r="S5" s="3873"/>
      <c r="T5" s="3872"/>
      <c r="U5" s="3873"/>
      <c r="V5" s="3896"/>
      <c r="W5" s="3896"/>
      <c r="X5" s="1380"/>
      <c r="Y5" s="3872"/>
      <c r="Z5" s="3873"/>
      <c r="AA5" s="3882"/>
      <c r="AB5" s="3882"/>
      <c r="AC5" s="3882"/>
    </row>
    <row r="6" spans="1:29" ht="15.75" thickBot="1">
      <c r="A6" s="487"/>
      <c r="B6" s="488"/>
      <c r="C6" s="3876" t="s">
        <v>2191</v>
      </c>
      <c r="D6" s="3877"/>
      <c r="E6" s="3879" t="s">
        <v>2191</v>
      </c>
      <c r="F6" s="3880"/>
      <c r="G6" s="3876" t="s">
        <v>2191</v>
      </c>
      <c r="H6" s="3877"/>
      <c r="I6" s="3876" t="s">
        <v>2191</v>
      </c>
      <c r="J6" s="3877"/>
      <c r="K6" s="484" t="s">
        <v>477</v>
      </c>
      <c r="L6" s="1855"/>
      <c r="M6" s="1856"/>
      <c r="N6" s="1856"/>
      <c r="O6" s="1856"/>
      <c r="P6" s="3892"/>
      <c r="Q6" s="3893"/>
      <c r="R6" s="3872"/>
      <c r="S6" s="3873"/>
      <c r="T6" s="3894"/>
      <c r="U6" s="3895"/>
      <c r="V6" s="3896"/>
      <c r="W6" s="3896"/>
      <c r="X6" s="1380"/>
      <c r="Y6" s="3894"/>
      <c r="Z6" s="3895"/>
      <c r="AA6" s="3883"/>
      <c r="AB6" s="3883"/>
      <c r="AC6" s="3883"/>
    </row>
    <row r="7" spans="1:29" s="1118" customFormat="1" ht="15.75" thickBot="1">
      <c r="A7" s="2391"/>
      <c r="B7" s="2398" t="s">
        <v>478</v>
      </c>
      <c r="C7" s="489">
        <f>'数据-取费表'!B2</f>
        <v>45040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68" t="s">
        <v>479</v>
      </c>
      <c r="Q7" s="3878"/>
      <c r="R7" s="1381" t="s">
        <v>5</v>
      </c>
      <c r="S7" s="1382">
        <f t="shared" ref="S7:S14" si="0">F7</f>
        <v>0</v>
      </c>
      <c r="T7" s="1381" t="s">
        <v>5</v>
      </c>
      <c r="U7" s="1382">
        <f t="shared" ref="U7:U14" si="1">H7</f>
        <v>0</v>
      </c>
      <c r="V7" s="1381" t="s">
        <v>5</v>
      </c>
      <c r="W7" s="1382">
        <f t="shared" ref="W7:W14"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34" si="3">D8/F8</f>
        <v>#DIV/0!</v>
      </c>
      <c r="AB8" s="1384" t="e">
        <f t="shared" ref="AB8:AB34" si="4">D8/H8</f>
        <v>#DIV/0!</v>
      </c>
      <c r="AC8" s="1384" t="e">
        <f t="shared" ref="AC8:AC34" si="5">D8/J8</f>
        <v>#DIV/0!</v>
      </c>
    </row>
    <row r="9" spans="1:29" s="1118" customFormat="1" ht="15">
      <c r="A9" s="2393"/>
      <c r="B9" s="2400" t="s">
        <v>2036</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3"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4"/>
      <c r="B10" s="2399" t="s">
        <v>2037</v>
      </c>
      <c r="C10" s="3657"/>
      <c r="D10" s="246">
        <v>100</v>
      </c>
      <c r="E10" s="3657"/>
      <c r="F10" s="246">
        <f>SUMIF(53:53,E10,54:54)-SUMIF(53:53,C10,54:54)+100</f>
        <v>100</v>
      </c>
      <c r="G10" s="3658"/>
      <c r="H10" s="246">
        <f>SUMIF(53:53,G10,54:54)-SUMIF(53:53,C10,54:54)+100</f>
        <v>100</v>
      </c>
      <c r="I10" s="3657"/>
      <c r="J10" s="246">
        <f>SUMIF(53:53,I10,54:54)-SUMIF(53:53,C10,54:54)+100</f>
        <v>100</v>
      </c>
      <c r="K10" s="494"/>
      <c r="L10" s="1860"/>
      <c r="M10" s="1899"/>
      <c r="N10" s="1899"/>
      <c r="O10" s="1861"/>
      <c r="P10" s="3903"/>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3"/>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3"/>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3"/>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89" t="s">
        <v>2034</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99" t="s">
        <v>489</v>
      </c>
      <c r="Q14" s="1385" t="str">
        <f t="shared" si="6"/>
        <v>交通便捷度</v>
      </c>
      <c r="R14" s="1386" t="s">
        <v>5</v>
      </c>
      <c r="S14" s="1387">
        <f t="shared" si="0"/>
        <v>100</v>
      </c>
      <c r="T14" s="1386" t="s">
        <v>5</v>
      </c>
      <c r="U14" s="1387">
        <f t="shared" si="1"/>
        <v>100</v>
      </c>
      <c r="V14" s="1386" t="s">
        <v>5</v>
      </c>
      <c r="W14" s="1387">
        <f t="shared" si="2"/>
        <v>100</v>
      </c>
      <c r="X14" s="1380"/>
      <c r="Y14" s="389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00"/>
      <c r="Q15" s="1385"/>
      <c r="R15" s="1386"/>
      <c r="S15" s="1387"/>
      <c r="T15" s="1386"/>
      <c r="U15" s="1387"/>
      <c r="V15" s="1386"/>
      <c r="W15" s="1387"/>
      <c r="X15" s="1380"/>
      <c r="Y15" s="3900"/>
      <c r="Z15" s="1388"/>
      <c r="AA15" s="1389">
        <v>1</v>
      </c>
      <c r="AB15" s="1389">
        <v>1</v>
      </c>
      <c r="AC15" s="1389">
        <v>1</v>
      </c>
    </row>
    <row r="16" spans="1:29" ht="42.75">
      <c r="A16" s="502"/>
      <c r="B16" s="2210" t="s">
        <v>1827</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00"/>
      <c r="Q16" s="1385" t="str">
        <f>B16</f>
        <v>公共配套设施</v>
      </c>
      <c r="R16" s="1386" t="s">
        <v>5</v>
      </c>
      <c r="S16" s="1387">
        <f>F16</f>
        <v>100</v>
      </c>
      <c r="T16" s="1386" t="s">
        <v>5</v>
      </c>
      <c r="U16" s="1387">
        <f>H16</f>
        <v>100</v>
      </c>
      <c r="V16" s="1386" t="s">
        <v>5</v>
      </c>
      <c r="W16" s="1387">
        <f>J16</f>
        <v>100</v>
      </c>
      <c r="X16" s="1380"/>
      <c r="Y16" s="390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00"/>
      <c r="Q17" s="1385"/>
      <c r="R17" s="1386"/>
      <c r="S17" s="1387"/>
      <c r="T17" s="1386"/>
      <c r="U17" s="1387"/>
      <c r="V17" s="1386"/>
      <c r="W17" s="1387"/>
      <c r="X17" s="1380"/>
      <c r="Y17" s="3900"/>
      <c r="Z17" s="1388"/>
      <c r="AA17" s="1389">
        <v>1</v>
      </c>
      <c r="AB17" s="1389">
        <v>1</v>
      </c>
      <c r="AC17" s="1389">
        <v>1</v>
      </c>
    </row>
    <row r="18" spans="1:29" ht="28.5">
      <c r="A18" s="502"/>
      <c r="B18" s="2198" t="s">
        <v>1839</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00"/>
      <c r="Q18" s="2192" t="str">
        <f>B18</f>
        <v>基础设施水平</v>
      </c>
      <c r="R18" s="1386" t="s">
        <v>5</v>
      </c>
      <c r="S18" s="1387">
        <f>F18</f>
        <v>100</v>
      </c>
      <c r="T18" s="1386" t="s">
        <v>5</v>
      </c>
      <c r="U18" s="1387">
        <f>H18</f>
        <v>100</v>
      </c>
      <c r="V18" s="1386" t="s">
        <v>5</v>
      </c>
      <c r="W18" s="1387">
        <f>J18</f>
        <v>100</v>
      </c>
      <c r="X18" s="2194"/>
      <c r="Y18" s="3900"/>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00"/>
      <c r="Q19" s="2192"/>
      <c r="R19" s="1386"/>
      <c r="S19" s="1387"/>
      <c r="T19" s="1386"/>
      <c r="U19" s="1387"/>
      <c r="V19" s="1386"/>
      <c r="W19" s="1387"/>
      <c r="X19" s="2194"/>
      <c r="Y19" s="3900"/>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00"/>
      <c r="Q20" s="1385" t="str">
        <f>B20</f>
        <v>自然及人文环境</v>
      </c>
      <c r="R20" s="1386" t="s">
        <v>5</v>
      </c>
      <c r="S20" s="1387">
        <f>F20</f>
        <v>100</v>
      </c>
      <c r="T20" s="1386" t="s">
        <v>5</v>
      </c>
      <c r="U20" s="1387">
        <f>H20</f>
        <v>100</v>
      </c>
      <c r="V20" s="1386" t="s">
        <v>5</v>
      </c>
      <c r="W20" s="1387">
        <f>J20</f>
        <v>100</v>
      </c>
      <c r="X20" s="1380"/>
      <c r="Y20" s="390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00"/>
      <c r="Q21" s="1385"/>
      <c r="R21" s="1386"/>
      <c r="S21" s="1387"/>
      <c r="T21" s="1386"/>
      <c r="U21" s="1387"/>
      <c r="V21" s="1386"/>
      <c r="W21" s="1387"/>
      <c r="X21" s="1380"/>
      <c r="Y21" s="390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00"/>
      <c r="Q22" s="1385" t="str">
        <f>B22</f>
        <v>楼层</v>
      </c>
      <c r="R22" s="1386" t="s">
        <v>5</v>
      </c>
      <c r="S22" s="1387">
        <f>F22</f>
        <v>100</v>
      </c>
      <c r="T22" s="1386" t="s">
        <v>5</v>
      </c>
      <c r="U22" s="1387">
        <f>H22</f>
        <v>100</v>
      </c>
      <c r="V22" s="1386" t="s">
        <v>5</v>
      </c>
      <c r="W22" s="1387">
        <f>J22</f>
        <v>100</v>
      </c>
      <c r="X22" s="1380"/>
      <c r="Y22" s="390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00"/>
      <c r="Q23" s="1385">
        <f>B23</f>
        <v>111</v>
      </c>
      <c r="R23" s="1386" t="s">
        <v>5</v>
      </c>
      <c r="S23" s="1387">
        <f>F23</f>
        <v>100</v>
      </c>
      <c r="T23" s="1386" t="s">
        <v>5</v>
      </c>
      <c r="U23" s="1387">
        <f>H23</f>
        <v>100</v>
      </c>
      <c r="V23" s="1386" t="s">
        <v>5</v>
      </c>
      <c r="W23" s="1387">
        <f>J23</f>
        <v>100</v>
      </c>
      <c r="X23" s="1380"/>
      <c r="Y23" s="390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00"/>
      <c r="Q24" s="1385">
        <f t="shared" ref="Q24:Q34" si="8">B24</f>
        <v>111</v>
      </c>
      <c r="R24" s="1386" t="s">
        <v>5</v>
      </c>
      <c r="S24" s="1387">
        <f>F24</f>
        <v>100</v>
      </c>
      <c r="T24" s="1386" t="s">
        <v>5</v>
      </c>
      <c r="U24" s="1387">
        <f>H24</f>
        <v>100</v>
      </c>
      <c r="V24" s="1386" t="s">
        <v>5</v>
      </c>
      <c r="W24" s="1387">
        <f>J24</f>
        <v>100</v>
      </c>
      <c r="X24" s="1380"/>
      <c r="Y24" s="390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00"/>
      <c r="Q25" s="1050">
        <f t="shared" si="8"/>
        <v>111</v>
      </c>
      <c r="R25" s="1381" t="s">
        <v>5</v>
      </c>
      <c r="S25" s="1382">
        <f>F25</f>
        <v>100</v>
      </c>
      <c r="T25" s="1381" t="s">
        <v>5</v>
      </c>
      <c r="U25" s="1382">
        <f>H25</f>
        <v>100</v>
      </c>
      <c r="V25" s="1381" t="s">
        <v>5</v>
      </c>
      <c r="W25" s="1382">
        <f>J25</f>
        <v>100</v>
      </c>
      <c r="X25" s="1383"/>
      <c r="Y25" s="3900"/>
      <c r="Z25" s="1049">
        <f>Q25</f>
        <v>111</v>
      </c>
      <c r="AA25" s="1389">
        <f>D25/F25</f>
        <v>1</v>
      </c>
      <c r="AB25" s="1389">
        <f>D25/H25</f>
        <v>1</v>
      </c>
      <c r="AC25" s="1389">
        <f>D25/J25</f>
        <v>1</v>
      </c>
    </row>
    <row r="26" spans="1:29" ht="15">
      <c r="A26" s="2386"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0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02"/>
      <c r="Q27" s="1414" t="str">
        <f t="shared" si="8"/>
        <v>成新率</v>
      </c>
      <c r="R27" s="1390" t="s">
        <v>5</v>
      </c>
      <c r="S27" s="1391" t="e">
        <f t="shared" si="9"/>
        <v>#N/A</v>
      </c>
      <c r="T27" s="1390" t="s">
        <v>5</v>
      </c>
      <c r="U27" s="1391" t="e">
        <f t="shared" si="10"/>
        <v>#N/A</v>
      </c>
      <c r="V27" s="1390" t="s">
        <v>5</v>
      </c>
      <c r="W27" s="1391" t="e">
        <f t="shared" si="11"/>
        <v>#N/A</v>
      </c>
      <c r="X27" s="1392"/>
      <c r="Y27" s="390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02"/>
      <c r="Q28" s="1385" t="str">
        <f t="shared" si="8"/>
        <v>物业等级</v>
      </c>
      <c r="R28" s="1386" t="s">
        <v>5</v>
      </c>
      <c r="S28" s="1387">
        <f t="shared" si="9"/>
        <v>100</v>
      </c>
      <c r="T28" s="1386" t="s">
        <v>5</v>
      </c>
      <c r="U28" s="1387">
        <f t="shared" si="10"/>
        <v>100</v>
      </c>
      <c r="V28" s="1386" t="s">
        <v>5</v>
      </c>
      <c r="W28" s="1387">
        <f t="shared" si="11"/>
        <v>100</v>
      </c>
      <c r="X28" s="1380"/>
      <c r="Y28" s="390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02"/>
      <c r="Q29" s="1385" t="str">
        <f t="shared" si="8"/>
        <v>有无电梯</v>
      </c>
      <c r="R29" s="1386" t="s">
        <v>5</v>
      </c>
      <c r="S29" s="1387">
        <f t="shared" si="9"/>
        <v>100</v>
      </c>
      <c r="T29" s="1386" t="s">
        <v>5</v>
      </c>
      <c r="U29" s="1387">
        <f t="shared" si="10"/>
        <v>100</v>
      </c>
      <c r="V29" s="1386" t="s">
        <v>5</v>
      </c>
      <c r="W29" s="1387">
        <f t="shared" si="11"/>
        <v>100</v>
      </c>
      <c r="X29" s="1380"/>
      <c r="Y29" s="390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02"/>
      <c r="Q30" s="1385" t="str">
        <f t="shared" si="8"/>
        <v>建筑面积</v>
      </c>
      <c r="R30" s="1386" t="s">
        <v>5</v>
      </c>
      <c r="S30" s="1387" t="e">
        <f t="shared" si="9"/>
        <v>#N/A</v>
      </c>
      <c r="T30" s="1386" t="s">
        <v>5</v>
      </c>
      <c r="U30" s="1387" t="e">
        <f t="shared" si="10"/>
        <v>#N/A</v>
      </c>
      <c r="V30" s="1386" t="s">
        <v>5</v>
      </c>
      <c r="W30" s="1387" t="e">
        <f t="shared" si="11"/>
        <v>#N/A</v>
      </c>
      <c r="X30" s="1380"/>
      <c r="Y30" s="390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02"/>
      <c r="Q31" s="1050" t="str">
        <f t="shared" si="8"/>
        <v>是否封闭</v>
      </c>
      <c r="R31" s="1381" t="s">
        <v>5</v>
      </c>
      <c r="S31" s="1382">
        <f t="shared" si="9"/>
        <v>100</v>
      </c>
      <c r="T31" s="1381" t="s">
        <v>5</v>
      </c>
      <c r="U31" s="1382">
        <f t="shared" si="10"/>
        <v>100</v>
      </c>
      <c r="V31" s="1381" t="s">
        <v>5</v>
      </c>
      <c r="W31" s="1382">
        <f t="shared" si="11"/>
        <v>100</v>
      </c>
      <c r="X31" s="1383"/>
      <c r="Y31" s="390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02" t="s">
        <v>499</v>
      </c>
      <c r="Q32" s="1385">
        <f t="shared" si="8"/>
        <v>111</v>
      </c>
      <c r="R32" s="1386" t="s">
        <v>5</v>
      </c>
      <c r="S32" s="1387">
        <f t="shared" si="9"/>
        <v>100</v>
      </c>
      <c r="T32" s="1386" t="s">
        <v>5</v>
      </c>
      <c r="U32" s="1387">
        <f t="shared" si="10"/>
        <v>100</v>
      </c>
      <c r="V32" s="1386" t="s">
        <v>5</v>
      </c>
      <c r="W32" s="1387">
        <f t="shared" si="11"/>
        <v>100</v>
      </c>
      <c r="X32" s="1380"/>
      <c r="Y32" s="390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02"/>
      <c r="Q33" s="1385">
        <f t="shared" si="8"/>
        <v>111</v>
      </c>
      <c r="R33" s="1386" t="s">
        <v>5</v>
      </c>
      <c r="S33" s="1387">
        <f t="shared" si="9"/>
        <v>100</v>
      </c>
      <c r="T33" s="1386" t="s">
        <v>5</v>
      </c>
      <c r="U33" s="1387">
        <f t="shared" si="10"/>
        <v>100</v>
      </c>
      <c r="V33" s="1386" t="s">
        <v>5</v>
      </c>
      <c r="W33" s="1387">
        <f t="shared" si="11"/>
        <v>100</v>
      </c>
      <c r="X33" s="1380"/>
      <c r="Y33" s="390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02"/>
      <c r="Q34" s="1385">
        <f t="shared" si="8"/>
        <v>111</v>
      </c>
      <c r="R34" s="1386" t="s">
        <v>5</v>
      </c>
      <c r="S34" s="1387">
        <f t="shared" si="9"/>
        <v>100</v>
      </c>
      <c r="T34" s="1386" t="s">
        <v>5</v>
      </c>
      <c r="U34" s="1387">
        <f t="shared" si="10"/>
        <v>100</v>
      </c>
      <c r="V34" s="1386" t="s">
        <v>5</v>
      </c>
      <c r="W34" s="1387">
        <f t="shared" si="11"/>
        <v>100</v>
      </c>
      <c r="X34" s="1380"/>
      <c r="Y34" s="3902"/>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903" t="str">
        <f>A35</f>
        <v>成交单价（元/平方米）</v>
      </c>
      <c r="Q35" s="3903"/>
      <c r="R35" s="3984">
        <f>E35</f>
        <v>0</v>
      </c>
      <c r="S35" s="3984"/>
      <c r="T35" s="3984">
        <f>G35</f>
        <v>0</v>
      </c>
      <c r="U35" s="3984"/>
      <c r="V35" s="3984">
        <f>I35</f>
        <v>0</v>
      </c>
      <c r="W35" s="3984"/>
      <c r="X35" s="1375"/>
      <c r="Y35" s="1394"/>
      <c r="Z35" s="1375"/>
      <c r="AA35" s="1375"/>
      <c r="AB35" s="1375"/>
      <c r="AC35" s="1375"/>
    </row>
    <row r="36" spans="1:29" ht="15.75" thickBot="1">
      <c r="A36" s="585" t="s">
        <v>2040</v>
      </c>
      <c r="B36" s="851"/>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903" t="str">
        <f>A36</f>
        <v>比较价格（元/平方米）</v>
      </c>
      <c r="Q36" s="3903"/>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375"/>
      <c r="Y36" s="1375"/>
      <c r="Z36" s="1375"/>
      <c r="AA36" s="1375"/>
      <c r="AB36" s="1375"/>
      <c r="AC36" s="1375"/>
    </row>
    <row r="37" spans="1:29" ht="15.75" thickBot="1">
      <c r="A37" s="589" t="s">
        <v>2193</v>
      </c>
      <c r="B37" s="590"/>
      <c r="C37" s="2241" t="e">
        <f>R37</f>
        <v>#DIV/0!</v>
      </c>
      <c r="D37" s="2241"/>
      <c r="E37" s="2241"/>
      <c r="F37" s="2241"/>
      <c r="G37" s="2241"/>
      <c r="H37" s="2241"/>
      <c r="I37" s="2241"/>
      <c r="J37" s="2241"/>
      <c r="K37" s="1420"/>
      <c r="L37" s="1866"/>
      <c r="M37" s="1867"/>
      <c r="N37" s="1867"/>
      <c r="O37" s="1867"/>
      <c r="P37" s="3908" t="str">
        <f>A37</f>
        <v>估价对象XX用房的比较价格（楼面单价，元/平方米）</v>
      </c>
      <c r="Q37" s="3909"/>
      <c r="R37" s="3983" t="e">
        <f>IF(F1="售价",ROUND(IF(D36="简单平均",AVERAGE(R36:W36),R36*F36+T36*H36+V36*J36),0),ROUND(IF(D36="简单平均",AVERAGE(R36:V36),R36*F36+T36*H36+V36*J36),1))</f>
        <v>#DIV/0!</v>
      </c>
      <c r="S37" s="3983"/>
      <c r="T37" s="3983"/>
      <c r="U37" s="3983"/>
      <c r="V37" s="3983"/>
      <c r="W37" s="3983"/>
      <c r="X37" s="1375"/>
      <c r="Y37" s="1375"/>
      <c r="Z37" s="1375"/>
      <c r="AA37" s="1375"/>
      <c r="AB37" s="1375"/>
      <c r="AC37" s="1375"/>
    </row>
    <row r="38" spans="1:29">
      <c r="A38" s="2954"/>
      <c r="B38" s="2954"/>
      <c r="C38" s="2954"/>
      <c r="D38" s="2954"/>
      <c r="E38" s="2954"/>
      <c r="F38" s="2954"/>
      <c r="G38" s="2956"/>
      <c r="H38" s="2954"/>
      <c r="I38" s="2954"/>
      <c r="J38" s="2954"/>
      <c r="K38" s="2957"/>
      <c r="L38" s="1871"/>
      <c r="M38" s="1867"/>
      <c r="N38" s="1867"/>
      <c r="O38" s="1867"/>
      <c r="P38" s="1867"/>
      <c r="Q38" s="1867"/>
      <c r="R38" s="1867"/>
      <c r="S38" s="1867"/>
      <c r="T38" s="1867"/>
      <c r="U38" s="1867"/>
      <c r="V38" s="1867"/>
      <c r="W38" s="1867"/>
      <c r="X38" s="1867"/>
      <c r="Y38" s="1867"/>
      <c r="Z38" s="1867"/>
      <c r="AA38" s="1867"/>
      <c r="AB38" s="1867"/>
      <c r="AC38" s="1867"/>
    </row>
    <row r="39" spans="1:29">
      <c r="A39" s="2954"/>
      <c r="B39" s="2954"/>
      <c r="C39" s="2954"/>
      <c r="D39" s="2954"/>
      <c r="E39" s="2954"/>
      <c r="F39" s="2954"/>
      <c r="G39" s="2954"/>
      <c r="H39" s="2954"/>
      <c r="I39" s="2954"/>
      <c r="J39" s="2954"/>
      <c r="K39" s="2957"/>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2023-4</v>
      </c>
      <c r="D46" s="2283">
        <f>EDATE(C46,-1)</f>
        <v>44986</v>
      </c>
      <c r="E46" s="2283">
        <f t="shared" ref="E46:O46" si="13">EDATE(D46,-1)</f>
        <v>44958</v>
      </c>
      <c r="F46" s="2283">
        <f t="shared" si="13"/>
        <v>44927</v>
      </c>
      <c r="G46" s="2283">
        <f t="shared" si="13"/>
        <v>44896</v>
      </c>
      <c r="H46" s="2283">
        <f t="shared" si="13"/>
        <v>44866</v>
      </c>
      <c r="I46" s="2283">
        <f t="shared" si="13"/>
        <v>44835</v>
      </c>
      <c r="J46" s="2283">
        <f t="shared" si="13"/>
        <v>44805</v>
      </c>
      <c r="K46" s="2283">
        <f t="shared" si="13"/>
        <v>44774</v>
      </c>
      <c r="L46" s="2283">
        <f t="shared" si="13"/>
        <v>44743</v>
      </c>
      <c r="M46" s="2283">
        <f t="shared" si="13"/>
        <v>44713</v>
      </c>
      <c r="N46" s="2283">
        <f t="shared" si="13"/>
        <v>44682</v>
      </c>
      <c r="O46" s="2283">
        <f t="shared" si="13"/>
        <v>44652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1838</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1839</v>
      </c>
      <c r="C65" s="2205" t="s">
        <v>1840</v>
      </c>
      <c r="D65" s="2205" t="s">
        <v>1841</v>
      </c>
      <c r="E65" s="2205" t="s">
        <v>1842</v>
      </c>
      <c r="F65" s="2205" t="s">
        <v>1843</v>
      </c>
      <c r="G65" s="2205" t="s">
        <v>1844</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受贵公司委托，我公司对北京市国家网络安全产业园区（通州）东部出让国有建设用地使用权抵押价格进行了预评估。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家网络安全产业园区（通州）东部出让国有建设用地使用权。根据《国有土地使用证》[]，估价对象（分摊）出让国有建设用地使用权面积为17315.58平方米。根据《建设工程规划许可证》[]、《出让合同》[]，估价对象规划建筑面积为27041.94平方米。</v>
      </c>
    </row>
    <row r="7" spans="1:4" ht="93.75">
      <c r="A7" s="2352" t="s">
        <v>2028</v>
      </c>
    </row>
    <row r="8" spans="1:4" ht="18.75">
      <c r="A8" s="1581" t="s">
        <v>1430</v>
      </c>
    </row>
    <row r="9" spans="1:4" ht="75">
      <c r="A9" s="1583" t="str">
        <f>IF(项目基本情况!B8="抵押",IF(项目基本情况!B5=项目基本情况!B6,定义!C51,定义!B51),定义!D51)</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1542</v>
      </c>
    </row>
    <row r="11" spans="1:4" ht="18.75">
      <c r="A11" s="1567" t="str">
        <f>TEXT(项目基本情况!D3,"yyyy年m月d日;;")&amp;IF(项目基本情况!B3=项目基本情况!D3,"（评估专业人员勘察现场之日）","")</f>
        <v>2023年4月24日（评估专业人员勘察现场之日）</v>
      </c>
    </row>
    <row r="12" spans="1:4" ht="18.75">
      <c r="A12" s="1584" t="s">
        <v>1541</v>
      </c>
    </row>
    <row r="13" spans="1:4" ht="18.75">
      <c r="A13" s="1578" t="s">
        <v>1587</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1588</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1589</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根据《国有土地使用证》[]，估价对象（分摊）出让国有建设用地使用权面积为17315.58平方米。根据《建设工程规划许可证》[]、《出让合同》[]，估价对象规划建筑面积为27041.94平方米。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1590</v>
      </c>
    </row>
    <row r="23" spans="1:1" ht="18.75">
      <c r="A23" s="2354" t="s">
        <v>2029</v>
      </c>
    </row>
    <row r="24" spans="1:1" ht="18.75">
      <c r="A24" s="1578" t="s">
        <v>1591</v>
      </c>
    </row>
    <row r="25" spans="1:1" ht="93.75">
      <c r="A25" s="1578" t="str">
        <f>定义!C53</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1543</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1658</v>
      </c>
      <c r="C1" s="3993" t="s">
        <v>1659</v>
      </c>
      <c r="D1" s="3994"/>
      <c r="E1" s="3994"/>
      <c r="F1" s="3994"/>
      <c r="G1" s="3994"/>
      <c r="H1" s="3994"/>
      <c r="I1" s="3994"/>
      <c r="J1" s="3994"/>
      <c r="K1" s="3994"/>
      <c r="L1" s="3994"/>
      <c r="M1" s="3994"/>
      <c r="N1" s="3994"/>
      <c r="O1" s="3994"/>
      <c r="P1" s="3994"/>
      <c r="Q1" s="3994"/>
      <c r="R1" s="3994"/>
      <c r="S1" s="3995"/>
      <c r="T1" s="1952" t="s">
        <v>1660</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1661</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1662</v>
      </c>
      <c r="B17" s="1996" t="s">
        <v>1663</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0" t="s">
        <v>14</v>
      </c>
      <c r="D22" s="3991"/>
      <c r="E22" s="3991"/>
      <c r="F22" s="3991"/>
      <c r="G22" s="3991"/>
      <c r="H22" s="3991"/>
      <c r="I22" s="3991"/>
      <c r="J22" s="3991"/>
      <c r="K22" s="3991"/>
      <c r="L22" s="3991"/>
      <c r="M22" s="3991"/>
      <c r="N22" s="3991"/>
      <c r="O22" s="3991"/>
      <c r="P22" s="3991"/>
      <c r="Q22" s="3992"/>
      <c r="R22" s="467" t="e">
        <f>ROUND(S22*10000/B22,0)</f>
        <v>#DIV/0!</v>
      </c>
      <c r="S22" s="51">
        <f>SUM(S24:S10000)</f>
        <v>0</v>
      </c>
    </row>
    <row r="23" spans="1:45" s="1421"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2063</v>
      </c>
      <c r="C1" s="2481">
        <f>项目基本情况!D3</f>
        <v>45040</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2094</v>
      </c>
      <c r="C2" s="2482">
        <f>'数据-取费表'!B22</f>
        <v>1.5</v>
      </c>
      <c r="D2" s="2477" t="s">
        <v>2064</v>
      </c>
      <c r="E2" s="2480">
        <f ca="1">INDIRECT("I"&amp;$I$1)/100</f>
        <v>3.6499999999999998E-2</v>
      </c>
      <c r="G2" s="2418"/>
      <c r="H2" s="2418"/>
      <c r="I2" s="2418" t="s">
        <v>2065</v>
      </c>
      <c r="K2" s="2418"/>
      <c r="L2" s="2418"/>
      <c r="M2" s="2418"/>
      <c r="N2" s="2418" t="s">
        <v>2066</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2096</v>
      </c>
      <c r="C3" s="2479">
        <f>'数据-取费表'!B19</f>
        <v>0</v>
      </c>
      <c r="D3" s="2477" t="s">
        <v>2064</v>
      </c>
      <c r="E3" s="2480">
        <f ca="1">INDIRECT("J"&amp;$J$1)/100</f>
        <v>0</v>
      </c>
      <c r="G3" s="2420" t="s">
        <v>2067</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2095</v>
      </c>
      <c r="C4" s="2480">
        <f ca="1">N4/100</f>
        <v>1.4999999999999999E-2</v>
      </c>
      <c r="G4" s="2426" t="s">
        <v>2068</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2069</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2070</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2071</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2072</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2073</v>
      </c>
      <c r="C10" s="2445"/>
      <c r="D10" s="2445"/>
      <c r="E10" s="2445"/>
      <c r="F10" s="2445"/>
      <c r="G10" s="2445"/>
      <c r="H10" s="2445"/>
      <c r="I10" s="2419"/>
      <c r="J10" s="2419"/>
      <c r="K10" s="2445"/>
      <c r="L10" s="2446" t="s">
        <v>2074</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2075</v>
      </c>
      <c r="C11" s="2450" t="s">
        <v>2076</v>
      </c>
      <c r="D11" s="2451" t="s">
        <v>2077</v>
      </c>
      <c r="E11" s="2452"/>
      <c r="F11" s="2451" t="s">
        <v>2078</v>
      </c>
      <c r="G11" s="2453"/>
      <c r="H11" s="2452"/>
      <c r="I11" s="2451" t="s">
        <v>2079</v>
      </c>
      <c r="J11" s="2452"/>
      <c r="K11" s="2448"/>
      <c r="L11" s="2449" t="s">
        <v>2075</v>
      </c>
      <c r="M11" s="2450" t="s">
        <v>2076</v>
      </c>
      <c r="N11" s="2449" t="s">
        <v>2080</v>
      </c>
      <c r="O11" s="2451" t="s">
        <v>2081</v>
      </c>
      <c r="P11" s="2453"/>
      <c r="Q11" s="2453"/>
      <c r="R11" s="2453"/>
      <c r="S11" s="2453"/>
      <c r="T11" s="2452"/>
      <c r="U11" s="2451" t="s">
        <v>2082</v>
      </c>
      <c r="V11" s="2453"/>
      <c r="W11" s="2452"/>
      <c r="X11" s="2449" t="s">
        <v>2083</v>
      </c>
      <c r="Y11" s="2449" t="s">
        <v>2084</v>
      </c>
      <c r="Z11" s="2449" t="s">
        <v>2085</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2086</v>
      </c>
      <c r="E12" s="2458" t="s">
        <v>2087</v>
      </c>
      <c r="F12" s="2458" t="s">
        <v>2088</v>
      </c>
      <c r="G12" s="2458" t="s">
        <v>2089</v>
      </c>
      <c r="H12" s="2458" t="s">
        <v>2071</v>
      </c>
      <c r="I12" s="2459" t="s">
        <v>2090</v>
      </c>
      <c r="J12" s="2459" t="s">
        <v>2090</v>
      </c>
      <c r="K12" s="2455"/>
      <c r="L12" s="2456"/>
      <c r="M12" s="2457"/>
      <c r="N12" s="2456"/>
      <c r="O12" s="2459" t="s">
        <v>2091</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2092</v>
      </c>
      <c r="C13" s="2463">
        <v>44795</v>
      </c>
      <c r="D13" s="2464">
        <v>3.65</v>
      </c>
      <c r="E13" s="2464">
        <f>D13</f>
        <v>3.65</v>
      </c>
      <c r="F13" s="2464">
        <f>D13</f>
        <v>3.65</v>
      </c>
      <c r="G13" s="2464">
        <f>D13</f>
        <v>3.65</v>
      </c>
      <c r="H13" s="2464">
        <v>4.3</v>
      </c>
      <c r="I13" s="2464"/>
      <c r="J13" s="2464"/>
      <c r="K13" s="2461"/>
      <c r="L13" s="2462" t="s">
        <v>2092</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2285</v>
      </c>
      <c r="C21" s="2470">
        <v>43697</v>
      </c>
      <c r="D21" s="3017">
        <v>4.25</v>
      </c>
      <c r="E21" s="3017">
        <v>4.25</v>
      </c>
      <c r="F21" s="3017">
        <v>4.25</v>
      </c>
      <c r="G21" s="3017">
        <v>4.25</v>
      </c>
      <c r="H21" s="3017">
        <v>4.8499999999999996</v>
      </c>
      <c r="I21" s="3017"/>
      <c r="J21" s="3017"/>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0"/>
      <c r="B22" s="3021"/>
      <c r="C22" s="3022">
        <v>42301</v>
      </c>
      <c r="D22" s="3023">
        <v>4.3499999999999996</v>
      </c>
      <c r="E22" s="3023">
        <v>4.3499999999999996</v>
      </c>
      <c r="F22" s="3023">
        <v>4.75</v>
      </c>
      <c r="G22" s="3023">
        <v>4.75</v>
      </c>
      <c r="H22" s="3023">
        <v>4.9000000000000004</v>
      </c>
      <c r="I22" s="3023"/>
      <c r="J22" s="3023"/>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2093</v>
      </c>
      <c r="Y42" s="2468" t="s">
        <v>2093</v>
      </c>
      <c r="Z42" s="2468" t="s">
        <v>2093</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2093</v>
      </c>
      <c r="Y43" s="2468" t="s">
        <v>2093</v>
      </c>
      <c r="Z43" s="2468" t="s">
        <v>2093</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2093</v>
      </c>
      <c r="Y44" s="2468" t="s">
        <v>2093</v>
      </c>
      <c r="Z44" s="2468" t="s">
        <v>2093</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2093</v>
      </c>
      <c r="Y45" s="2468" t="s">
        <v>2093</v>
      </c>
      <c r="Z45" s="2468" t="s">
        <v>2093</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2093</v>
      </c>
      <c r="Y46" s="2468" t="s">
        <v>2093</v>
      </c>
      <c r="Z46" s="2468" t="s">
        <v>2093</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2093</v>
      </c>
      <c r="Y47" s="2468" t="s">
        <v>2093</v>
      </c>
      <c r="Z47" s="2468" t="s">
        <v>2093</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2093</v>
      </c>
      <c r="Y48" s="2468" t="s">
        <v>2093</v>
      </c>
      <c r="Z48" s="2468" t="s">
        <v>2093</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2093</v>
      </c>
      <c r="Y49" s="2468" t="s">
        <v>2093</v>
      </c>
      <c r="Z49" s="2468" t="s">
        <v>2093</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2093</v>
      </c>
      <c r="Y50" s="2468" t="s">
        <v>2093</v>
      </c>
      <c r="Z50" s="2468" t="s">
        <v>2093</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2093</v>
      </c>
      <c r="V51" s="2468" t="s">
        <v>2093</v>
      </c>
      <c r="W51" s="2468" t="s">
        <v>2093</v>
      </c>
      <c r="X51" s="2468" t="s">
        <v>2093</v>
      </c>
      <c r="Y51" s="2468" t="s">
        <v>2093</v>
      </c>
      <c r="Z51" s="2468" t="s">
        <v>2093</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2093</v>
      </c>
      <c r="J64" s="2468" t="s">
        <v>2093</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0" zoomScaleNormal="60" zoomScaleSheetLayoutView="80" workbookViewId="0">
      <selection activeCell="H39" sqref="H39"/>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3312</v>
      </c>
      <c r="D1" s="2552" t="s">
        <v>3357</v>
      </c>
      <c r="E1" s="2078" t="s">
        <v>808</v>
      </c>
      <c r="F1" s="2079">
        <f ca="1">J53</f>
        <v>16.79</v>
      </c>
      <c r="G1" s="2998">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348</v>
      </c>
      <c r="C2" s="3003"/>
      <c r="D2" s="3004"/>
      <c r="E2" s="3005"/>
      <c r="F2" s="3005"/>
      <c r="G2" s="2999"/>
      <c r="H2" s="1780"/>
      <c r="I2" s="1780"/>
      <c r="J2" s="1780"/>
      <c r="K2" s="1781"/>
      <c r="L2" s="1780"/>
      <c r="M2" s="1780"/>
    </row>
    <row r="3" spans="1:33" ht="18" customHeight="1" thickBot="1">
      <c r="A3" s="798" t="s">
        <v>468</v>
      </c>
      <c r="B3" s="799">
        <f ca="1">IF(ISERROR(B2*10000/F43),0,ROUND(B2*10000/F43,0))</f>
        <v>744</v>
      </c>
      <c r="C3" s="3003"/>
      <c r="D3" s="3004"/>
      <c r="E3" s="3005"/>
      <c r="F3" s="3005"/>
      <c r="G3" s="2999"/>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1800</v>
      </c>
      <c r="C5" s="53">
        <f ca="1">C6+C10+C12</f>
        <v>41</v>
      </c>
      <c r="D5" s="2142" t="s">
        <v>1803</v>
      </c>
      <c r="E5" s="2136"/>
      <c r="F5" s="2137"/>
      <c r="G5" s="1785"/>
      <c r="H5" s="747">
        <v>1</v>
      </c>
      <c r="I5" s="748" t="s">
        <v>1800</v>
      </c>
      <c r="J5" s="53">
        <f ca="1">J6+J10+J12</f>
        <v>0</v>
      </c>
      <c r="K5" s="2142" t="s">
        <v>1803</v>
      </c>
      <c r="L5" s="2136"/>
      <c r="M5" s="2137"/>
    </row>
    <row r="6" spans="1:33" ht="18" customHeight="1">
      <c r="A6" s="1616" t="s">
        <v>1353</v>
      </c>
      <c r="B6" s="3956" t="s">
        <v>1805</v>
      </c>
      <c r="C6" s="749">
        <f ca="1">ROUND(F6*F8*F7*(1-F9)/10000,0)</f>
        <v>41</v>
      </c>
      <c r="D6" s="2143" t="s">
        <v>1804</v>
      </c>
      <c r="E6" s="750" t="s">
        <v>585</v>
      </c>
      <c r="F6" s="751">
        <f ca="1">INDIRECT("'数据-取费表'!u"&amp;$G$1)</f>
        <v>300</v>
      </c>
      <c r="G6" s="1785"/>
      <c r="H6" s="2150" t="s">
        <v>1353</v>
      </c>
      <c r="I6" s="3956" t="s">
        <v>1805</v>
      </c>
      <c r="J6" s="749">
        <f ca="1">ROUND(M6*M8*M7*(1-M9)/10000,0)</f>
        <v>0</v>
      </c>
      <c r="K6" s="332" t="s">
        <v>584</v>
      </c>
      <c r="L6" s="750" t="s">
        <v>585</v>
      </c>
      <c r="M6" s="751">
        <f ca="1">INDIRECT("'数据-取费表'!z"&amp;$G$1)</f>
        <v>0</v>
      </c>
    </row>
    <row r="7" spans="1:33" ht="18" customHeight="1">
      <c r="A7" s="2146"/>
      <c r="B7" s="3957"/>
      <c r="C7" s="754"/>
      <c r="D7" s="755"/>
      <c r="E7" s="750" t="s">
        <v>586</v>
      </c>
      <c r="F7" s="751">
        <f ca="1">IF(INDIRECT("'数据-取费表'!ah"&amp;$G$1)="",INDIRECT("'数据-取费表'!k"&amp;$G$1),INDIRECT("'数据-取费表'!ah"&amp;$G$1))</f>
        <v>121</v>
      </c>
      <c r="G7" s="1785"/>
      <c r="H7" s="2135"/>
      <c r="I7" s="3957"/>
      <c r="J7" s="754"/>
      <c r="K7" s="755"/>
      <c r="L7" s="750" t="s">
        <v>586</v>
      </c>
      <c r="M7" s="751">
        <f ca="1">F7</f>
        <v>121</v>
      </c>
    </row>
    <row r="8" spans="1:33" ht="18" customHeight="1">
      <c r="A8" s="2139"/>
      <c r="B8" s="3958"/>
      <c r="C8" s="754"/>
      <c r="D8" s="755"/>
      <c r="E8" s="750" t="s">
        <v>587</v>
      </c>
      <c r="F8" s="751">
        <f ca="1">INDIRECT("'数据-取费表'!ai"&amp;$G$1)</f>
        <v>12</v>
      </c>
      <c r="G8" s="1785"/>
      <c r="H8" s="2135"/>
      <c r="I8" s="3958"/>
      <c r="J8" s="754"/>
      <c r="K8" s="755"/>
      <c r="L8" s="750" t="s">
        <v>587</v>
      </c>
      <c r="M8" s="751">
        <f ca="1">INDIRECT("'数据-取费表'!ai"&amp;$G$1)</f>
        <v>12</v>
      </c>
    </row>
    <row r="9" spans="1:33" ht="18" customHeight="1">
      <c r="A9" s="752"/>
      <c r="B9" s="3959"/>
      <c r="C9" s="754"/>
      <c r="D9" s="755"/>
      <c r="E9" s="750" t="s">
        <v>588</v>
      </c>
      <c r="F9" s="760">
        <f ca="1">INDIRECT("'数据-取费表'!w"&amp;$G$1)</f>
        <v>0.05</v>
      </c>
      <c r="G9" s="1785"/>
      <c r="H9" s="2151"/>
      <c r="I9" s="3958"/>
      <c r="J9" s="754"/>
      <c r="K9" s="755"/>
      <c r="L9" s="761" t="s">
        <v>588</v>
      </c>
      <c r="M9" s="762">
        <f ca="1">INDIRECT("'数据-取费表'!ab"&amp;$G$1)</f>
        <v>0</v>
      </c>
    </row>
    <row r="10" spans="1:33" ht="18" customHeight="1">
      <c r="A10" s="1616" t="s">
        <v>1354</v>
      </c>
      <c r="B10" s="2140" t="s">
        <v>1801</v>
      </c>
      <c r="C10" s="765">
        <f ca="1">ROUND(IF(F10="押一",C6/12*F11,IF(F10="押二",C6/12*2*F11,IF(F10="押三",C6/12*3*F11,C11*F11))),0)</f>
        <v>0</v>
      </c>
      <c r="D10" s="2147" t="s">
        <v>2227</v>
      </c>
      <c r="E10" s="2144" t="s">
        <v>1806</v>
      </c>
      <c r="F10" s="2228" t="s">
        <v>3358</v>
      </c>
      <c r="G10" s="1785"/>
      <c r="H10" s="2178" t="s">
        <v>1354</v>
      </c>
      <c r="I10" s="2183" t="s">
        <v>1801</v>
      </c>
      <c r="J10" s="749">
        <f ca="1">ROUND(IF(M10="押一",J6/12*M11,IF(M10="押二",J6/12*2*M11,IF(M10="押三",J6/12*3*M11,J11*M11))),0)</f>
        <v>0</v>
      </c>
      <c r="K10" s="2147" t="s">
        <v>2227</v>
      </c>
      <c r="L10" s="2144" t="s">
        <v>1806</v>
      </c>
      <c r="M10" s="2228"/>
    </row>
    <row r="11" spans="1:33" ht="18" customHeight="1">
      <c r="A11" s="756"/>
      <c r="B11" s="2141" t="s">
        <v>1854</v>
      </c>
      <c r="C11" s="2145"/>
      <c r="D11" s="755"/>
      <c r="E11" s="2144" t="s">
        <v>1799</v>
      </c>
      <c r="F11" s="762">
        <f ca="1">'数据-取费表'!B39</f>
        <v>1.4999999999999999E-2</v>
      </c>
      <c r="G11" s="1785"/>
      <c r="H11" s="2179"/>
      <c r="I11" s="2141" t="s">
        <v>1854</v>
      </c>
      <c r="J11" s="2145"/>
      <c r="K11" s="2180"/>
      <c r="L11" s="2144" t="s">
        <v>1799</v>
      </c>
      <c r="M11" s="2138">
        <f ca="1">'数据-取费表'!B39</f>
        <v>1.4999999999999999E-2</v>
      </c>
    </row>
    <row r="12" spans="1:33" ht="18" customHeight="1" thickBot="1">
      <c r="A12" s="2154" t="s">
        <v>1809</v>
      </c>
      <c r="B12" s="2155" t="s">
        <v>1802</v>
      </c>
      <c r="C12" s="2156"/>
      <c r="D12" s="2157"/>
      <c r="E12" s="2158"/>
      <c r="F12" s="2159"/>
      <c r="G12" s="1785"/>
      <c r="H12" s="2168" t="s">
        <v>1809</v>
      </c>
      <c r="I12" s="2181" t="s">
        <v>1802</v>
      </c>
      <c r="J12" s="2182"/>
      <c r="K12" s="2157"/>
      <c r="L12" s="2158"/>
      <c r="M12" s="2171"/>
    </row>
    <row r="13" spans="1:33" ht="18" customHeight="1" thickTop="1">
      <c r="A13" s="1615">
        <v>2</v>
      </c>
      <c r="B13" s="1613" t="s">
        <v>592</v>
      </c>
      <c r="C13" s="758">
        <f ca="1">ROUND(C29*F13,0)</f>
        <v>2233</v>
      </c>
      <c r="D13" s="1620" t="s">
        <v>1652</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1752</v>
      </c>
      <c r="D14" s="3662" t="s">
        <v>594</v>
      </c>
      <c r="E14" s="3661"/>
      <c r="F14" s="771"/>
      <c r="G14" s="1785"/>
      <c r="H14" s="1454" t="s">
        <v>1353</v>
      </c>
      <c r="I14" s="1949" t="s">
        <v>2100</v>
      </c>
      <c r="J14" s="51">
        <f ca="1">C29</f>
        <v>2233</v>
      </c>
      <c r="K14" s="24"/>
      <c r="L14" s="767"/>
      <c r="M14" s="768"/>
    </row>
    <row r="15" spans="1:33" s="1787" customFormat="1" ht="18" customHeight="1" thickBot="1">
      <c r="A15" s="1453" t="s">
        <v>1361</v>
      </c>
      <c r="B15" s="750" t="s">
        <v>595</v>
      </c>
      <c r="C15" s="51">
        <f ca="1">ROUND(C14*F15,0)</f>
        <v>53</v>
      </c>
      <c r="D15" s="772" t="s">
        <v>596</v>
      </c>
      <c r="E15" s="772" t="s">
        <v>597</v>
      </c>
      <c r="F15" s="773">
        <f>'数据-取费表'!B33</f>
        <v>0.03</v>
      </c>
      <c r="G15" s="3000"/>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5</v>
      </c>
      <c r="K16" s="1607" t="s">
        <v>600</v>
      </c>
      <c r="L16" s="3664"/>
      <c r="M16" s="2137"/>
    </row>
    <row r="17" spans="1:33" s="1787" customFormat="1" ht="18" customHeight="1">
      <c r="A17" s="1453" t="s">
        <v>1412</v>
      </c>
      <c r="B17" s="750" t="s">
        <v>601</v>
      </c>
      <c r="C17" s="51">
        <f ca="1">ROUND(F17*(F43+INDIRECT("'数据-取费表'!S"&amp;$G$1))/10000,0)</f>
        <v>75</v>
      </c>
      <c r="D17" s="750" t="s">
        <v>602</v>
      </c>
      <c r="E17" s="750" t="s">
        <v>603</v>
      </c>
      <c r="F17" s="54">
        <f>'数据-取费表'!B35</f>
        <v>150</v>
      </c>
      <c r="G17" s="3000"/>
      <c r="H17" s="1454" t="s">
        <v>1353</v>
      </c>
      <c r="I17" s="750" t="s">
        <v>604</v>
      </c>
      <c r="J17" s="2761">
        <f ca="1">ROUND(IF(AND(项目基本情况!B11="自然人",项目基本情况!B10="北京市"),J6*M17/(1+'数据-取费表'!C42),J18+J19+J20),2)</f>
        <v>0.48</v>
      </c>
      <c r="K17" s="3662" t="s">
        <v>605</v>
      </c>
      <c r="L17" s="3663"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26</v>
      </c>
      <c r="D18" s="750" t="s">
        <v>596</v>
      </c>
      <c r="E18" s="750" t="s">
        <v>597</v>
      </c>
      <c r="F18" s="775">
        <f>'数据-取费表'!B36</f>
        <v>1.4999999999999999E-2</v>
      </c>
      <c r="G18" s="3000"/>
      <c r="H18" s="1453" t="s">
        <v>1360</v>
      </c>
      <c r="I18" s="750" t="s">
        <v>608</v>
      </c>
      <c r="J18" s="51">
        <f ca="1">ROUND(J6*M18/(1+'数据-取费表'!C42),2)</f>
        <v>0</v>
      </c>
      <c r="K18" s="3663" t="s">
        <v>609</v>
      </c>
      <c r="L18" s="750" t="s">
        <v>597</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1906</v>
      </c>
      <c r="D19" s="252" t="s">
        <v>611</v>
      </c>
      <c r="E19" s="3665"/>
      <c r="F19" s="54"/>
      <c r="G19" s="1785"/>
      <c r="H19" s="1453"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7" customFormat="1" ht="18" customHeight="1">
      <c r="A20" s="1454" t="s">
        <v>1414</v>
      </c>
      <c r="B20" s="750" t="s">
        <v>613</v>
      </c>
      <c r="C20" s="51">
        <f ca="1">ROUND(C19*F20,0)</f>
        <v>29</v>
      </c>
      <c r="D20" s="777" t="s">
        <v>614</v>
      </c>
      <c r="E20" s="750" t="s">
        <v>597</v>
      </c>
      <c r="F20" s="775">
        <f>'数据-取费表'!B37</f>
        <v>1.4999999999999999E-2</v>
      </c>
      <c r="G20" s="3000"/>
      <c r="H20" s="1456" t="s">
        <v>1362</v>
      </c>
      <c r="I20" s="332" t="s">
        <v>615</v>
      </c>
      <c r="J20" s="52">
        <f ca="1">ROUND(M20*M21/10000,2)</f>
        <v>0.48</v>
      </c>
      <c r="K20" s="779" t="s">
        <v>616</v>
      </c>
      <c r="L20" s="750" t="s">
        <v>617</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1653</v>
      </c>
      <c r="E21" s="750" t="s">
        <v>620</v>
      </c>
      <c r="F21" s="775">
        <f>'数据-取费表'!B38</f>
        <v>0.01</v>
      </c>
      <c r="G21" s="3000"/>
      <c r="H21" s="2152"/>
      <c r="I21" s="759"/>
      <c r="J21" s="67"/>
      <c r="K21" s="781"/>
      <c r="L21" s="750" t="s">
        <v>621</v>
      </c>
      <c r="M21" s="751">
        <f ca="1">INDIRECT("'数据-取费表'!r"&amp;$G$1)</f>
        <v>3204.6299999999997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5"/>
      <c r="F22" s="54"/>
      <c r="G22" s="1785"/>
      <c r="H22" s="1454" t="s">
        <v>1414</v>
      </c>
      <c r="I22" s="750" t="s">
        <v>623</v>
      </c>
      <c r="J22" s="51">
        <f ca="1">ROUND(J14*M22,2)</f>
        <v>4.47</v>
      </c>
      <c r="K22" s="3663" t="s">
        <v>624</v>
      </c>
      <c r="L22" s="750" t="s">
        <v>597</v>
      </c>
      <c r="M22" s="782">
        <f ca="1">INDIRECT("'数据-取费表'!Ak"&amp;$G$1)</f>
        <v>2E-3</v>
      </c>
    </row>
    <row r="23" spans="1:33" s="1787" customFormat="1" ht="18" customHeight="1">
      <c r="A23" s="1453" t="s">
        <v>1360</v>
      </c>
      <c r="B23" s="750" t="s">
        <v>1782</v>
      </c>
      <c r="C23" s="51">
        <f ca="1">ROUND(IF('数据-取费表'!B22&lt;=1,(C19+C20)*F24*F23/2,(C19+C20)*(POWER((1+F24),F23/2)-1)),0)</f>
        <v>60</v>
      </c>
      <c r="D23" s="2186" t="str">
        <f>IF(F23&lt;=1,"(建造成本+管理费用)×利率×(建设周期÷2)","(建造成本+管理费用)×((1+利率)^(建设周期÷2)-1)")</f>
        <v>(建造成本+管理费用)×((1+利率)^(建设周期÷2)-1)</v>
      </c>
      <c r="E23" s="750" t="s">
        <v>625</v>
      </c>
      <c r="F23" s="608">
        <f>'数据-取费表'!B20</f>
        <v>1.5</v>
      </c>
      <c r="G23" s="3000"/>
      <c r="H23" s="1454" t="s">
        <v>1415</v>
      </c>
      <c r="I23" s="750" t="s">
        <v>626</v>
      </c>
      <c r="J23" s="51">
        <f ca="1">ROUND(J13*M23,2)</f>
        <v>0</v>
      </c>
      <c r="K23" s="3663" t="s">
        <v>627</v>
      </c>
      <c r="L23" s="750" t="s">
        <v>597</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2.9999999999999997E-4</v>
      </c>
      <c r="D24" s="2186" t="str">
        <f>IF(F23&lt;=1,"销售费用×利率×(建设周期÷2)","销售费用×((1+利率)^(建设周期÷2)-1)")</f>
        <v>销售费用×((1+利率)^(建设周期÷2)-1)</v>
      </c>
      <c r="E24" s="750" t="s">
        <v>629</v>
      </c>
      <c r="F24" s="784">
        <f ca="1">'数据-取费表'!B40</f>
        <v>4.1499999999999995E-2</v>
      </c>
      <c r="G24" s="3000"/>
      <c r="H24" s="2168" t="s">
        <v>1416</v>
      </c>
      <c r="I24" s="2163" t="s">
        <v>613</v>
      </c>
      <c r="J24" s="2161">
        <f ca="1">ROUND(J5*M24,2)</f>
        <v>0</v>
      </c>
      <c r="K24" s="2162" t="s">
        <v>630</v>
      </c>
      <c r="L24" s="2163" t="s">
        <v>597</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5"/>
      <c r="F25" s="54"/>
      <c r="G25" s="1785"/>
      <c r="H25" s="1615" t="s">
        <v>1305</v>
      </c>
      <c r="I25" s="2483" t="s">
        <v>2097</v>
      </c>
      <c r="J25" s="758">
        <f ca="1">J5-J16</f>
        <v>-5</v>
      </c>
      <c r="K25" s="2165" t="s">
        <v>647</v>
      </c>
      <c r="L25" s="2166"/>
      <c r="M25" s="2167"/>
    </row>
    <row r="26" spans="1:33" ht="18" customHeight="1">
      <c r="A26" s="1453" t="s">
        <v>1360</v>
      </c>
      <c r="B26" s="750" t="s">
        <v>1783</v>
      </c>
      <c r="C26" s="51">
        <f ca="1">ROUND((C19+C20)*F26,0)</f>
        <v>97</v>
      </c>
      <c r="D26" s="777" t="s">
        <v>648</v>
      </c>
      <c r="E26" s="761" t="s">
        <v>649</v>
      </c>
      <c r="F26" s="760">
        <f ca="1">INDIRECT("'数据-取费表'!q"&amp;$G$1)</f>
        <v>0.05</v>
      </c>
      <c r="G26" s="1785"/>
      <c r="H26" s="2148" t="s">
        <v>1309</v>
      </c>
      <c r="I26" s="1950" t="s">
        <v>2102</v>
      </c>
      <c r="J26" s="749">
        <f ca="1">IF(J5&lt;&gt;0,ROUND(J25*(1-((1+M28)/(1+M26))^M27)/(M26-M28),0),0)</f>
        <v>0</v>
      </c>
      <c r="K26" s="779" t="s">
        <v>651</v>
      </c>
      <c r="L26" s="750" t="s">
        <v>1771</v>
      </c>
      <c r="M26" s="760">
        <f ca="1">INDIRECT("'数据-取费表'!I"&amp;$G$1)</f>
        <v>4.4999999999999998E-2</v>
      </c>
    </row>
    <row r="27" spans="1:33" ht="18" customHeight="1">
      <c r="A27" s="1453" t="s">
        <v>1361</v>
      </c>
      <c r="B27" s="750" t="s">
        <v>633</v>
      </c>
      <c r="C27" s="51">
        <f ca="1">ROUND(F21*F26,4)</f>
        <v>5.0000000000000001E-4</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5.2400000000000002E-2</v>
      </c>
      <c r="D28" s="777" t="s">
        <v>1654</v>
      </c>
      <c r="E28" s="750" t="s">
        <v>597</v>
      </c>
      <c r="F28" s="775">
        <f>'数据-取费表'!B41</f>
        <v>5.5000000000000007E-2</v>
      </c>
      <c r="G28" s="3000"/>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1655</v>
      </c>
      <c r="C29" s="2161">
        <f ca="1">ROUND((C19+C20+C23+C26)/(1-F21-C24-C27-C28),0)</f>
        <v>2233</v>
      </c>
      <c r="D29" s="2162"/>
      <c r="E29" s="2163"/>
      <c r="F29" s="2164"/>
      <c r="G29" s="3000"/>
      <c r="H29" s="788" t="s">
        <v>1316</v>
      </c>
      <c r="I29" s="789" t="s">
        <v>1317</v>
      </c>
      <c r="J29" s="790">
        <f ca="1">ROUND(J26/(1+F40)^F41,0)</f>
        <v>0</v>
      </c>
      <c r="K29" s="791" t="s">
        <v>635</v>
      </c>
      <c r="L29" s="792"/>
      <c r="M29" s="793">
        <f ca="1">INDIRECT("'数据-取费表'!k"&amp;$G$1)</f>
        <v>4676.82</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14</v>
      </c>
      <c r="D30" s="1607" t="s">
        <v>600</v>
      </c>
      <c r="E30" s="3664"/>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7.32</v>
      </c>
      <c r="D31" s="3662" t="s">
        <v>605</v>
      </c>
      <c r="E31" s="3663" t="s">
        <v>637</v>
      </c>
      <c r="F31" s="2760" t="str">
        <f>IF(项目基本情况!B11="企业","——",IF(M47="住宅",IF(F6*F7*F8/12/(1+'数据-取费表'!F30)&gt;100000,4%,2.5%),IF(F6*F7*F8/12/(1+'数据-取费表'!F30)&gt;100000,12%,7%)))</f>
        <v>——</v>
      </c>
      <c r="G31" s="1785"/>
      <c r="H31" s="2997" t="s">
        <v>2278</v>
      </c>
      <c r="I31" s="1789"/>
      <c r="J31" s="1790"/>
      <c r="K31" s="1791"/>
      <c r="L31" s="1792"/>
      <c r="M31" s="1793"/>
    </row>
    <row r="32" spans="1:33" ht="18" customHeight="1">
      <c r="A32" s="1453" t="s">
        <v>1360</v>
      </c>
      <c r="B32" s="750" t="s">
        <v>608</v>
      </c>
      <c r="C32" s="51">
        <f ca="1">ROUND(C6*F32/(1+'数据-取费表'!C42),2)</f>
        <v>2.15</v>
      </c>
      <c r="D32" s="3663" t="s">
        <v>609</v>
      </c>
      <c r="E32" s="750" t="s">
        <v>597</v>
      </c>
      <c r="F32" s="775">
        <f>'数据-取费表'!B41</f>
        <v>5.5000000000000007E-2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4.6900000000000004</v>
      </c>
      <c r="D33" s="776" t="s">
        <v>3244</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0.48</v>
      </c>
      <c r="D34" s="779" t="s">
        <v>616</v>
      </c>
      <c r="E34" s="750" t="s">
        <v>617</v>
      </c>
      <c r="F34" s="608">
        <f>'数据-取费表'!B52</f>
        <v>1.5</v>
      </c>
      <c r="G34" s="1785"/>
      <c r="H34" s="1788"/>
      <c r="I34" s="800" t="s">
        <v>1342</v>
      </c>
      <c r="J34" s="801"/>
      <c r="K34" s="1803"/>
      <c r="L34" s="1802"/>
      <c r="M34" s="1802"/>
    </row>
    <row r="35" spans="1:18" ht="18" customHeight="1">
      <c r="A35" s="780"/>
      <c r="B35" s="759"/>
      <c r="C35" s="67"/>
      <c r="D35" s="781"/>
      <c r="E35" s="750" t="s">
        <v>621</v>
      </c>
      <c r="F35" s="751">
        <f ca="1">INDIRECT("'数据-取费表'!r"&amp;$G$1)</f>
        <v>3204.6299999999997</v>
      </c>
      <c r="G35" s="1785"/>
      <c r="H35" s="1788"/>
      <c r="I35" s="802" t="s">
        <v>1343</v>
      </c>
      <c r="J35" s="803">
        <f ca="1">ROUND(C13*J36,0)</f>
        <v>179</v>
      </c>
      <c r="K35" s="1801"/>
      <c r="L35" s="1800"/>
      <c r="M35" s="1800"/>
    </row>
    <row r="36" spans="1:18" ht="18" customHeight="1">
      <c r="A36" s="1454" t="s">
        <v>1414</v>
      </c>
      <c r="B36" s="750" t="s">
        <v>623</v>
      </c>
      <c r="C36" s="51">
        <f ca="1">ROUND(C29*F36,2)</f>
        <v>4.47</v>
      </c>
      <c r="D36" s="3663" t="s">
        <v>638</v>
      </c>
      <c r="E36" s="750" t="s">
        <v>597</v>
      </c>
      <c r="F36" s="782">
        <f ca="1">INDIRECT("'数据-取费表'!Ak"&amp;$G$1)</f>
        <v>2E-3</v>
      </c>
      <c r="G36" s="1785"/>
      <c r="H36" s="1800">
        <f ca="1">F43/F7</f>
        <v>38.651404958677681</v>
      </c>
      <c r="I36" s="804" t="s">
        <v>1344</v>
      </c>
      <c r="J36" s="805">
        <f ca="1">INDIRECT("'数据-取费表'!j"&amp;$G$1)</f>
        <v>0.08</v>
      </c>
      <c r="K36" s="1804"/>
      <c r="L36" s="1800"/>
      <c r="M36" s="1800"/>
    </row>
    <row r="37" spans="1:18" ht="18" customHeight="1">
      <c r="A37" s="1454" t="s">
        <v>1415</v>
      </c>
      <c r="B37" s="750" t="s">
        <v>626</v>
      </c>
      <c r="C37" s="51">
        <f ca="1">ROUND(C13*F37,2)</f>
        <v>2.23</v>
      </c>
      <c r="D37" s="3663"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0.21</v>
      </c>
      <c r="D38" s="2162" t="s">
        <v>630</v>
      </c>
      <c r="E38" s="2163" t="s">
        <v>597</v>
      </c>
      <c r="F38" s="2159">
        <f ca="1">INDIRECT("'数据-取费表'!Am"&amp;$G$1)</f>
        <v>5.0000000000000001E-3</v>
      </c>
      <c r="G38" s="1785"/>
      <c r="H38" s="1800"/>
      <c r="I38" s="808" t="s">
        <v>1346</v>
      </c>
      <c r="J38" s="809"/>
      <c r="K38" s="1805"/>
      <c r="L38" s="1800"/>
      <c r="M38" s="1800"/>
    </row>
    <row r="39" spans="1:18" ht="24.6" customHeight="1" thickTop="1">
      <c r="A39" s="1615" t="s">
        <v>1305</v>
      </c>
      <c r="B39" s="2483" t="s">
        <v>2097</v>
      </c>
      <c r="C39" s="758">
        <f ca="1">C5-C30</f>
        <v>27</v>
      </c>
      <c r="D39" s="2165" t="s">
        <v>647</v>
      </c>
      <c r="E39" s="2166"/>
      <c r="F39" s="2167"/>
      <c r="G39" s="1785"/>
      <c r="H39" s="1800"/>
      <c r="I39" s="802" t="s">
        <v>1347</v>
      </c>
      <c r="J39" s="810">
        <f ca="1">ROUND(J35/C39,3)</f>
        <v>6.63</v>
      </c>
      <c r="K39" s="1805"/>
      <c r="L39" s="1800"/>
      <c r="M39" s="1800"/>
    </row>
    <row r="40" spans="1:18" ht="18" customHeight="1">
      <c r="A40" s="747" t="s">
        <v>1309</v>
      </c>
      <c r="B40" s="1950" t="s">
        <v>1656</v>
      </c>
      <c r="C40" s="749">
        <f ca="1">ROUND(C39*(1-((1+F42)/(1+F40))^F41)/(F40-F42),0)</f>
        <v>348</v>
      </c>
      <c r="D40" s="779" t="s">
        <v>651</v>
      </c>
      <c r="E40" s="750" t="s">
        <v>1771</v>
      </c>
      <c r="F40" s="760">
        <f ca="1">INDIRECT("'数据-取费表'!I"&amp;$G$1)</f>
        <v>4.4999999999999998E-2</v>
      </c>
      <c r="G40" s="1785"/>
      <c r="H40" s="1785"/>
      <c r="I40" s="802" t="s">
        <v>1348</v>
      </c>
      <c r="J40" s="810">
        <f ca="1">1-J39</f>
        <v>-5.63</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16.79</v>
      </c>
      <c r="G41" s="1785"/>
      <c r="H41" s="1740"/>
      <c r="I41" s="808" t="s">
        <v>1349</v>
      </c>
      <c r="J41" s="811"/>
      <c r="K41" s="1804"/>
      <c r="L41" s="1740"/>
      <c r="M41" s="1740"/>
    </row>
    <row r="42" spans="1:18" ht="18" customHeight="1">
      <c r="A42" s="756"/>
      <c r="B42" s="757"/>
      <c r="C42" s="758"/>
      <c r="D42" s="781"/>
      <c r="E42" s="750" t="s">
        <v>657</v>
      </c>
      <c r="F42" s="760">
        <f ca="1">INDIRECT("'数据-取费表'!v"&amp;$G$1)</f>
        <v>1.4999999999999999E-2</v>
      </c>
      <c r="G42" s="1785"/>
      <c r="H42" s="1740"/>
      <c r="I42" s="812" t="s">
        <v>1350</v>
      </c>
      <c r="J42" s="810">
        <f ca="1">ROUND(C13/C40,3)</f>
        <v>6.4169999999999998</v>
      </c>
      <c r="K42" s="1804"/>
      <c r="L42" s="1740"/>
      <c r="M42" s="1740"/>
    </row>
    <row r="43" spans="1:18" ht="18" customHeight="1" thickBot="1">
      <c r="A43" s="788" t="s">
        <v>1316</v>
      </c>
      <c r="B43" s="789" t="s">
        <v>1339</v>
      </c>
      <c r="C43" s="790">
        <f ca="1">ROUND(C40*10000/F43,0)</f>
        <v>744</v>
      </c>
      <c r="D43" s="791" t="s">
        <v>1340</v>
      </c>
      <c r="E43" s="792" t="s">
        <v>1341</v>
      </c>
      <c r="F43" s="793">
        <f ca="1">INDIRECT("'数据-取费表'!k"&amp;$G$1)</f>
        <v>4676.82</v>
      </c>
      <c r="G43" s="1785"/>
      <c r="H43" s="1740"/>
      <c r="I43" s="812" t="s">
        <v>1351</v>
      </c>
      <c r="J43" s="813">
        <f ca="1">1-J42</f>
        <v>-5.4169999999999998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1650</v>
      </c>
      <c r="B46" s="1807"/>
      <c r="C46" s="2189">
        <f ca="1">C67-C40</f>
        <v>-429</v>
      </c>
      <c r="D46" s="3001"/>
      <c r="E46" s="3001"/>
      <c r="F46" s="3001"/>
      <c r="I46" s="2069" t="s">
        <v>1695</v>
      </c>
      <c r="J46" s="2070"/>
      <c r="K46" s="2071"/>
      <c r="L46" s="2565">
        <f>IF(OR(M47="住宅",D1="土地（套用方法）"),0,IF(L48&gt;J51,L60,J60))</f>
        <v>0</v>
      </c>
      <c r="M46" s="3002"/>
      <c r="O46" s="2085" t="s">
        <v>1762</v>
      </c>
      <c r="P46" s="1405"/>
      <c r="Q46" s="1413"/>
      <c r="R46" s="1405"/>
    </row>
    <row r="47" spans="1:18" s="1782" customFormat="1" ht="18" customHeight="1" thickBot="1">
      <c r="A47" s="3652">
        <v>1</v>
      </c>
      <c r="B47" s="3653" t="s">
        <v>583</v>
      </c>
      <c r="C47" s="3654">
        <f ca="1">C48+C52+C54</f>
        <v>0</v>
      </c>
      <c r="D47" s="3655"/>
      <c r="E47" s="3655"/>
      <c r="F47" s="3656"/>
      <c r="I47" s="2556" t="s">
        <v>1696</v>
      </c>
      <c r="J47" s="2072" t="s">
        <v>3359</v>
      </c>
      <c r="K47" s="2562" t="s">
        <v>1701</v>
      </c>
      <c r="L47" s="2566">
        <f ca="1">INDIRECT("'数据-取费表'!d"&amp;$G$1)</f>
        <v>20</v>
      </c>
      <c r="M47" s="1413" t="str">
        <f>IF(ISNUMBER(FIND("住宅",C1)),"住宅","非住宅")</f>
        <v>非住宅</v>
      </c>
      <c r="O47" s="2086" t="s">
        <v>1727</v>
      </c>
      <c r="P47" s="2087" t="s">
        <v>1728</v>
      </c>
      <c r="Q47" s="2088" t="s">
        <v>1729</v>
      </c>
      <c r="R47" s="2087" t="s">
        <v>1730</v>
      </c>
    </row>
    <row r="48" spans="1:18" s="1782" customFormat="1" ht="18" customHeight="1" thickBot="1">
      <c r="A48" s="2247" t="s">
        <v>1395</v>
      </c>
      <c r="B48" s="2248" t="s">
        <v>1819</v>
      </c>
      <c r="C48" s="2065">
        <f ca="1">ROUND(F48*F50*F49*(1-F51)/10000,0)</f>
        <v>0</v>
      </c>
      <c r="D48" s="2066" t="s">
        <v>584</v>
      </c>
      <c r="E48" s="2067" t="s">
        <v>1651</v>
      </c>
      <c r="F48" s="2068">
        <f ca="1">M6</f>
        <v>0</v>
      </c>
      <c r="G48" s="1812"/>
      <c r="I48" s="2553" t="s">
        <v>1697</v>
      </c>
      <c r="J48" s="2073" t="s">
        <v>1702</v>
      </c>
      <c r="K48" s="2563" t="s">
        <v>1703</v>
      </c>
      <c r="L48" s="1663">
        <f ca="1">INDIRECT("'数据-取费表'!f"&amp;$G$1)</f>
        <v>18.29</v>
      </c>
      <c r="M48" s="3002"/>
      <c r="O48" s="2089" t="s">
        <v>1731</v>
      </c>
      <c r="P48" s="2090" t="s">
        <v>1757</v>
      </c>
      <c r="Q48" s="2091">
        <f ca="1">C40+J29</f>
        <v>348</v>
      </c>
      <c r="R48" s="2090" t="s">
        <v>1732</v>
      </c>
    </row>
    <row r="49" spans="1:18" s="1782" customFormat="1" ht="18" customHeight="1" thickBot="1">
      <c r="A49" s="752"/>
      <c r="B49" s="753"/>
      <c r="C49" s="754"/>
      <c r="D49" s="755"/>
      <c r="E49" s="750" t="s">
        <v>586</v>
      </c>
      <c r="F49" s="751">
        <f ca="1">F7</f>
        <v>121</v>
      </c>
      <c r="G49" s="1812"/>
      <c r="H49" s="1815"/>
      <c r="I49" s="2553" t="s">
        <v>1698</v>
      </c>
      <c r="J49" s="2074"/>
      <c r="K49" s="2564" t="s">
        <v>1704</v>
      </c>
      <c r="L49" s="2075"/>
      <c r="M49" s="3002"/>
      <c r="O49" s="2089" t="s">
        <v>1733</v>
      </c>
      <c r="P49" s="2090" t="s">
        <v>1758</v>
      </c>
      <c r="Q49" s="2091" t="str">
        <f ca="1">J60</f>
        <v>0</v>
      </c>
      <c r="R49" s="2090" t="s">
        <v>1734</v>
      </c>
    </row>
    <row r="50" spans="1:18" s="1782" customFormat="1" ht="18" customHeight="1" thickBot="1">
      <c r="A50" s="752"/>
      <c r="B50" s="753"/>
      <c r="C50" s="754"/>
      <c r="D50" s="755"/>
      <c r="E50" s="750" t="s">
        <v>587</v>
      </c>
      <c r="F50" s="751">
        <f ca="1">F8</f>
        <v>12</v>
      </c>
      <c r="G50" s="1817"/>
      <c r="H50" s="1815"/>
      <c r="I50" s="2553" t="s">
        <v>1699</v>
      </c>
      <c r="J50" s="2560">
        <f>SUMPRODUCT((I63:I65=J47)*(J62:L62=J48)*(J63:L65))</f>
        <v>60</v>
      </c>
      <c r="K50" s="2564" t="s">
        <v>1705</v>
      </c>
      <c r="L50" s="2075"/>
      <c r="M50" s="3002"/>
      <c r="O50" s="2092" t="s">
        <v>1735</v>
      </c>
      <c r="P50" s="2090" t="s">
        <v>1759</v>
      </c>
      <c r="Q50" s="2091">
        <f ca="1">C29</f>
        <v>2233</v>
      </c>
      <c r="R50" s="2090" t="s">
        <v>1732</v>
      </c>
    </row>
    <row r="51" spans="1:18" s="1782" customFormat="1" ht="18" customHeight="1" thickBot="1">
      <c r="A51" s="752"/>
      <c r="B51" s="753"/>
      <c r="C51" s="754"/>
      <c r="D51" s="755"/>
      <c r="E51" s="750" t="s">
        <v>588</v>
      </c>
      <c r="F51" s="2064"/>
      <c r="H51" s="1815"/>
      <c r="I51" s="2557" t="s">
        <v>1700</v>
      </c>
      <c r="J51" s="2561">
        <f>IF(J49="",J50,J49+J50-YEAR('数据-取费表'!B2))</f>
        <v>60</v>
      </c>
      <c r="K51" s="2553" t="s">
        <v>1706</v>
      </c>
      <c r="L51" s="2567">
        <f ca="1">ROUND(-PV(INDIRECT("'数据-取费表'!h"&amp;$G$1),J51,(C39-C13*J36),0),0)</f>
        <v>-3431</v>
      </c>
      <c r="M51" s="3002"/>
      <c r="O51" s="2092" t="s">
        <v>1736</v>
      </c>
      <c r="P51" s="2090" t="s">
        <v>1737</v>
      </c>
      <c r="Q51" s="2093" t="e">
        <f ca="1">J58</f>
        <v>#VALUE!</v>
      </c>
      <c r="R51" s="2094"/>
    </row>
    <row r="52" spans="1:18" s="1782" customFormat="1" ht="18" customHeight="1" thickBot="1">
      <c r="A52" s="747" t="s">
        <v>1817</v>
      </c>
      <c r="B52" s="2140" t="s">
        <v>1801</v>
      </c>
      <c r="C52" s="765">
        <f ca="1">ROUND(IF(F52="押一",C48/12*F11,IF(F52="押二",C48/12*2*F11,IF(F52="押三",C48/12*3*F11,C53*F11))),0)</f>
        <v>0</v>
      </c>
      <c r="D52" s="2147" t="s">
        <v>2227</v>
      </c>
      <c r="E52" s="2144" t="s">
        <v>1806</v>
      </c>
      <c r="F52" s="2228"/>
      <c r="I52" s="2558" t="s">
        <v>1773</v>
      </c>
      <c r="J52" s="2076"/>
      <c r="K52" s="2558" t="s">
        <v>1772</v>
      </c>
      <c r="L52" s="2076"/>
      <c r="M52" s="3002"/>
      <c r="O52" s="2092" t="s">
        <v>1738</v>
      </c>
      <c r="P52" s="2090" t="s">
        <v>1739</v>
      </c>
      <c r="Q52" s="2093">
        <f>J52</f>
        <v>0</v>
      </c>
      <c r="R52" s="2094"/>
    </row>
    <row r="53" spans="1:18" s="1782" customFormat="1" ht="39.75" customHeight="1" thickBot="1">
      <c r="A53" s="752"/>
      <c r="B53" s="2141" t="s">
        <v>1854</v>
      </c>
      <c r="C53" s="2145"/>
      <c r="D53" s="2147"/>
      <c r="E53" s="2144"/>
      <c r="F53" s="766"/>
      <c r="I53" s="2559" t="s">
        <v>2231</v>
      </c>
      <c r="J53" s="2610">
        <f ca="1">IF(M47="住宅",IF(D1="——",MAX(J51,L48),MAX(J51,L48-'数据-取费表'!B20)),IF(D1="——",MIN(J51,L48),MIN(J51,L48-'数据-取费表'!B20)))</f>
        <v>16.79</v>
      </c>
      <c r="K53" s="3962" t="s">
        <v>2221</v>
      </c>
      <c r="L53" s="3963"/>
      <c r="M53" s="3002"/>
      <c r="O53" s="2092" t="s">
        <v>1740</v>
      </c>
      <c r="P53" s="2090" t="s">
        <v>1741</v>
      </c>
      <c r="Q53" s="2091">
        <f ca="1">J53</f>
        <v>16.79</v>
      </c>
      <c r="R53" s="2090" t="s">
        <v>1742</v>
      </c>
    </row>
    <row r="54" spans="1:18" s="1782" customFormat="1" ht="18" customHeight="1" thickBot="1">
      <c r="A54" s="2154" t="s">
        <v>1809</v>
      </c>
      <c r="B54" s="2155" t="s">
        <v>1802</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1743</v>
      </c>
      <c r="P54" s="2090" t="s">
        <v>1760</v>
      </c>
      <c r="Q54" s="2091">
        <f ca="1">Q48+Q49</f>
        <v>348</v>
      </c>
      <c r="R54" s="2094" t="s">
        <v>1744</v>
      </c>
    </row>
    <row r="55" spans="1:18" s="1782" customFormat="1" ht="18" customHeight="1" thickTop="1" thickBot="1">
      <c r="A55" s="763">
        <v>2</v>
      </c>
      <c r="B55" s="764" t="s">
        <v>592</v>
      </c>
      <c r="C55" s="765">
        <f ca="1">C13</f>
        <v>2233</v>
      </c>
      <c r="D55" s="761"/>
      <c r="E55" s="761"/>
      <c r="F55" s="766"/>
      <c r="I55" s="2570" t="s">
        <v>1707</v>
      </c>
      <c r="J55" s="2542" t="e">
        <f ca="1">ROUND(IF(J47="钢混",J57/J50,1-(1-2%)*(J50-J57)/J50),3)</f>
        <v>#VALUE!</v>
      </c>
      <c r="K55" s="2571" t="s">
        <v>1708</v>
      </c>
      <c r="L55" s="2077"/>
      <c r="M55" s="3002"/>
      <c r="O55" s="2095" t="s">
        <v>1763</v>
      </c>
      <c r="P55" s="1405"/>
      <c r="Q55" s="1413"/>
      <c r="R55" s="1405"/>
    </row>
    <row r="56" spans="1:18" s="1782" customFormat="1" ht="42.75" customHeight="1" thickBot="1">
      <c r="A56" s="1455"/>
      <c r="B56" s="1949" t="s">
        <v>1655</v>
      </c>
      <c r="C56" s="51">
        <f ca="1">C29</f>
        <v>2233</v>
      </c>
      <c r="D56" s="3663"/>
      <c r="E56" s="750"/>
      <c r="F56" s="775"/>
      <c r="I56" s="2572" t="s">
        <v>1709</v>
      </c>
      <c r="J56" s="2582" t="s">
        <v>3337</v>
      </c>
      <c r="K56" s="2553" t="s">
        <v>1714</v>
      </c>
      <c r="L56" s="1663" t="str">
        <f ca="1">IF(L48&lt;J51,"——",L48-J51)</f>
        <v>——</v>
      </c>
      <c r="M56" s="3002"/>
      <c r="O56" s="2086" t="s">
        <v>1727</v>
      </c>
      <c r="P56" s="2087" t="s">
        <v>1728</v>
      </c>
      <c r="Q56" s="2088" t="s">
        <v>1729</v>
      </c>
      <c r="R56" s="2087" t="s">
        <v>1730</v>
      </c>
    </row>
    <row r="57" spans="1:18" s="1782" customFormat="1" ht="28.5" customHeight="1" thickBot="1">
      <c r="A57" s="763" t="s">
        <v>1277</v>
      </c>
      <c r="B57" s="764" t="s">
        <v>599</v>
      </c>
      <c r="C57" s="765">
        <f ca="1">ROUND(C58+C63+C64+C65,0)</f>
        <v>7</v>
      </c>
      <c r="D57" s="24" t="s">
        <v>600</v>
      </c>
      <c r="E57" s="3665"/>
      <c r="F57" s="54"/>
      <c r="I57" s="2573" t="s">
        <v>1710</v>
      </c>
      <c r="J57" s="2574" t="str">
        <f ca="1">IF(OR(M47="住宅",J51&lt;L48,J56="是"),"——",J51-L48)</f>
        <v>——</v>
      </c>
      <c r="K57" s="2553" t="s">
        <v>1715</v>
      </c>
      <c r="L57" s="1663" t="str">
        <f ca="1">IF(L48&lt;J51,"——",IF(L55="比较法",L49,IF(L55="基准地价",L50,L51)))</f>
        <v>——</v>
      </c>
      <c r="M57" s="3002"/>
      <c r="O57" s="2089" t="s">
        <v>1731</v>
      </c>
      <c r="P57" s="2090" t="s">
        <v>1757</v>
      </c>
      <c r="Q57" s="2091">
        <f ca="1">C40+J29</f>
        <v>348</v>
      </c>
      <c r="R57" s="2090" t="s">
        <v>1732</v>
      </c>
    </row>
    <row r="58" spans="1:18" s="1782" customFormat="1" ht="28.5" customHeight="1" thickBot="1">
      <c r="A58" s="1454" t="s">
        <v>1353</v>
      </c>
      <c r="B58" s="750" t="s">
        <v>604</v>
      </c>
      <c r="C58" s="2761">
        <f ca="1">ROUND(IF(AND(项目基本情况!B11="自然人",项目基本情况!B10="北京市"),C48*F58/(1+'数据-取费表'!C42),C59+C60+C61),2)</f>
        <v>0.48</v>
      </c>
      <c r="D58" s="3662" t="s">
        <v>605</v>
      </c>
      <c r="E58" s="3663" t="s">
        <v>637</v>
      </c>
      <c r="F58" s="2760" t="str">
        <f>IF(项目基本情况!B11="企业","——",IF('数据-取费表'!B10="住宅",IF(F48*F49*F50/12/(1+'数据-取费表'!F30)&gt;100000,4%,2.5%),IF(F48*F49*F50/12/(1+'数据-取费表'!F30)&gt;100000,12%,7%)))</f>
        <v>——</v>
      </c>
      <c r="I58" s="2573" t="s">
        <v>1711</v>
      </c>
      <c r="J58" s="2543" t="e">
        <f ca="1">IF(J55&lt;0.4,0.4,J55)</f>
        <v>#VALUE!</v>
      </c>
      <c r="K58" s="2553" t="s">
        <v>1716</v>
      </c>
      <c r="L58" s="1663" t="e">
        <f ca="1">ROUND(POWER(1+L52,L47-L48)*(POWER(1+L52,L48)-1)/(POWER(1+L52,L47)-1),4)</f>
        <v>#DIV/0!</v>
      </c>
      <c r="M58" s="3002"/>
      <c r="O58" s="2089" t="s">
        <v>1733</v>
      </c>
      <c r="P58" s="2090" t="s">
        <v>1764</v>
      </c>
      <c r="Q58" s="2091">
        <f ca="1">L60</f>
        <v>0</v>
      </c>
      <c r="R58" s="2094" t="s">
        <v>1766</v>
      </c>
    </row>
    <row r="59" spans="1:18" s="1782" customFormat="1" ht="28.5" customHeight="1" thickBot="1">
      <c r="A59" s="1453" t="s">
        <v>1360</v>
      </c>
      <c r="B59" s="750" t="s">
        <v>608</v>
      </c>
      <c r="C59" s="51">
        <f ca="1">ROUND(C47*F59/1.05,2)</f>
        <v>0</v>
      </c>
      <c r="D59" s="3663" t="s">
        <v>609</v>
      </c>
      <c r="E59" s="750" t="s">
        <v>597</v>
      </c>
      <c r="F59" s="775">
        <f t="shared" ref="F59:F65" si="0">F32</f>
        <v>5.5000000000000007E-2</v>
      </c>
      <c r="I59" s="2573" t="s">
        <v>1712</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1735</v>
      </c>
      <c r="P59" s="2090" t="s">
        <v>1765</v>
      </c>
      <c r="Q59" s="2091">
        <f>IF(L55="比较法",L49,IF(L55="基准地价",L50,0))</f>
        <v>0</v>
      </c>
      <c r="R59" s="2090" t="s">
        <v>1732</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63" t="str">
        <f>D33</f>
        <v>按租金收入计税</v>
      </c>
      <c r="E60" s="750" t="s">
        <v>597</v>
      </c>
      <c r="F60" s="775">
        <f t="shared" si="0"/>
        <v>0.12</v>
      </c>
      <c r="I60" s="2575" t="s">
        <v>1713</v>
      </c>
      <c r="J60" s="2576" t="str">
        <f ca="1">IF(OR(M47="住宅",J51&lt;L48,J56="是"),"0",ROUND(J59/(1+J52)^J53,0))</f>
        <v>0</v>
      </c>
      <c r="K60" s="2577" t="s">
        <v>1718</v>
      </c>
      <c r="L60" s="2576">
        <f ca="1">IF(OR(M47="住宅",L48&lt;J51),0,ROUND(L57*(L58/L59-1),0))</f>
        <v>0</v>
      </c>
      <c r="M60" s="3002"/>
      <c r="O60" s="2092" t="s">
        <v>1736</v>
      </c>
      <c r="P60" s="2090" t="s">
        <v>1745</v>
      </c>
      <c r="Q60" s="2093">
        <f>L52</f>
        <v>0</v>
      </c>
      <c r="R60" s="2094"/>
    </row>
    <row r="61" spans="1:18" s="1782" customFormat="1" ht="18" customHeight="1" thickBot="1">
      <c r="A61" s="1456" t="s">
        <v>1362</v>
      </c>
      <c r="B61" s="332" t="s">
        <v>615</v>
      </c>
      <c r="C61" s="52">
        <f ca="1">ROUND(F61*F62/10000,2)</f>
        <v>0.48</v>
      </c>
      <c r="D61" s="779" t="s">
        <v>616</v>
      </c>
      <c r="E61" s="750" t="s">
        <v>617</v>
      </c>
      <c r="F61" s="608">
        <f t="shared" si="0"/>
        <v>1.5</v>
      </c>
      <c r="K61" s="1808"/>
      <c r="O61" s="2092" t="s">
        <v>1738</v>
      </c>
      <c r="P61" s="2090" t="s">
        <v>1746</v>
      </c>
      <c r="Q61" s="2091" t="e">
        <f ca="1">L58</f>
        <v>#DIV/0!</v>
      </c>
      <c r="R61" s="2094" t="s">
        <v>1747</v>
      </c>
    </row>
    <row r="62" spans="1:18" s="1782" customFormat="1" ht="15.75" thickBot="1">
      <c r="A62" s="780"/>
      <c r="B62" s="759"/>
      <c r="C62" s="67"/>
      <c r="D62" s="781"/>
      <c r="E62" s="750" t="s">
        <v>621</v>
      </c>
      <c r="F62" s="751">
        <f t="shared" ca="1" si="0"/>
        <v>3204.6299999999997</v>
      </c>
      <c r="I62" s="2578" t="s">
        <v>1719</v>
      </c>
      <c r="J62" s="2579" t="s">
        <v>1720</v>
      </c>
      <c r="K62" s="2579" t="s">
        <v>1721</v>
      </c>
      <c r="L62" s="2579" t="s">
        <v>1702</v>
      </c>
      <c r="M62" s="2580" t="s">
        <v>2200</v>
      </c>
      <c r="O62" s="2092" t="s">
        <v>1740</v>
      </c>
      <c r="P62" s="2090" t="str">
        <f>K59</f>
        <v>建设期及建筑物耐用年限下的土地年期修正系数Kn</v>
      </c>
      <c r="Q62" s="2091" t="e">
        <f ca="1">L59</f>
        <v>#DIV/0!</v>
      </c>
      <c r="R62" s="2094" t="s">
        <v>1749</v>
      </c>
    </row>
    <row r="63" spans="1:18" s="1782" customFormat="1" ht="15.75" thickBot="1">
      <c r="A63" s="1454" t="s">
        <v>1414</v>
      </c>
      <c r="B63" s="750" t="s">
        <v>623</v>
      </c>
      <c r="C63" s="51">
        <f ca="1">ROUND(C56*F63,2)</f>
        <v>4.47</v>
      </c>
      <c r="D63" s="3663" t="s">
        <v>638</v>
      </c>
      <c r="E63" s="750" t="s">
        <v>597</v>
      </c>
      <c r="F63" s="782">
        <f t="shared" ca="1" si="0"/>
        <v>2E-3</v>
      </c>
      <c r="I63" s="2578" t="s">
        <v>1722</v>
      </c>
      <c r="J63" s="2579">
        <v>70</v>
      </c>
      <c r="K63" s="2579">
        <v>50</v>
      </c>
      <c r="L63" s="2579">
        <v>80</v>
      </c>
      <c r="M63" s="2581">
        <v>0.02</v>
      </c>
      <c r="O63" s="2089" t="s">
        <v>1743</v>
      </c>
      <c r="P63" s="2090" t="s">
        <v>1760</v>
      </c>
      <c r="Q63" s="2091">
        <f ca="1">Q57+Q58</f>
        <v>348</v>
      </c>
      <c r="R63" s="2094" t="s">
        <v>1744</v>
      </c>
    </row>
    <row r="64" spans="1:18" s="1782" customFormat="1" ht="16.5" thickBot="1">
      <c r="A64" s="1454" t="s">
        <v>1415</v>
      </c>
      <c r="B64" s="750" t="s">
        <v>626</v>
      </c>
      <c r="C64" s="51">
        <f ca="1">ROUND(C55*F64,2)</f>
        <v>2.23</v>
      </c>
      <c r="D64" s="3663" t="s">
        <v>627</v>
      </c>
      <c r="E64" s="750" t="s">
        <v>597</v>
      </c>
      <c r="F64" s="783">
        <f t="shared" ca="1" si="0"/>
        <v>1E-3</v>
      </c>
      <c r="I64" s="2578" t="s">
        <v>1723</v>
      </c>
      <c r="J64" s="2579">
        <v>50</v>
      </c>
      <c r="K64" s="2579">
        <v>35</v>
      </c>
      <c r="L64" s="2579">
        <v>60</v>
      </c>
      <c r="M64" s="811">
        <v>0</v>
      </c>
      <c r="O64" s="2095" t="s">
        <v>1767</v>
      </c>
      <c r="P64" s="1405"/>
      <c r="Q64" s="1413"/>
      <c r="R64" s="1405"/>
    </row>
    <row r="65" spans="1:18" s="1782" customFormat="1" ht="15.75" thickBot="1">
      <c r="A65" s="1454" t="s">
        <v>1416</v>
      </c>
      <c r="B65" s="750" t="s">
        <v>613</v>
      </c>
      <c r="C65" s="51">
        <f ca="1">ROUND(C47*F65,2)</f>
        <v>0</v>
      </c>
      <c r="D65" s="3663" t="s">
        <v>630</v>
      </c>
      <c r="E65" s="750" t="s">
        <v>597</v>
      </c>
      <c r="F65" s="760">
        <f t="shared" ca="1" si="0"/>
        <v>5.0000000000000001E-3</v>
      </c>
      <c r="I65" s="2578" t="s">
        <v>1724</v>
      </c>
      <c r="J65" s="2579">
        <v>40</v>
      </c>
      <c r="K65" s="2579">
        <v>30</v>
      </c>
      <c r="L65" s="2579">
        <v>50</v>
      </c>
      <c r="M65" s="2581">
        <v>0.02</v>
      </c>
      <c r="O65" s="2086" t="s">
        <v>1727</v>
      </c>
      <c r="P65" s="2087" t="s">
        <v>1728</v>
      </c>
      <c r="Q65" s="2088" t="s">
        <v>1729</v>
      </c>
      <c r="R65" s="2087" t="s">
        <v>1730</v>
      </c>
    </row>
    <row r="66" spans="1:18" s="1782" customFormat="1" ht="24.75" thickBot="1">
      <c r="A66" s="763" t="s">
        <v>1305</v>
      </c>
      <c r="B66" s="2484" t="s">
        <v>2097</v>
      </c>
      <c r="C66" s="765">
        <f ca="1">C47-C57</f>
        <v>-7</v>
      </c>
      <c r="D66" s="3662" t="s">
        <v>647</v>
      </c>
      <c r="E66" s="3660"/>
      <c r="F66" s="785"/>
      <c r="K66" s="1808"/>
      <c r="O66" s="2089" t="s">
        <v>1731</v>
      </c>
      <c r="P66" s="2090" t="s">
        <v>1757</v>
      </c>
      <c r="Q66" s="2091">
        <f ca="1">C40+J29</f>
        <v>348</v>
      </c>
      <c r="R66" s="2090" t="s">
        <v>1732</v>
      </c>
    </row>
    <row r="67" spans="1:18" s="1782" customFormat="1" ht="20.25" thickBot="1">
      <c r="A67" s="747" t="s">
        <v>1309</v>
      </c>
      <c r="B67" s="1950" t="s">
        <v>1656</v>
      </c>
      <c r="C67" s="749">
        <f ca="1">ROUND(C66*(1-((1+F69)/(1+F67))^F68)/(F67-F69),0)</f>
        <v>-81</v>
      </c>
      <c r="D67" s="779" t="s">
        <v>651</v>
      </c>
      <c r="E67" s="750" t="s">
        <v>652</v>
      </c>
      <c r="F67" s="760">
        <f ca="1">F40</f>
        <v>4.4999999999999998E-2</v>
      </c>
      <c r="K67" s="1808"/>
      <c r="O67" s="2089" t="s">
        <v>1733</v>
      </c>
      <c r="P67" s="2090" t="s">
        <v>1764</v>
      </c>
      <c r="Q67" s="2091">
        <f ca="1">L60</f>
        <v>0</v>
      </c>
      <c r="R67" s="2094" t="s">
        <v>1766</v>
      </c>
    </row>
    <row r="68" spans="1:18" ht="21.75" thickBot="1">
      <c r="A68" s="752"/>
      <c r="B68" s="753"/>
      <c r="C68" s="754"/>
      <c r="D68" s="786" t="s">
        <v>1337</v>
      </c>
      <c r="E68" s="750" t="s">
        <v>655</v>
      </c>
      <c r="F68" s="787">
        <f ca="1">F41</f>
        <v>16.79</v>
      </c>
      <c r="O68" s="2092" t="s">
        <v>1735</v>
      </c>
      <c r="P68" s="2090" t="s">
        <v>1765</v>
      </c>
      <c r="Q68" s="2096">
        <f ca="1">L51</f>
        <v>-3431</v>
      </c>
      <c r="R68" s="2097" t="s">
        <v>1768</v>
      </c>
    </row>
    <row r="69" spans="1:18" ht="20.25" thickBot="1">
      <c r="A69" s="756"/>
      <c r="B69" s="757"/>
      <c r="C69" s="758"/>
      <c r="D69" s="781"/>
      <c r="E69" s="750" t="s">
        <v>657</v>
      </c>
      <c r="F69" s="2064"/>
      <c r="O69" s="2092" t="s">
        <v>1736</v>
      </c>
      <c r="P69" s="2098" t="s">
        <v>1750</v>
      </c>
      <c r="Q69" s="2091">
        <f ca="1">ROUND(Q70-Q71*Q72,0)</f>
        <v>-152</v>
      </c>
      <c r="R69" s="2094"/>
    </row>
    <row r="70" spans="1:18" ht="15.75" thickBot="1">
      <c r="A70" s="788" t="s">
        <v>1316</v>
      </c>
      <c r="B70" s="789" t="s">
        <v>1339</v>
      </c>
      <c r="C70" s="790">
        <f ca="1">ROUND(C67*10000/F70,0)</f>
        <v>-173</v>
      </c>
      <c r="D70" s="791" t="s">
        <v>1340</v>
      </c>
      <c r="E70" s="792" t="s">
        <v>1341</v>
      </c>
      <c r="F70" s="793">
        <f ca="1">F43</f>
        <v>4676.82</v>
      </c>
      <c r="O70" s="2092" t="s">
        <v>1751</v>
      </c>
      <c r="P70" s="2098" t="s">
        <v>1752</v>
      </c>
      <c r="Q70" s="2091">
        <f ca="1">C39</f>
        <v>27</v>
      </c>
      <c r="R70" s="2090" t="s">
        <v>1732</v>
      </c>
    </row>
    <row r="71" spans="1:18" ht="15.75" thickBot="1">
      <c r="O71" s="2092" t="s">
        <v>1753</v>
      </c>
      <c r="P71" s="2098" t="s">
        <v>1754</v>
      </c>
      <c r="Q71" s="2091">
        <f ca="1">C13</f>
        <v>2233</v>
      </c>
      <c r="R71" s="2090" t="s">
        <v>1732</v>
      </c>
    </row>
    <row r="72" spans="1:18" ht="15.75" thickBot="1">
      <c r="O72" s="2092" t="s">
        <v>1755</v>
      </c>
      <c r="P72" s="2098" t="s">
        <v>1756</v>
      </c>
      <c r="Q72" s="2093">
        <f ca="1">J36</f>
        <v>0.08</v>
      </c>
      <c r="R72" s="2094"/>
    </row>
    <row r="73" spans="1:18" ht="15.75" thickBot="1">
      <c r="O73" s="2092" t="s">
        <v>1738</v>
      </c>
      <c r="P73" s="2090" t="s">
        <v>1745</v>
      </c>
      <c r="Q73" s="2093">
        <f>L52</f>
        <v>0</v>
      </c>
      <c r="R73" s="2094"/>
    </row>
    <row r="74" spans="1:18" ht="20.25" thickBot="1">
      <c r="O74" s="2092" t="s">
        <v>1740</v>
      </c>
      <c r="P74" s="2090" t="s">
        <v>1746</v>
      </c>
      <c r="Q74" s="2091" t="e">
        <f ca="1">L58</f>
        <v>#DIV/0!</v>
      </c>
      <c r="R74" s="2094" t="s">
        <v>1747</v>
      </c>
    </row>
    <row r="75" spans="1:18" ht="15.75" thickBot="1">
      <c r="O75" s="2092" t="s">
        <v>1769</v>
      </c>
      <c r="P75" s="2090" t="str">
        <f>K59</f>
        <v>建设期及建筑物耐用年限下的土地年期修正系数Kn</v>
      </c>
      <c r="Q75" s="2091" t="e">
        <f ca="1">L59</f>
        <v>#DIV/0!</v>
      </c>
      <c r="R75" s="2094" t="s">
        <v>1749</v>
      </c>
    </row>
    <row r="76" spans="1:18" ht="15.75" thickBot="1">
      <c r="O76" s="2089" t="s">
        <v>1743</v>
      </c>
      <c r="P76" s="2090" t="s">
        <v>1760</v>
      </c>
      <c r="Q76" s="2091">
        <f ca="1">Q66+Q67</f>
        <v>348</v>
      </c>
      <c r="R76" s="2094"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K26" sqref="K2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25270.32</v>
      </c>
      <c r="E1" s="1261" t="s">
        <v>1777</v>
      </c>
      <c r="F1" s="2104"/>
      <c r="G1" s="1256"/>
      <c r="H1" s="1256"/>
      <c r="I1" s="1256"/>
      <c r="J1" s="1256"/>
      <c r="K1" s="1910"/>
      <c r="L1" s="1637" t="s">
        <v>1595</v>
      </c>
      <c r="M1" s="1638">
        <f>SUMPRODUCT((区片价!B5:B9=I2)*(区片价!C3:G3=E2)*(区片价!C5:G9))</f>
        <v>0</v>
      </c>
      <c r="N1" s="1639">
        <f>SUMPRODUCT((因素修正幅度!B5:B9=I2)*(因素修正幅度!C3:G3=E2)*(因素修正幅度!C5:G9))</f>
        <v>0</v>
      </c>
      <c r="O1" s="1910"/>
      <c r="P1" s="1910"/>
      <c r="Q1" s="1910"/>
      <c r="R1" s="2414" t="s">
        <v>2041</v>
      </c>
      <c r="S1" s="2414" t="s">
        <v>2042</v>
      </c>
      <c r="T1" s="2414" t="s">
        <v>2059</v>
      </c>
      <c r="U1" s="2414" t="s">
        <v>2060</v>
      </c>
      <c r="V1" s="2414" t="s">
        <v>2061</v>
      </c>
      <c r="W1" s="1910"/>
      <c r="X1" s="1910"/>
      <c r="Y1" s="1910"/>
      <c r="Z1" s="1910"/>
      <c r="AA1" s="1910"/>
      <c r="AB1" s="1910"/>
      <c r="AC1" s="1911"/>
    </row>
    <row r="2" spans="1:39" ht="25.5">
      <c r="A2" s="1261" t="s">
        <v>848</v>
      </c>
      <c r="B2" s="991">
        <f>C30</f>
        <v>3699</v>
      </c>
      <c r="C2" s="1262" t="s">
        <v>849</v>
      </c>
      <c r="D2" s="1263" t="s">
        <v>850</v>
      </c>
      <c r="E2" s="1264" t="s">
        <v>905</v>
      </c>
      <c r="F2" s="1263" t="s">
        <v>852</v>
      </c>
      <c r="G2" s="1457" t="str">
        <f>IF(E2="商业",项目基本情况!B43,IF(E2="办公",项目基本情况!C43,IF(E2="住宅",项目基本情况!D43,IF(E2="工业",项目基本情况!E43,项目基本情况!F43))))</f>
        <v>八级</v>
      </c>
      <c r="H2" s="1263" t="s">
        <v>854</v>
      </c>
      <c r="I2" s="1458" t="str">
        <f>IF(E2="商业",项目基本情况!B44,IF(E2="办公",项目基本情况!C44,IF(E2="住宅",项目基本情况!D44,IF(E2="工业",项目基本情况!E44,项目基本情况!F44))))</f>
        <v>Ⅷ-通州开发区东</v>
      </c>
      <c r="J2" s="1265"/>
      <c r="K2" s="2972"/>
      <c r="L2" s="1640" t="s">
        <v>1596</v>
      </c>
      <c r="M2" s="1641">
        <f>SUMPRODUCT((区片价!B10:B29=I2)*(区片价!C3:G3=E2)*(区片价!C10:G29))</f>
        <v>0</v>
      </c>
      <c r="N2" s="1642">
        <f>SUMPRODUCT((因素修正幅度!B10:B29=I2)*(因素修正幅度!C3:G3=E2)*(因素修正幅度!C10:G29))</f>
        <v>0</v>
      </c>
      <c r="O2" s="2972"/>
      <c r="P2" s="1910"/>
      <c r="Q2" s="1910"/>
      <c r="R2" s="2415">
        <v>1</v>
      </c>
      <c r="S2" s="2415">
        <f>ROUND(SUMPRODUCT((B107:B111=R2)*(C106:N106=G2)*(C107:N111)),4)</f>
        <v>1.5418000000000001</v>
      </c>
      <c r="T2" s="2415">
        <f>ROUND($C$5*$C$22*$C$23*$C$24*S2*$C$28,0)</f>
        <v>2540</v>
      </c>
      <c r="U2" s="2405"/>
      <c r="V2" s="2415">
        <f>ROUND(T2*U2/10000,0)</f>
        <v>0</v>
      </c>
      <c r="W2" s="1910"/>
      <c r="X2" s="1910"/>
      <c r="Y2" s="1910"/>
      <c r="Z2" s="1910"/>
      <c r="AA2" s="1910"/>
      <c r="AB2" s="1910"/>
      <c r="AC2" s="1911"/>
    </row>
    <row r="3" spans="1:39" ht="15.75">
      <c r="A3" s="1266" t="s">
        <v>1220</v>
      </c>
      <c r="B3" s="991">
        <f>ROUND(B2*10000/D1,0)</f>
        <v>1464</v>
      </c>
      <c r="C3" s="1262" t="s">
        <v>855</v>
      </c>
      <c r="D3" s="1263" t="s">
        <v>856</v>
      </c>
      <c r="E3" s="1267" t="s">
        <v>2762</v>
      </c>
      <c r="F3" s="1268" t="s">
        <v>3353</v>
      </c>
      <c r="G3" s="992">
        <f>IF(F3="宗地容积率",'数据-汇总表'!I4,IF(F3="估价对象容积率",'数据-汇总表'!I6,'数据-汇总表'!I7))</f>
        <v>1.2</v>
      </c>
      <c r="H3" s="1269" t="s">
        <v>857</v>
      </c>
      <c r="I3" s="993"/>
      <c r="J3" s="1265" t="s">
        <v>858</v>
      </c>
      <c r="K3" s="2972"/>
      <c r="L3" s="1640" t="s">
        <v>1597</v>
      </c>
      <c r="M3" s="1641">
        <f>SUMPRODUCT((区片价!B30:B54=I2)*(区片价!C3:G3=E2)*(区片价!C30:G54))</f>
        <v>0</v>
      </c>
      <c r="N3" s="1642">
        <f>SUMPRODUCT((因素修正幅度!B30:B54=I2)*(因素修正幅度!C3:G3=E2)*(因素修正幅度!C30:G54))</f>
        <v>0</v>
      </c>
      <c r="O3" s="2972"/>
      <c r="P3" s="1910"/>
      <c r="Q3" s="1910"/>
      <c r="R3" s="2415">
        <v>2</v>
      </c>
      <c r="S3" s="2415">
        <f>ROUND(SUMPRODUCT((B107:B111=R3)*(C106:N106=G2)*(C107:N111)),4)</f>
        <v>1.1883999999999999</v>
      </c>
      <c r="T3" s="2415">
        <f t="shared" ref="T3:T16" si="0">ROUND($C$5*$C$22*$C$23*$C$24*S3*$C$28,0)</f>
        <v>1958</v>
      </c>
      <c r="U3" s="2405"/>
      <c r="V3" s="2415">
        <f t="shared" ref="V3:V16" si="1">ROUND(T3*U3/10000,0)</f>
        <v>0</v>
      </c>
      <c r="W3" s="1910"/>
      <c r="X3" s="1910"/>
      <c r="Y3" s="1910"/>
      <c r="Z3" s="1910"/>
      <c r="AA3" s="1910"/>
      <c r="AB3" s="1910"/>
      <c r="AC3" s="1911"/>
    </row>
    <row r="4" spans="1:39" ht="28.5">
      <c r="A4" s="1646" t="s">
        <v>1636</v>
      </c>
      <c r="B4" s="2105" t="e">
        <f>ROUND(B2*10000/F1,0)</f>
        <v>#DIV/0!</v>
      </c>
      <c r="C4" s="1649" t="s">
        <v>1611</v>
      </c>
      <c r="D4" s="1649" t="e">
        <f>ROUND(B2/(F1/666.67),0)</f>
        <v>#DIV/0!</v>
      </c>
      <c r="E4" s="1649" t="s">
        <v>1612</v>
      </c>
      <c r="F4" s="1647"/>
      <c r="G4" s="1647"/>
      <c r="H4" s="1647"/>
      <c r="I4" s="1647"/>
      <c r="J4" s="1648"/>
      <c r="K4" s="2973"/>
      <c r="L4" s="1640" t="s">
        <v>1598</v>
      </c>
      <c r="M4" s="1641">
        <f>SUMPRODUCT((区片价!B55:B86=I2)*(区片价!C3:G3=E2)*(区片价!C55:G86))</f>
        <v>0</v>
      </c>
      <c r="N4" s="1642">
        <f>SUMPRODUCT((因素修正幅度!B55:B86=I2)*(因素修正幅度!C3:G3=E2)*(因素修正幅度!C55:G86))</f>
        <v>0</v>
      </c>
      <c r="O4" s="2973"/>
      <c r="P4" s="1910"/>
      <c r="Q4" s="1910"/>
      <c r="R4" s="2415">
        <v>3</v>
      </c>
      <c r="S4" s="2415">
        <f>ROUND(SUMPRODUCT((B107:B111=R4)*(C106:N106=G2)*(C107:N111)),4)</f>
        <v>0.96940000000000004</v>
      </c>
      <c r="T4" s="2415">
        <f t="shared" si="0"/>
        <v>1597</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1177</v>
      </c>
      <c r="D5" s="2547">
        <f>ROUND(C6*C17+C20,0)</f>
        <v>1177</v>
      </c>
      <c r="E5" s="2547"/>
      <c r="F5" s="1271"/>
      <c r="G5" s="1272"/>
      <c r="H5" s="1272"/>
      <c r="I5" s="1272"/>
      <c r="J5" s="1273"/>
      <c r="K5" s="2974"/>
      <c r="L5" s="1640" t="s">
        <v>1599</v>
      </c>
      <c r="M5" s="1641">
        <f>SUMPRODUCT((区片价!B87:B126=I2)*(区片价!C3:G3=E2)*(区片价!C87:G126))</f>
        <v>0</v>
      </c>
      <c r="N5" s="1642">
        <f>SUMPRODUCT((因素修正幅度!B87:B126=I2)*(因素修正幅度!C3:G3=E2)*(因素修正幅度!C87:G126))</f>
        <v>0</v>
      </c>
      <c r="O5" s="2974"/>
      <c r="P5" s="2977"/>
      <c r="Q5" s="1910"/>
      <c r="R5" s="2415">
        <v>4</v>
      </c>
      <c r="S5" s="2415">
        <f>ROUND(SUMPRODUCT((B107:B111=R5)*(C106:N106=G2)*(C107:N111)),4)</f>
        <v>0.82299999999999995</v>
      </c>
      <c r="T5" s="2415">
        <f t="shared" si="0"/>
        <v>1356</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18" t="s">
        <v>1395</v>
      </c>
      <c r="B6" s="1277" t="s">
        <v>859</v>
      </c>
      <c r="C6" s="3519">
        <f>SUMIF(L1:L12,G2,M1:M12)</f>
        <v>1150</v>
      </c>
      <c r="D6" s="3520" t="s">
        <v>1228</v>
      </c>
      <c r="E6" s="1277"/>
      <c r="F6" s="1277"/>
      <c r="G6" s="3521"/>
      <c r="H6" s="3521"/>
      <c r="I6" s="3521"/>
      <c r="J6" s="3522"/>
      <c r="K6" s="2975"/>
      <c r="L6" s="1640" t="s">
        <v>1600</v>
      </c>
      <c r="M6" s="1641">
        <f>SUMPRODUCT((区片价!B127:B189=I2)*(区片价!C3:G3=E2)*(区片价!C127:G189))</f>
        <v>0</v>
      </c>
      <c r="N6" s="1642">
        <f>SUMPRODUCT((因素修正幅度!B127:B189=I2)*(因素修正幅度!C3:G3=E2)*(因素修正幅度!C127:G189))</f>
        <v>0</v>
      </c>
      <c r="O6" s="2975"/>
      <c r="P6" s="2978"/>
      <c r="Q6" s="1910"/>
      <c r="R6" s="2415">
        <v>5</v>
      </c>
      <c r="S6" s="2415">
        <f>ROUND(SUMPRODUCT((B107:B111=R6)*(C106:N106=G2)*(C107:N111)),4)</f>
        <v>0.74980000000000002</v>
      </c>
      <c r="T6" s="2415">
        <f t="shared" si="0"/>
        <v>1235</v>
      </c>
      <c r="U6" s="2405"/>
      <c r="V6" s="2415">
        <f t="shared" si="1"/>
        <v>0</v>
      </c>
      <c r="W6" s="1910"/>
      <c r="X6" s="1910"/>
      <c r="Y6" s="1910"/>
      <c r="Z6" s="1910"/>
      <c r="AA6" s="1910"/>
      <c r="AB6" s="1910"/>
      <c r="AC6" s="1912"/>
      <c r="AD6" s="1274"/>
      <c r="AE6" s="1274"/>
      <c r="AF6" s="1274"/>
      <c r="AG6" s="1274"/>
      <c r="AH6" s="1274"/>
      <c r="AI6" s="1274"/>
      <c r="AJ6" s="1275"/>
    </row>
    <row r="7" spans="1:39" ht="24.75" thickBot="1">
      <c r="A7" s="3523" t="s">
        <v>3191</v>
      </c>
      <c r="B7" s="1278" t="s">
        <v>860</v>
      </c>
      <c r="C7" s="3524">
        <f>IF(C8="不临65条商业街",1,ROUND(1+(1.6*E8+1.2*E9+0.8*E10+0.4*E11)*C9,4))</f>
        <v>1</v>
      </c>
      <c r="D7" s="3525" t="s">
        <v>861</v>
      </c>
      <c r="E7" s="3526"/>
      <c r="F7" s="3527"/>
      <c r="G7" s="3527"/>
      <c r="H7" s="3527"/>
      <c r="I7" s="3527"/>
      <c r="J7" s="3528"/>
      <c r="K7" s="2975"/>
      <c r="L7" s="1640" t="s">
        <v>1601</v>
      </c>
      <c r="M7" s="1641">
        <f>SUMPRODUCT((区片价!B190:B233=I2)*(区片价!C3:G3=E2)*(区片价!C190:G233))</f>
        <v>0</v>
      </c>
      <c r="N7" s="1642">
        <f>SUMPRODUCT((因素修正幅度!B190:B233=I2)*(因素修正幅度!C3:G3=E2)*(因素修正幅度!C190:G233))</f>
        <v>0</v>
      </c>
      <c r="O7" s="2975"/>
      <c r="P7" s="2978"/>
      <c r="Q7" s="1910"/>
      <c r="R7" s="2415">
        <v>6</v>
      </c>
      <c r="S7" s="2405"/>
      <c r="T7" s="2415">
        <f t="shared" si="0"/>
        <v>0</v>
      </c>
      <c r="U7" s="2405"/>
      <c r="V7" s="2415">
        <f t="shared" si="1"/>
        <v>0</v>
      </c>
      <c r="W7" s="2413" t="s">
        <v>2044</v>
      </c>
      <c r="X7" s="2406" t="str">
        <f>G2</f>
        <v>八级</v>
      </c>
      <c r="Y7" s="2406" t="s">
        <v>2045</v>
      </c>
      <c r="Z7" s="2407">
        <f>G3</f>
        <v>1.2</v>
      </c>
      <c r="AA7" s="1913"/>
      <c r="AB7" s="1913"/>
      <c r="AC7" s="1914"/>
      <c r="AD7" s="2408"/>
      <c r="AE7" s="2408"/>
      <c r="AF7" s="2408"/>
      <c r="AG7" s="2408"/>
      <c r="AH7" s="2408"/>
      <c r="AI7" s="2408"/>
      <c r="AJ7" s="2409"/>
    </row>
    <row r="8" spans="1:39" ht="25.5">
      <c r="A8" s="3529"/>
      <c r="B8" s="1269" t="s">
        <v>862</v>
      </c>
      <c r="C8" s="3530" t="s">
        <v>3354</v>
      </c>
      <c r="D8" s="3531" t="s">
        <v>863</v>
      </c>
      <c r="E8" s="3532" t="e">
        <f>ROUND(C11/E7,4)</f>
        <v>#DIV/0!</v>
      </c>
      <c r="F8" s="3533" t="s">
        <v>864</v>
      </c>
      <c r="G8" s="3534"/>
      <c r="H8" s="3534"/>
      <c r="I8" s="3534"/>
      <c r="J8" s="3535"/>
      <c r="K8" s="2975"/>
      <c r="L8" s="1640" t="s">
        <v>1602</v>
      </c>
      <c r="M8" s="1641">
        <f>SUMPRODUCT((区片价!B234:B276=I2)*(区片价!C3:G3=E2)*(区片价!C234:G276))</f>
        <v>1150</v>
      </c>
      <c r="N8" s="1642">
        <f>SUMPRODUCT((因素修正幅度!B234:B276=I2)*(因素修正幅度!C3:G3=E2)*(因素修正幅度!C234:G276))</f>
        <v>0.05</v>
      </c>
      <c r="O8" s="2975"/>
      <c r="P8" s="1910"/>
      <c r="Q8" s="1910"/>
      <c r="R8" s="2415">
        <v>7</v>
      </c>
      <c r="S8" s="2405"/>
      <c r="T8" s="2415">
        <f t="shared" si="0"/>
        <v>0</v>
      </c>
      <c r="U8" s="2405"/>
      <c r="V8" s="2415">
        <f t="shared" si="1"/>
        <v>0</v>
      </c>
      <c r="W8" s="3854" t="s">
        <v>2058</v>
      </c>
      <c r="X8" s="3855"/>
      <c r="Y8" s="1634" t="s">
        <v>2046</v>
      </c>
      <c r="Z8" s="1634" t="s">
        <v>2047</v>
      </c>
      <c r="AA8" s="1634" t="s">
        <v>2048</v>
      </c>
      <c r="AB8" s="1634" t="s">
        <v>2049</v>
      </c>
      <c r="AC8" s="1634" t="s">
        <v>2050</v>
      </c>
      <c r="AD8" s="1634" t="s">
        <v>2051</v>
      </c>
      <c r="AE8" s="1634" t="s">
        <v>2052</v>
      </c>
      <c r="AF8" s="1634" t="s">
        <v>2053</v>
      </c>
      <c r="AG8" s="1634" t="s">
        <v>2054</v>
      </c>
      <c r="AH8" s="1634" t="s">
        <v>2055</v>
      </c>
      <c r="AI8" s="1634" t="s">
        <v>2056</v>
      </c>
      <c r="AJ8" s="1634" t="s">
        <v>2057</v>
      </c>
    </row>
    <row r="9" spans="1:39" ht="15">
      <c r="A9" s="3529"/>
      <c r="B9" s="1269" t="s">
        <v>865</v>
      </c>
      <c r="C9" s="3536">
        <f>SUMIF(修正!C71:C139,C8,修正!E71:E139)</f>
        <v>0</v>
      </c>
      <c r="D9" s="3537" t="s">
        <v>866</v>
      </c>
      <c r="E9" s="3537" t="e">
        <f>ROUND(C11/E7,4)</f>
        <v>#DIV/0!</v>
      </c>
      <c r="F9" s="3533" t="s">
        <v>867</v>
      </c>
      <c r="G9" s="3534"/>
      <c r="H9" s="3534"/>
      <c r="I9" s="3534"/>
      <c r="J9" s="3535"/>
      <c r="K9" s="2975"/>
      <c r="L9" s="1640" t="s">
        <v>1603</v>
      </c>
      <c r="M9" s="1641">
        <f>SUMPRODUCT((区片价!B277:B326=I2)*(区片价!C3:G3=E2)*(区片价!C277:G326))</f>
        <v>0</v>
      </c>
      <c r="N9" s="1642">
        <f>SUMPRODUCT((因素修正幅度!B277:B326=I2)*(因素修正幅度!C3:G3=E2)*(因素修正幅度!C277:G326))</f>
        <v>0</v>
      </c>
      <c r="O9" s="2975"/>
      <c r="P9" s="1910"/>
      <c r="Q9" s="1910"/>
      <c r="R9" s="2415">
        <v>8</v>
      </c>
      <c r="S9" s="2405"/>
      <c r="T9" s="2415">
        <f t="shared" si="0"/>
        <v>0</v>
      </c>
      <c r="U9" s="2405"/>
      <c r="V9" s="2415">
        <f t="shared" si="1"/>
        <v>0</v>
      </c>
      <c r="W9" s="3853"/>
      <c r="X9" s="2410" t="s">
        <v>3215</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9"/>
      <c r="B10" s="1269" t="s">
        <v>868</v>
      </c>
      <c r="C10" s="3537">
        <f>SUMIF(修正!C71:C139,C8,修正!F71:F139)</f>
        <v>0</v>
      </c>
      <c r="D10" s="3537" t="s">
        <v>869</v>
      </c>
      <c r="E10" s="3537" t="e">
        <f>ROUND(C11/E7,4)</f>
        <v>#DIV/0!</v>
      </c>
      <c r="F10" s="3533" t="s">
        <v>870</v>
      </c>
      <c r="G10" s="3534"/>
      <c r="H10" s="3534"/>
      <c r="I10" s="3534"/>
      <c r="J10" s="3535"/>
      <c r="K10" s="2975"/>
      <c r="L10" s="1640" t="s">
        <v>1604</v>
      </c>
      <c r="M10" s="1641">
        <f>SUMPRODUCT((区片价!B327:B357=I2)*(区片价!C3:G3=E2)*(区片价!C327:G357))</f>
        <v>0</v>
      </c>
      <c r="N10" s="1642">
        <f>SUMPRODUCT((因素修正幅度!B327:B357=I2)*(因素修正幅度!C3:G3=E2)*(因素修正幅度!C327:G357))</f>
        <v>0</v>
      </c>
      <c r="O10" s="2975"/>
      <c r="P10" s="1910"/>
      <c r="Q10" s="1910"/>
      <c r="R10" s="2415">
        <v>9</v>
      </c>
      <c r="S10" s="2405"/>
      <c r="T10" s="2415">
        <f t="shared" si="0"/>
        <v>0</v>
      </c>
      <c r="U10" s="2405"/>
      <c r="V10" s="2415">
        <f t="shared" si="1"/>
        <v>0</v>
      </c>
      <c r="W10" s="3853"/>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9"/>
      <c r="B11" s="1282" t="s">
        <v>871</v>
      </c>
      <c r="C11" s="3538">
        <f>C10/4</f>
        <v>0</v>
      </c>
      <c r="D11" s="3538" t="s">
        <v>872</v>
      </c>
      <c r="E11" s="3538" t="e">
        <f>ROUND(C11/E7,4)</f>
        <v>#DIV/0!</v>
      </c>
      <c r="F11" s="3539" t="s">
        <v>873</v>
      </c>
      <c r="G11" s="3540"/>
      <c r="H11" s="3540"/>
      <c r="I11" s="3540"/>
      <c r="J11" s="3541"/>
      <c r="K11" s="2975"/>
      <c r="L11" s="1640" t="s">
        <v>1605</v>
      </c>
      <c r="M11" s="1641">
        <f>SUMPRODUCT((区片价!B358:B377=I2)*(区片价!C3:G3=E2)*(区片价!C358:G377))</f>
        <v>0</v>
      </c>
      <c r="N11" s="1642">
        <f>SUMPRODUCT((因素修正幅度!B358:B377=I2)*(因素修正幅度!C3:G3=E2)*(因素修正幅度!C358:G377))</f>
        <v>0</v>
      </c>
      <c r="O11" s="2975"/>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3" t="s">
        <v>3192</v>
      </c>
      <c r="B12" s="3504" t="s">
        <v>3193</v>
      </c>
      <c r="C12" s="3510"/>
      <c r="D12" s="3505" t="s">
        <v>3194</v>
      </c>
      <c r="E12" s="3506" t="s">
        <v>3195</v>
      </c>
      <c r="F12" s="3507"/>
      <c r="G12" s="3508"/>
      <c r="H12" s="3508"/>
      <c r="I12" s="3508"/>
      <c r="J12" s="3509"/>
      <c r="K12" s="2975"/>
      <c r="L12" s="1643" t="s">
        <v>1606</v>
      </c>
      <c r="M12" s="1644">
        <f>SUMPRODUCT((区片价!B378:B384=I2)*(区片价!C3:G3=E2)*(区片价!C378:G384))</f>
        <v>0</v>
      </c>
      <c r="N12" s="1645">
        <f>SUMPRODUCT((因素修正幅度!B378:B384=I2)*(因素修正幅度!C3:G3=E2)*(因素修正幅度!C378:G384))</f>
        <v>0</v>
      </c>
      <c r="O12" s="2975"/>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3" t="s">
        <v>3196</v>
      </c>
      <c r="B13" s="1283" t="s">
        <v>874</v>
      </c>
      <c r="C13" s="3524">
        <f>ROUND(C16*D16*E16*F16*G16*H16*I16*J16,4)</f>
        <v>0</v>
      </c>
      <c r="D13" s="3542" t="s">
        <v>3197</v>
      </c>
      <c r="E13" s="3543"/>
      <c r="F13" s="3543"/>
      <c r="G13" s="3543"/>
      <c r="H13" s="3543"/>
      <c r="I13" s="3543"/>
      <c r="J13" s="3544"/>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5"/>
      <c r="B14" s="1287" t="s">
        <v>1229</v>
      </c>
      <c r="C14" s="3458" t="s">
        <v>1230</v>
      </c>
      <c r="D14" s="1289" t="s">
        <v>1231</v>
      </c>
      <c r="E14" s="781" t="s">
        <v>3198</v>
      </c>
      <c r="F14" s="3546" t="s">
        <v>1178</v>
      </c>
      <c r="G14" s="3546" t="s">
        <v>1178</v>
      </c>
      <c r="H14" s="3547" t="s">
        <v>1178</v>
      </c>
      <c r="I14" s="3548" t="s">
        <v>1178</v>
      </c>
      <c r="J14" s="3548" t="s">
        <v>1178</v>
      </c>
      <c r="K14" s="2976"/>
      <c r="L14" s="2976"/>
      <c r="M14" s="2976"/>
      <c r="N14" s="2976"/>
      <c r="O14" s="2976"/>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5"/>
      <c r="B15" s="1289"/>
      <c r="C15" s="3549"/>
      <c r="D15" s="3550"/>
      <c r="E15" s="3551"/>
      <c r="F15" s="3551"/>
      <c r="G15" s="3513" t="s">
        <v>3199</v>
      </c>
      <c r="H15" s="3514"/>
      <c r="I15" s="3515"/>
      <c r="J15" s="3516"/>
      <c r="K15" s="3517"/>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5"/>
      <c r="B16" s="2600" t="s">
        <v>1232</v>
      </c>
      <c r="C16" s="3511"/>
      <c r="D16" s="3511"/>
      <c r="E16" s="3511"/>
      <c r="F16" s="3511"/>
      <c r="G16" s="3511">
        <v>1</v>
      </c>
      <c r="H16" s="3511">
        <v>1</v>
      </c>
      <c r="I16" s="3511">
        <v>1</v>
      </c>
      <c r="J16" s="3512">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3" t="s">
        <v>3200</v>
      </c>
      <c r="B17" s="3554" t="s">
        <v>3201</v>
      </c>
      <c r="C17" s="3562">
        <f>ROUND(IF(OR(E2="工业",E2="公共服务"),1,IF(AND(E18=0,E19=0),1,IF(AND(E18=J24,E19=G19),0.8,IF(E19=0,1+E17*(-0.2),1+E17*G17*(-0.2))))),4)</f>
        <v>1</v>
      </c>
      <c r="D17" s="3555" t="s">
        <v>3202</v>
      </c>
      <c r="E17" s="3562">
        <f>ROUND(G18/I18,2)</f>
        <v>0</v>
      </c>
      <c r="F17" s="3555" t="s">
        <v>3205</v>
      </c>
      <c r="G17" s="3562" t="e">
        <f>ROUND(E19/G19,2)</f>
        <v>#DIV/0!</v>
      </c>
      <c r="H17" s="3562"/>
      <c r="I17" s="3562"/>
      <c r="J17" s="3643"/>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45"/>
      <c r="B18" s="3421"/>
      <c r="C18" s="3560"/>
      <c r="D18" s="3556" t="s">
        <v>3203</v>
      </c>
      <c r="E18" s="3561"/>
      <c r="F18" s="3558" t="s">
        <v>3206</v>
      </c>
      <c r="G18" s="3560">
        <f>ROUND(1-(1/(POWER(1+G24,E18))),4)</f>
        <v>0</v>
      </c>
      <c r="H18" s="3558" t="s">
        <v>3208</v>
      </c>
      <c r="I18" s="3560">
        <f>ROUND(1-(1/(POWER(1+G24,J24))),4)</f>
        <v>0.91279999999999994</v>
      </c>
      <c r="J18" s="3644"/>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52"/>
      <c r="B19" s="3424"/>
      <c r="C19" s="3557"/>
      <c r="D19" s="3557" t="s">
        <v>3204</v>
      </c>
      <c r="E19" s="3563"/>
      <c r="F19" s="3559" t="s">
        <v>3207</v>
      </c>
      <c r="G19" s="3563"/>
      <c r="H19" s="3557"/>
      <c r="I19" s="3557"/>
      <c r="J19" s="3645"/>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864" t="s">
        <v>1370</v>
      </c>
      <c r="B20" s="1278" t="s">
        <v>875</v>
      </c>
      <c r="C20" s="998">
        <f>ROUND(IF(F21="与级别开发程度一致",0,(G21-E21)/C21),0)</f>
        <v>27</v>
      </c>
      <c r="D20" s="3859" t="s">
        <v>879</v>
      </c>
      <c r="E20" s="3860"/>
      <c r="F20" s="3859" t="s">
        <v>876</v>
      </c>
      <c r="G20" s="3860"/>
      <c r="H20" s="1291" t="s">
        <v>2763</v>
      </c>
      <c r="I20" s="1291" t="s">
        <v>2764</v>
      </c>
      <c r="J20" s="1291" t="s">
        <v>2765</v>
      </c>
      <c r="K20" s="1291" t="s">
        <v>2766</v>
      </c>
      <c r="L20" s="1291" t="s">
        <v>2767</v>
      </c>
      <c r="M20" s="1291" t="s">
        <v>2768</v>
      </c>
      <c r="N20" s="1291" t="s">
        <v>2770</v>
      </c>
      <c r="O20" s="2605" t="s">
        <v>877</v>
      </c>
      <c r="P20" s="1910"/>
      <c r="Q20" s="1913"/>
      <c r="R20" s="1916"/>
      <c r="S20" s="1916"/>
      <c r="T20" s="1916"/>
      <c r="U20" s="1916"/>
      <c r="V20" s="1916"/>
      <c r="W20" s="1916"/>
      <c r="X20" s="1916"/>
      <c r="Y20" s="1295"/>
      <c r="Z20" s="1295"/>
      <c r="AA20" s="1295"/>
      <c r="AB20" s="1295"/>
      <c r="AC20" s="1295"/>
      <c r="AD20" s="1295"/>
    </row>
    <row r="21" spans="1:40" s="1276" customFormat="1" ht="24.75" thickBot="1">
      <c r="A21" s="3865"/>
      <c r="B21" s="2606" t="s">
        <v>878</v>
      </c>
      <c r="C21" s="2607">
        <f>IF(E3="M4科研用地",SUMPRODUCT((修正!A2:A7=E3)*(修正!B1:M1=G2)*(修正!B2:M7)),SUMPRODUCT((修正!A2:A7=E2)*(修正!B1:M1=G2)*(修正!B2:M7)))</f>
        <v>1.5</v>
      </c>
      <c r="D21" s="2608" t="str">
        <f>IF(OR(G2="八级",G2="九级",G2="十级",G2="十一级",G2="十二级"),"五通一平","七通一平")</f>
        <v>五通一平</v>
      </c>
      <c r="E21" s="2598">
        <f>SUMPRODUCT((修正!B1:M1=G2)*(修正!B17:M17))</f>
        <v>185</v>
      </c>
      <c r="F21" s="2599" t="s">
        <v>3355</v>
      </c>
      <c r="G21" s="2598">
        <f>SUM(H21:O21)</f>
        <v>225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10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2</v>
      </c>
      <c r="D22" s="2603"/>
      <c r="E22" s="2604"/>
      <c r="F22" s="2589"/>
      <c r="G22" s="2588"/>
      <c r="H22" s="2588"/>
      <c r="I22" s="2588"/>
      <c r="J22" s="2594"/>
      <c r="K22" s="2974"/>
      <c r="L22" s="2588"/>
      <c r="M22" s="2588"/>
      <c r="N22" s="2588"/>
      <c r="O22" s="2588"/>
      <c r="P22" s="2979"/>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1.0555000000000001</v>
      </c>
      <c r="D23" s="1297" t="s">
        <v>882</v>
      </c>
      <c r="E23" s="1000">
        <v>44197</v>
      </c>
      <c r="F23" s="1297" t="s">
        <v>883</v>
      </c>
      <c r="G23" s="1001">
        <f>'数据-取费表'!B2</f>
        <v>45040</v>
      </c>
      <c r="H23" s="1298" t="s">
        <v>2242</v>
      </c>
      <c r="I23" s="2265" t="str">
        <f>IF(H23="季度增幅（自定义）",SUMIF(N25:N28,E2,O25:O28),"")</f>
        <v/>
      </c>
      <c r="J23" s="3564" t="s">
        <v>3356</v>
      </c>
      <c r="K23" s="2974"/>
      <c r="L23" s="2510" t="s">
        <v>2114</v>
      </c>
      <c r="M23" s="2511">
        <f>ROUND(SUMIF(地价!B2:F2,E2,地价!B41:F41),0)</f>
        <v>230</v>
      </c>
      <c r="N23" s="2267" t="s">
        <v>1211</v>
      </c>
      <c r="O23" s="2266">
        <f>ROUNDDOWN(DATEDIF(E23,G23,"M")/3,0)</f>
        <v>9</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0.64670000000000005</v>
      </c>
      <c r="D24" s="2262" t="s">
        <v>897</v>
      </c>
      <c r="E24" s="2539">
        <f>存贷款利率!E22/100</f>
        <v>4.3499999999999997E-2</v>
      </c>
      <c r="F24" s="2262" t="s">
        <v>898</v>
      </c>
      <c r="G24" s="2263">
        <f>SUMIF(M30:Q30,E2,M33:Q33)</f>
        <v>0.05</v>
      </c>
      <c r="H24" s="2262" t="s">
        <v>899</v>
      </c>
      <c r="I24" s="2258">
        <f>SUMIF('数据-取费表'!C6:C15,E2,'数据-取费表'!F6:F15)/COUNTIF('数据-取费表'!C6:C15,E2)</f>
        <v>18.29</v>
      </c>
      <c r="J24" s="2264">
        <f>IF(E2="住宅",70,IF(E2="商业",40,50))</f>
        <v>50</v>
      </c>
      <c r="K24" s="2596"/>
      <c r="L24" s="2512" t="s">
        <v>2115</v>
      </c>
      <c r="M24" s="2591">
        <f>ROUND(SUMPRODUCT((地价!A4:A41=YEAR(G23)&amp;"-"&amp;ROUNDUP(MONTH(G23)/3,0))*(地价!B2:F2=E2)*(地价!B4:F41)),0)</f>
        <v>0</v>
      </c>
      <c r="N24" s="2270" t="s">
        <v>1925</v>
      </c>
      <c r="O24" s="2268" t="s">
        <v>1924</v>
      </c>
      <c r="P24" s="2269" t="s">
        <v>1930</v>
      </c>
      <c r="Q24" s="2404"/>
      <c r="R24" s="1916"/>
      <c r="S24" s="1916"/>
      <c r="T24" s="1916"/>
      <c r="U24" s="1916"/>
      <c r="V24" s="1916"/>
      <c r="W24" s="1916"/>
      <c r="X24" s="1916"/>
      <c r="Y24" s="1295"/>
      <c r="Z24" s="1295"/>
      <c r="AA24" s="1295"/>
      <c r="AB24" s="1295"/>
      <c r="AC24" s="1295"/>
      <c r="AD24" s="1295"/>
    </row>
    <row r="25" spans="1:40" ht="14.25">
      <c r="A25" s="1447" t="s">
        <v>1366</v>
      </c>
      <c r="B25" s="1303" t="s">
        <v>2274</v>
      </c>
      <c r="C25" s="1057">
        <f>IF(B25="容积率修正",IF(G3&lt;10,D26,J26),C27)</f>
        <v>1.0678000000000001</v>
      </c>
      <c r="D25" s="1304"/>
      <c r="E25" s="1304"/>
      <c r="F25" s="1304"/>
      <c r="G25" s="1304"/>
      <c r="H25" s="1304"/>
      <c r="I25" s="1304"/>
      <c r="J25" s="1305"/>
      <c r="K25" s="2974"/>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5" t="s">
        <v>3209</v>
      </c>
      <c r="D26" s="1002">
        <f>IF(E26=G26,F26,IF(G3&lt;10,ROUND(F26+(H26-F26)*(G3-E26)/(G26-E26),4),"——"))</f>
        <v>1.0678000000000001</v>
      </c>
      <c r="E26" s="992">
        <f>ROUNDDOWN(G3,1)</f>
        <v>1.2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992">
        <f>ROUNDUP(G3,1)</f>
        <v>1.2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565" t="s">
        <v>3210</v>
      </c>
      <c r="J26" s="1002" t="str">
        <f>IF(G3&gt;=10,D116,"——")</f>
        <v>——</v>
      </c>
      <c r="K26" s="2980"/>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1"/>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1.0251999999999999</v>
      </c>
      <c r="D28" s="1354"/>
      <c r="E28" s="1355"/>
      <c r="F28" s="1355"/>
      <c r="G28" s="1355"/>
      <c r="H28" s="1355"/>
      <c r="I28" s="1355"/>
      <c r="J28" s="1355"/>
      <c r="K28" s="2981"/>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5"/>
      <c r="L29" s="1916"/>
      <c r="M29" s="1916"/>
      <c r="N29" s="2592" t="s">
        <v>1928</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3699</v>
      </c>
      <c r="D30" s="1312"/>
      <c r="E30" s="1290"/>
      <c r="F30" s="1313"/>
      <c r="G30" s="1290"/>
      <c r="H30" s="1290"/>
      <c r="I30" s="1290"/>
      <c r="J30" s="1314"/>
      <c r="K30" s="2975"/>
      <c r="L30" s="1407" t="s">
        <v>833</v>
      </c>
      <c r="M30" s="1279" t="s">
        <v>907</v>
      </c>
      <c r="N30" s="1279" t="s">
        <v>908</v>
      </c>
      <c r="O30" s="1279" t="s">
        <v>835</v>
      </c>
      <c r="P30" s="1299" t="s">
        <v>909</v>
      </c>
      <c r="Q30" s="1299" t="s">
        <v>3237</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12</v>
      </c>
      <c r="D31" s="1316"/>
      <c r="E31" s="1317"/>
      <c r="F31" s="1318"/>
      <c r="G31" s="1317"/>
      <c r="H31" s="1317"/>
      <c r="I31" s="1317"/>
      <c r="J31" s="1319"/>
      <c r="K31" s="2975"/>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5"/>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1759</v>
      </c>
      <c r="D33" s="1326">
        <f>'数据-汇总表'!F27</f>
        <v>20593.5</v>
      </c>
      <c r="E33" s="1634">
        <f>ROUND(C33*D33/10000,0)</f>
        <v>3622</v>
      </c>
      <c r="F33" s="3566" t="s">
        <v>3212</v>
      </c>
      <c r="G33" s="1327"/>
      <c r="H33" s="1327"/>
      <c r="I33" s="1327"/>
      <c r="J33" s="1328"/>
      <c r="K33" s="2982"/>
      <c r="L33" s="3636" t="s">
        <v>3238</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264</v>
      </c>
      <c r="D34" s="1331"/>
      <c r="E34" s="1634">
        <f>ROUND(IF(B25="楼层修正",SUM(V2:V16)*#REF!,C34*D34/10000),0)</f>
        <v>0</v>
      </c>
      <c r="F34" s="3567" t="s">
        <v>3213</v>
      </c>
      <c r="G34" s="1332"/>
      <c r="H34" s="1332"/>
      <c r="I34" s="1332"/>
      <c r="J34" s="1333"/>
      <c r="K34" s="2975"/>
      <c r="L34" s="3636" t="s">
        <v>3239</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8" t="s">
        <v>3240</v>
      </c>
      <c r="L36" s="3640">
        <f ca="1">'数据-取费表'!B40</f>
        <v>4.1499999999999995E-2</v>
      </c>
      <c r="M36" s="3641">
        <f ca="1">ROUND($L$36*(1+M31),3)</f>
        <v>5.1999999999999998E-2</v>
      </c>
      <c r="N36" s="3641">
        <f ca="1">ROUND($L$36*(1+N31),3)</f>
        <v>0.05</v>
      </c>
      <c r="O36" s="3641">
        <f ca="1">ROUND($L$36*(1+O31),3)</f>
        <v>4.8000000000000001E-2</v>
      </c>
      <c r="P36" s="3641">
        <f ca="1">ROUND($L$36*(1+P31),3)</f>
        <v>4.5999999999999999E-2</v>
      </c>
      <c r="Q36" s="3641">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861"/>
      <c r="B37" s="1344" t="s">
        <v>923</v>
      </c>
      <c r="C37" s="1005">
        <f>ROUND(D5*C22*C23*C24*C28*F37,0)</f>
        <v>824</v>
      </c>
      <c r="D37" s="1356"/>
      <c r="E37" s="996">
        <f>ROUND(C37*D37/10000,0)</f>
        <v>0</v>
      </c>
      <c r="F37" s="996">
        <f>SUMIF(修正!A57:A68,G2,修正!B57:B68)</f>
        <v>0.5</v>
      </c>
      <c r="G37" s="996">
        <f>ROUND(IF(E2="工业",C37*$M$42,C37*$M$41),0)</f>
        <v>124</v>
      </c>
      <c r="H37" s="996">
        <f>D37</f>
        <v>0</v>
      </c>
      <c r="I37" s="996">
        <f>ROUND(G37*H37/10000,0)</f>
        <v>0</v>
      </c>
      <c r="J37" s="3861"/>
      <c r="K37" s="3639" t="s">
        <v>3241</v>
      </c>
      <c r="L37" s="3640">
        <f ca="1">L36+K38</f>
        <v>4.6499999999999993E-2</v>
      </c>
      <c r="M37" s="3641">
        <f ca="1">ROUND($L$37*(1+M31),3)</f>
        <v>5.8000000000000003E-2</v>
      </c>
      <c r="N37" s="3641">
        <f t="shared" ref="N37:Q37" ca="1" si="3">ROUND($L$37*(1+N31),3)</f>
        <v>5.6000000000000001E-2</v>
      </c>
      <c r="O37" s="3641">
        <f t="shared" ca="1" si="3"/>
        <v>5.2999999999999999E-2</v>
      </c>
      <c r="P37" s="3641">
        <f t="shared" ca="1" si="3"/>
        <v>5.0999999999999997E-2</v>
      </c>
      <c r="Q37" s="3641">
        <f t="shared" ca="1" si="3"/>
        <v>5.2999999999999999E-2</v>
      </c>
      <c r="R37" s="1911"/>
      <c r="S37" s="1911"/>
      <c r="T37" s="1911"/>
      <c r="U37" s="1911"/>
      <c r="V37" s="1911"/>
      <c r="W37" s="1910"/>
      <c r="X37" s="1910"/>
      <c r="Y37" s="1910"/>
      <c r="Z37" s="1910"/>
      <c r="AA37" s="1910"/>
      <c r="AB37" s="1910"/>
      <c r="AC37" s="1911"/>
    </row>
    <row r="38" spans="1:44" ht="12.75">
      <c r="A38" s="3862"/>
      <c r="B38" s="1288" t="s">
        <v>924</v>
      </c>
      <c r="C38" s="1005">
        <f>ROUND(D5*C22*C23*C24*C28*F38,0)</f>
        <v>329</v>
      </c>
      <c r="D38" s="1356"/>
      <c r="E38" s="996">
        <f t="shared" ref="E38:E42" si="4">ROUND(C38*D38/10000,0)</f>
        <v>0</v>
      </c>
      <c r="F38" s="996">
        <f>SUMIF(修正!A57:A68,G2,修正!C57:C68)</f>
        <v>0.2</v>
      </c>
      <c r="G38" s="996">
        <f>ROUND(IF(E2="工业",C38*$M$42,C38*$M$41),0)</f>
        <v>49</v>
      </c>
      <c r="H38" s="996">
        <f t="shared" ref="H38:H42" si="5">D38</f>
        <v>0</v>
      </c>
      <c r="I38" s="996">
        <f t="shared" ref="I38:I42" si="6">ROUND(G38*H38/10000,0)</f>
        <v>0</v>
      </c>
      <c r="J38" s="3862"/>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5" thickBot="1">
      <c r="A39" s="3862"/>
      <c r="B39" s="3568" t="s">
        <v>3214</v>
      </c>
      <c r="C39" s="1005">
        <f>ROUND(D5*C22*C23*C24*C28*F39,0)</f>
        <v>329</v>
      </c>
      <c r="D39" s="1356"/>
      <c r="E39" s="996">
        <f t="shared" si="4"/>
        <v>0</v>
      </c>
      <c r="F39" s="996">
        <f>SUMIF(修正!A57:A68,G2,修正!D57:D68)</f>
        <v>0.2</v>
      </c>
      <c r="G39" s="996">
        <f>ROUND(IF(E2="工业",C39*$M$42,C39*$M$41),0)</f>
        <v>49</v>
      </c>
      <c r="H39" s="996">
        <f t="shared" si="5"/>
        <v>0</v>
      </c>
      <c r="I39" s="996">
        <f t="shared" si="6"/>
        <v>0</v>
      </c>
      <c r="J39" s="3862"/>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329</v>
      </c>
      <c r="D40" s="1356"/>
      <c r="E40" s="996">
        <f t="shared" si="4"/>
        <v>0</v>
      </c>
      <c r="F40" s="1005">
        <f>SUMIF(修正!A57:A68,G2,修正!E57:E68)</f>
        <v>0.2</v>
      </c>
      <c r="G40" s="996">
        <f>ROUND(IF(E2="工业",C40*$M$42,C40*$M$41),0)</f>
        <v>49</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329</v>
      </c>
      <c r="D41" s="1356"/>
      <c r="E41" s="996">
        <f t="shared" si="4"/>
        <v>0</v>
      </c>
      <c r="F41" s="1005">
        <f>SUMIF(修正!A57:A68,G2,修正!F57:F68)</f>
        <v>0.2</v>
      </c>
      <c r="G41" s="996">
        <f>ROUND(IF(E2="工业",C41*$M$42,C41*$M$41),0)</f>
        <v>49</v>
      </c>
      <c r="H41" s="996">
        <f t="shared" si="5"/>
        <v>0</v>
      </c>
      <c r="I41" s="996">
        <f t="shared" si="6"/>
        <v>0</v>
      </c>
      <c r="J41" s="1345"/>
      <c r="K41" s="1910"/>
      <c r="L41" s="3642" t="s">
        <v>3242</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165</v>
      </c>
      <c r="D42" s="1357">
        <f>'数据-汇总表'!G27</f>
        <v>4676.82</v>
      </c>
      <c r="E42" s="997">
        <f t="shared" si="4"/>
        <v>77</v>
      </c>
      <c r="F42" s="1007">
        <f>SUMIF(修正!A57:A68,G2,修正!G57:G68)</f>
        <v>0.1</v>
      </c>
      <c r="G42" s="997">
        <f>ROUND(IF(E2="工业",C42*$M$42,C42*$M$41),0)</f>
        <v>25</v>
      </c>
      <c r="H42" s="997">
        <f t="shared" si="5"/>
        <v>4676.82</v>
      </c>
      <c r="I42" s="997">
        <f t="shared" si="6"/>
        <v>12</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2238</v>
      </c>
      <c r="C44" s="804">
        <f>ROUND(POWER(1+E44,H44-G44)*(POWER(1+E44,G44)-1)/(POWER(1+E44,H44)-1),4)</f>
        <v>0.64670000000000005</v>
      </c>
      <c r="D44" s="365" t="s">
        <v>2236</v>
      </c>
      <c r="E44" s="2586">
        <f>G24</f>
        <v>0.05</v>
      </c>
      <c r="F44" s="365" t="s">
        <v>2237</v>
      </c>
      <c r="G44" s="383">
        <f>'数据-取费表'!F7</f>
        <v>18.29</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81" customFormat="1" ht="22.5" customHeight="1"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5" hidden="1">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hidden="1">
      <c r="A49" s="3587" t="s">
        <v>930</v>
      </c>
      <c r="B49" s="3588" t="s">
        <v>931</v>
      </c>
      <c r="C49" s="3589" t="s">
        <v>932</v>
      </c>
      <c r="D49" s="3590" t="s">
        <v>933</v>
      </c>
      <c r="E49" s="3591" t="s">
        <v>935</v>
      </c>
      <c r="F49" s="3460" t="s">
        <v>1607</v>
      </c>
      <c r="G49" s="3590" t="s">
        <v>936</v>
      </c>
      <c r="H49" s="3592" t="s">
        <v>1770</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hidden="1">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36" hidden="1">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36" hidden="1">
      <c r="A52" s="3569" t="s">
        <v>3216</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hidden="1">
      <c r="A53" s="3587" t="s">
        <v>945</v>
      </c>
      <c r="B53" s="3603" t="s">
        <v>2195</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hidden="1">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24" hidden="1">
      <c r="A55" s="3587" t="s">
        <v>947</v>
      </c>
      <c r="B55" s="3604" t="s">
        <v>2194</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hidden="1">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hidden="1">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24.75" hidden="1"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5" hidden="1">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hidden="1">
      <c r="A60" s="3587" t="s">
        <v>930</v>
      </c>
      <c r="B60" s="3588"/>
      <c r="C60" s="3589" t="s">
        <v>932</v>
      </c>
      <c r="D60" s="3590" t="s">
        <v>933</v>
      </c>
      <c r="E60" s="3591" t="s">
        <v>935</v>
      </c>
      <c r="F60" s="3460" t="s">
        <v>1608</v>
      </c>
      <c r="G60" s="3590" t="s">
        <v>936</v>
      </c>
      <c r="H60" s="3592" t="s">
        <v>1770</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hidden="1">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36" hidden="1">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36" hidden="1">
      <c r="A63" s="3569" t="s">
        <v>3216</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hidden="1">
      <c r="A64" s="3587" t="s">
        <v>945</v>
      </c>
      <c r="B64" s="3603" t="s">
        <v>2196</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hidden="1">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24" hidden="1">
      <c r="A66" s="3587" t="s">
        <v>947</v>
      </c>
      <c r="B66" s="3604" t="s">
        <v>2194</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hidden="1">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hidden="1">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24.75" hidden="1"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5" hidden="1">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hidden="1">
      <c r="A71" s="3587" t="s">
        <v>930</v>
      </c>
      <c r="B71" s="3588"/>
      <c r="C71" s="3589" t="s">
        <v>932</v>
      </c>
      <c r="D71" s="3590" t="s">
        <v>933</v>
      </c>
      <c r="E71" s="3591" t="s">
        <v>935</v>
      </c>
      <c r="F71" s="3460" t="s">
        <v>1609</v>
      </c>
      <c r="G71" s="3590" t="s">
        <v>936</v>
      </c>
      <c r="H71" s="3592" t="s">
        <v>1770</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hidden="1">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36" hidden="1">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36" hidden="1">
      <c r="A74" s="3569" t="s">
        <v>3216</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8" customFormat="1" ht="24" hidden="1">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8" customFormat="1" ht="24" hidden="1">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8" customFormat="1" ht="24" hidden="1">
      <c r="A78" s="3587" t="s">
        <v>947</v>
      </c>
      <c r="B78" s="3604" t="s">
        <v>2194</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8" customFormat="1" ht="24" hidden="1">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8" customFormat="1" ht="24.75" hidden="1"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8" customFormat="1" ht="15">
      <c r="A81" s="3582" t="s">
        <v>958</v>
      </c>
      <c r="B81" s="3646">
        <f>1+E83</f>
        <v>1.0251999999999999</v>
      </c>
      <c r="C81" s="3610"/>
      <c r="D81" s="3584"/>
      <c r="E81" s="3585"/>
      <c r="F81" s="3586"/>
      <c r="G81" s="3580"/>
      <c r="H81" s="3580"/>
      <c r="I81" s="3580"/>
      <c r="J81" s="3431"/>
      <c r="K81" s="3431"/>
      <c r="L81" s="3431"/>
      <c r="M81" s="3431"/>
      <c r="N81" s="3431"/>
      <c r="AE81" s="3581"/>
      <c r="AF81" s="3581"/>
      <c r="AG81" s="3581"/>
      <c r="AH81" s="3581"/>
      <c r="AI81" s="3581"/>
      <c r="AJ81" s="3581"/>
    </row>
    <row r="82" spans="1:36" s="1348" customFormat="1" ht="24">
      <c r="A82" s="3587" t="s">
        <v>930</v>
      </c>
      <c r="B82" s="3588"/>
      <c r="C82" s="3589" t="s">
        <v>932</v>
      </c>
      <c r="D82" s="3590" t="s">
        <v>933</v>
      </c>
      <c r="E82" s="3591" t="s">
        <v>935</v>
      </c>
      <c r="F82" s="3460" t="s">
        <v>1610</v>
      </c>
      <c r="G82" s="3590" t="s">
        <v>936</v>
      </c>
      <c r="H82" s="3592" t="s">
        <v>1770</v>
      </c>
      <c r="I82" s="3590" t="s">
        <v>934</v>
      </c>
      <c r="J82" s="3593" t="s">
        <v>937</v>
      </c>
      <c r="K82" s="3593" t="s">
        <v>938</v>
      </c>
      <c r="L82" s="3593" t="s">
        <v>939</v>
      </c>
      <c r="M82" s="3593" t="s">
        <v>940</v>
      </c>
      <c r="N82" s="3593" t="s">
        <v>941</v>
      </c>
      <c r="AE82" s="3581"/>
      <c r="AF82" s="3581"/>
      <c r="AG82" s="3581"/>
      <c r="AH82" s="3581"/>
      <c r="AI82" s="3581"/>
      <c r="AJ82" s="3581"/>
    </row>
    <row r="83" spans="1:36" s="1348" customFormat="1" ht="24">
      <c r="A83" s="3587" t="s">
        <v>959</v>
      </c>
      <c r="B83" s="3588" t="str">
        <f>估价对象房地状况!G15</f>
        <v>较好</v>
      </c>
      <c r="C83" s="3595" t="s">
        <v>3346</v>
      </c>
      <c r="D83" s="3596">
        <f t="shared" ref="D83:D90" si="22">SUMIF($J$82:$N$82,C83,J83:N83)</f>
        <v>6.4999999999999997E-3</v>
      </c>
      <c r="E83" s="3597">
        <f>ROUND(SUM(D83:D90),4)</f>
        <v>2.52E-2</v>
      </c>
      <c r="F83" s="3598">
        <f>IF(E2="工业",SUMIF(L1:L12,G2,N1:N12),"——")</f>
        <v>0.05</v>
      </c>
      <c r="G83" s="3599">
        <v>6.4999999999999997E-3</v>
      </c>
      <c r="H83" s="3600">
        <f t="shared" ref="H83:H90" si="23">IFERROR(ROUNDDOWN($F$83*I83/2,4),"——")</f>
        <v>6.4999999999999997E-3</v>
      </c>
      <c r="I83" s="3574">
        <v>0.26</v>
      </c>
      <c r="J83" s="3601">
        <f t="shared" ref="J83:J90" si="24">K83+$G83</f>
        <v>1.2999999999999999E-2</v>
      </c>
      <c r="K83" s="3601">
        <f t="shared" ref="K83:K90" si="25">$L83+$G83</f>
        <v>6.4999999999999997E-3</v>
      </c>
      <c r="L83" s="3601">
        <v>0</v>
      </c>
      <c r="M83" s="3601">
        <f t="shared" ref="M83:N90" si="26">L83-$G83</f>
        <v>-6.4999999999999997E-3</v>
      </c>
      <c r="N83" s="3601">
        <f t="shared" si="26"/>
        <v>-1.2999999999999999E-2</v>
      </c>
      <c r="AE83" s="3581"/>
      <c r="AF83" s="3581"/>
      <c r="AG83" s="3581"/>
      <c r="AH83" s="3581"/>
      <c r="AI83" s="3581"/>
      <c r="AJ83" s="3581"/>
    </row>
    <row r="84" spans="1:36" s="1348" customFormat="1" ht="14.25">
      <c r="A84" s="3587" t="s">
        <v>955</v>
      </c>
      <c r="B84" s="3588" t="str">
        <f>估价对象房地状况!G16</f>
        <v>较好</v>
      </c>
      <c r="C84" s="3595" t="s">
        <v>3346</v>
      </c>
      <c r="D84" s="3596">
        <f t="shared" si="22"/>
        <v>7.4999999999999997E-3</v>
      </c>
      <c r="E84" s="3602"/>
      <c r="F84" s="3598"/>
      <c r="G84" s="3599">
        <v>7.4999999999999997E-3</v>
      </c>
      <c r="H84" s="3600">
        <f t="shared" si="23"/>
        <v>7.4999999999999997E-3</v>
      </c>
      <c r="I84" s="3574">
        <v>0.3</v>
      </c>
      <c r="J84" s="3601">
        <f t="shared" si="24"/>
        <v>1.4999999999999999E-2</v>
      </c>
      <c r="K84" s="3601">
        <f t="shared" si="25"/>
        <v>7.4999999999999997E-3</v>
      </c>
      <c r="L84" s="3601">
        <v>0</v>
      </c>
      <c r="M84" s="3601">
        <f t="shared" si="26"/>
        <v>-7.4999999999999997E-3</v>
      </c>
      <c r="N84" s="3601">
        <f t="shared" si="26"/>
        <v>-1.4999999999999999E-2</v>
      </c>
      <c r="AE84" s="3581"/>
      <c r="AF84" s="3581"/>
      <c r="AG84" s="3581"/>
      <c r="AH84" s="3581"/>
      <c r="AI84" s="3581"/>
      <c r="AJ84" s="3581"/>
    </row>
    <row r="85" spans="1:36" s="1348" customFormat="1" ht="24">
      <c r="A85" s="3587" t="s">
        <v>944</v>
      </c>
      <c r="B85" s="3588">
        <f>估价对象房地状况!G17</f>
        <v>0</v>
      </c>
      <c r="C85" s="3595" t="s">
        <v>3346</v>
      </c>
      <c r="D85" s="3596">
        <f t="shared" si="22"/>
        <v>2.5000000000000001E-3</v>
      </c>
      <c r="E85" s="3602"/>
      <c r="F85" s="3598"/>
      <c r="G85" s="3599">
        <v>2.5000000000000001E-3</v>
      </c>
      <c r="H85" s="3600">
        <f t="shared" si="23"/>
        <v>2.5000000000000001E-3</v>
      </c>
      <c r="I85" s="3574">
        <v>0.1</v>
      </c>
      <c r="J85" s="3601">
        <f t="shared" si="24"/>
        <v>5.0000000000000001E-3</v>
      </c>
      <c r="K85" s="3601">
        <f t="shared" si="25"/>
        <v>2.5000000000000001E-3</v>
      </c>
      <c r="L85" s="3601">
        <v>0</v>
      </c>
      <c r="M85" s="3601">
        <f t="shared" si="26"/>
        <v>-2.5000000000000001E-3</v>
      </c>
      <c r="N85" s="3601">
        <f t="shared" si="26"/>
        <v>-5.0000000000000001E-3</v>
      </c>
      <c r="AE85" s="3581"/>
      <c r="AF85" s="3581"/>
      <c r="AG85" s="3581"/>
      <c r="AH85" s="3581"/>
      <c r="AI85" s="3581"/>
      <c r="AJ85" s="3581"/>
    </row>
    <row r="86" spans="1:36" s="1348" customFormat="1" ht="14.25">
      <c r="A86" s="3587" t="s">
        <v>956</v>
      </c>
      <c r="B86" s="3588">
        <f>估价对象房地状况!G22</f>
        <v>0</v>
      </c>
      <c r="C86" s="3595" t="s">
        <v>3350</v>
      </c>
      <c r="D86" s="3596">
        <f t="shared" si="22"/>
        <v>0</v>
      </c>
      <c r="E86" s="3602"/>
      <c r="F86" s="3598"/>
      <c r="G86" s="3599">
        <v>1.1999999999999999E-3</v>
      </c>
      <c r="H86" s="3600">
        <f t="shared" si="23"/>
        <v>1.1999999999999999E-3</v>
      </c>
      <c r="I86" s="3574">
        <v>0.05</v>
      </c>
      <c r="J86" s="3601">
        <f t="shared" si="24"/>
        <v>2.3999999999999998E-3</v>
      </c>
      <c r="K86" s="3601">
        <f t="shared" si="25"/>
        <v>1.1999999999999999E-3</v>
      </c>
      <c r="L86" s="3601">
        <v>0</v>
      </c>
      <c r="M86" s="3601">
        <f t="shared" si="26"/>
        <v>-1.1999999999999999E-3</v>
      </c>
      <c r="N86" s="3601">
        <f t="shared" si="26"/>
        <v>-2.3999999999999998E-3</v>
      </c>
      <c r="AE86" s="3581"/>
      <c r="AF86" s="3581"/>
      <c r="AG86" s="3581"/>
      <c r="AH86" s="3581"/>
      <c r="AI86" s="3581"/>
      <c r="AJ86" s="3581"/>
    </row>
    <row r="87" spans="1:36" s="1348" customFormat="1" ht="24">
      <c r="A87" s="3587" t="s">
        <v>948</v>
      </c>
      <c r="B87" s="3606" t="str">
        <f>估价对象房地状况!G19</f>
        <v>一般</v>
      </c>
      <c r="C87" s="3595" t="s">
        <v>3350</v>
      </c>
      <c r="D87" s="3596">
        <f t="shared" si="22"/>
        <v>0</v>
      </c>
      <c r="E87" s="3602"/>
      <c r="F87" s="3598"/>
      <c r="G87" s="3599">
        <v>1.5E-3</v>
      </c>
      <c r="H87" s="3600">
        <f t="shared" si="23"/>
        <v>1.5E-3</v>
      </c>
      <c r="I87" s="3574">
        <v>0.06</v>
      </c>
      <c r="J87" s="3601">
        <f t="shared" si="24"/>
        <v>3.0000000000000001E-3</v>
      </c>
      <c r="K87" s="3601">
        <f t="shared" si="25"/>
        <v>1.5E-3</v>
      </c>
      <c r="L87" s="3601">
        <v>0</v>
      </c>
      <c r="M87" s="3601">
        <f t="shared" si="26"/>
        <v>-1.5E-3</v>
      </c>
      <c r="N87" s="3601">
        <f t="shared" si="26"/>
        <v>-3.0000000000000001E-3</v>
      </c>
      <c r="AE87" s="3581"/>
      <c r="AF87" s="3581"/>
      <c r="AG87" s="3581"/>
      <c r="AH87" s="3581"/>
      <c r="AI87" s="3581"/>
      <c r="AJ87" s="3581"/>
    </row>
    <row r="88" spans="1:36" s="1348" customFormat="1" ht="24">
      <c r="A88" s="3587" t="s">
        <v>949</v>
      </c>
      <c r="B88" s="3606" t="str">
        <f>估价对象房地状况!G20</f>
        <v>七通</v>
      </c>
      <c r="C88" s="3595" t="s">
        <v>3364</v>
      </c>
      <c r="D88" s="3596">
        <f t="shared" si="22"/>
        <v>6.0000000000000001E-3</v>
      </c>
      <c r="E88" s="3602"/>
      <c r="F88" s="3598"/>
      <c r="G88" s="3599">
        <v>3.0000000000000001E-3</v>
      </c>
      <c r="H88" s="3600">
        <f t="shared" si="23"/>
        <v>3.0000000000000001E-3</v>
      </c>
      <c r="I88" s="3574">
        <v>0.12</v>
      </c>
      <c r="J88" s="3601">
        <f t="shared" si="24"/>
        <v>6.0000000000000001E-3</v>
      </c>
      <c r="K88" s="3601">
        <f t="shared" si="25"/>
        <v>3.0000000000000001E-3</v>
      </c>
      <c r="L88" s="3601">
        <v>0</v>
      </c>
      <c r="M88" s="3601">
        <f t="shared" si="26"/>
        <v>-3.0000000000000001E-3</v>
      </c>
      <c r="N88" s="3601">
        <f t="shared" si="26"/>
        <v>-6.0000000000000001E-3</v>
      </c>
      <c r="AE88" s="3581"/>
      <c r="AF88" s="3581"/>
      <c r="AG88" s="3581"/>
      <c r="AH88" s="3581"/>
      <c r="AI88" s="3581"/>
      <c r="AJ88" s="3581"/>
    </row>
    <row r="89" spans="1:36" s="1348" customFormat="1" ht="24">
      <c r="A89" s="3587" t="s">
        <v>947</v>
      </c>
      <c r="B89" s="3604" t="s">
        <v>2194</v>
      </c>
      <c r="C89" s="3595" t="s">
        <v>3346</v>
      </c>
      <c r="D89" s="3596">
        <f t="shared" si="22"/>
        <v>1.5E-3</v>
      </c>
      <c r="E89" s="3602"/>
      <c r="F89" s="3598"/>
      <c r="G89" s="3599">
        <v>1.5E-3</v>
      </c>
      <c r="H89" s="3600">
        <f t="shared" si="23"/>
        <v>1.5E-3</v>
      </c>
      <c r="I89" s="3574">
        <v>0.06</v>
      </c>
      <c r="J89" s="3601">
        <f t="shared" si="24"/>
        <v>3.0000000000000001E-3</v>
      </c>
      <c r="K89" s="3601">
        <f t="shared" si="25"/>
        <v>1.5E-3</v>
      </c>
      <c r="L89" s="3601">
        <v>0</v>
      </c>
      <c r="M89" s="3601">
        <f t="shared" si="26"/>
        <v>-1.5E-3</v>
      </c>
      <c r="N89" s="3601">
        <f t="shared" si="26"/>
        <v>-3.0000000000000001E-3</v>
      </c>
      <c r="AE89" s="3581"/>
      <c r="AF89" s="3581"/>
      <c r="AG89" s="3581"/>
      <c r="AH89" s="3581"/>
      <c r="AI89" s="3581"/>
      <c r="AJ89" s="3581"/>
    </row>
    <row r="90" spans="1:36" s="1348" customFormat="1" ht="15" thickBot="1">
      <c r="A90" s="3607" t="s">
        <v>960</v>
      </c>
      <c r="B90" s="3617" t="str">
        <f>估价对象房地状况!G18</f>
        <v>较好</v>
      </c>
      <c r="C90" s="3595" t="s">
        <v>3346</v>
      </c>
      <c r="D90" s="3596">
        <f t="shared" si="22"/>
        <v>1.1999999999999999E-3</v>
      </c>
      <c r="E90" s="3609"/>
      <c r="F90" s="3598"/>
      <c r="G90" s="3599">
        <v>1.1999999999999999E-3</v>
      </c>
      <c r="H90" s="3600">
        <f t="shared" si="23"/>
        <v>1.1999999999999999E-3</v>
      </c>
      <c r="I90" s="3576">
        <v>0.05</v>
      </c>
      <c r="J90" s="3601">
        <f t="shared" si="24"/>
        <v>2.3999999999999998E-3</v>
      </c>
      <c r="K90" s="3601">
        <f t="shared" si="25"/>
        <v>1.1999999999999999E-3</v>
      </c>
      <c r="L90" s="3601">
        <v>0</v>
      </c>
      <c r="M90" s="3601">
        <f t="shared" si="26"/>
        <v>-1.1999999999999999E-3</v>
      </c>
      <c r="N90" s="3601">
        <f t="shared" si="26"/>
        <v>-2.3999999999999998E-3</v>
      </c>
      <c r="AE90" s="3581"/>
      <c r="AF90" s="3581"/>
      <c r="AG90" s="3581"/>
      <c r="AH90" s="3581"/>
      <c r="AI90" s="3581"/>
      <c r="AJ90" s="3581"/>
    </row>
    <row r="91" spans="1:36" s="1348" customFormat="1" ht="15">
      <c r="A91" s="3570" t="s">
        <v>3225</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8" customFormat="1" ht="24">
      <c r="A92" s="3571" t="s">
        <v>3226</v>
      </c>
      <c r="B92" s="3571"/>
      <c r="C92" s="3571" t="s">
        <v>3231</v>
      </c>
      <c r="D92" s="3571" t="s">
        <v>3218</v>
      </c>
      <c r="E92" s="3628" t="s">
        <v>3219</v>
      </c>
      <c r="F92" s="3627" t="s">
        <v>1607</v>
      </c>
      <c r="G92" s="3590" t="s">
        <v>936</v>
      </c>
      <c r="H92" s="3592" t="s">
        <v>1770</v>
      </c>
      <c r="I92" s="3590" t="s">
        <v>934</v>
      </c>
      <c r="J92" s="3593" t="s">
        <v>937</v>
      </c>
      <c r="K92" s="3593" t="s">
        <v>938</v>
      </c>
      <c r="L92" s="3593" t="s">
        <v>939</v>
      </c>
      <c r="M92" s="3593" t="s">
        <v>940</v>
      </c>
      <c r="N92" s="3593" t="s">
        <v>941</v>
      </c>
      <c r="AE92" s="3581"/>
      <c r="AF92" s="3581"/>
      <c r="AG92" s="3581"/>
      <c r="AH92" s="3581"/>
      <c r="AI92" s="3581"/>
      <c r="AJ92" s="3581"/>
    </row>
    <row r="93" spans="1:36" s="1348" customFormat="1" ht="24">
      <c r="A93" s="3626" t="s">
        <v>3227</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8" customFormat="1" ht="14.25">
      <c r="A94" s="3571" t="s">
        <v>3228</v>
      </c>
      <c r="B94" s="3588" t="str">
        <f>估价对象房地状况!G16</f>
        <v>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8" customFormat="1" ht="36">
      <c r="A95" s="3626" t="s">
        <v>3216</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8" customFormat="1" ht="36.75">
      <c r="A96" s="3571" t="s">
        <v>3220</v>
      </c>
      <c r="B96" s="3575" t="s">
        <v>3221</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8" customFormat="1" ht="24">
      <c r="A97" s="3571" t="s">
        <v>3222</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8" customFormat="1" ht="24">
      <c r="A98" s="3571" t="s">
        <v>3229</v>
      </c>
      <c r="B98" s="3603" t="s">
        <v>2194</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8" customFormat="1" ht="24">
      <c r="A99" s="3571" t="s">
        <v>3230</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8" customFormat="1" ht="24">
      <c r="A100" s="3571" t="s">
        <v>3223</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8" customFormat="1" ht="24.75" thickBot="1">
      <c r="A101" s="3571" t="s">
        <v>3224</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8"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8" customFormat="1">
      <c r="K103" s="3581"/>
      <c r="AD103" s="3581"/>
      <c r="AE103" s="3581"/>
      <c r="AF103" s="3581"/>
      <c r="AG103" s="3581"/>
      <c r="AH103" s="3581"/>
      <c r="AI103" s="3581"/>
    </row>
    <row r="104" spans="1:36">
      <c r="A104" s="3866" t="s">
        <v>1172</v>
      </c>
      <c r="B104" s="3866"/>
      <c r="C104" s="3866"/>
      <c r="D104" s="3866"/>
      <c r="E104" s="3866"/>
      <c r="F104" s="3866"/>
      <c r="G104" s="3866"/>
      <c r="H104" s="3866"/>
      <c r="I104" s="3866"/>
      <c r="J104" s="3866"/>
      <c r="K104" s="2102"/>
      <c r="L104" s="2102"/>
      <c r="M104" s="2102"/>
      <c r="N104" s="2102"/>
    </row>
    <row r="105" spans="1:36">
      <c r="A105" s="3867" t="s">
        <v>1161</v>
      </c>
      <c r="B105" s="3867" t="s">
        <v>1173</v>
      </c>
      <c r="C105" s="1041" t="s">
        <v>1174</v>
      </c>
      <c r="D105" s="1042"/>
      <c r="E105" s="1042"/>
      <c r="F105" s="1042"/>
      <c r="G105" s="1042"/>
      <c r="H105" s="1042"/>
      <c r="I105" s="1042"/>
      <c r="J105" s="1043"/>
      <c r="K105" s="1035"/>
      <c r="L105" s="1035"/>
      <c r="M105" s="1035"/>
      <c r="N105" s="1035"/>
    </row>
    <row r="106" spans="1:36">
      <c r="A106" s="3867"/>
      <c r="B106" s="3867"/>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856"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5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5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5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5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57"/>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5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63" t="s">
        <v>1175</v>
      </c>
      <c r="B114" s="3863"/>
      <c r="C114" s="3863"/>
      <c r="D114" s="3863"/>
      <c r="E114" s="3863"/>
      <c r="F114" s="3863"/>
      <c r="G114" s="3863"/>
      <c r="H114" s="3863"/>
      <c r="I114" s="3863"/>
      <c r="J114" s="3863"/>
      <c r="K114" s="2100"/>
      <c r="L114" s="2100"/>
      <c r="M114" s="2100"/>
      <c r="N114" s="2100"/>
    </row>
    <row r="116" spans="1:14" ht="12.75" thickBot="1"/>
    <row r="117" spans="1:14" ht="25.5" thickBot="1">
      <c r="A117" s="976" t="s">
        <v>831</v>
      </c>
      <c r="B117" s="2103">
        <f>G3</f>
        <v>1.2</v>
      </c>
      <c r="C117" s="977" t="s">
        <v>832</v>
      </c>
      <c r="D117" s="978" t="e">
        <f>SUMPRODUCT((A118:A122=F116)*(B117:M117=H116)*B118:M122)</f>
        <v>#VALUE!</v>
      </c>
      <c r="E117" s="979" t="s">
        <v>833</v>
      </c>
      <c r="F117" s="980" t="str">
        <f>E2</f>
        <v>工业</v>
      </c>
      <c r="G117" s="979" t="s">
        <v>834</v>
      </c>
      <c r="H117" s="980" t="str">
        <f>G2</f>
        <v>八级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0" t="s">
        <v>3233</v>
      </c>
      <c r="B119" s="3572">
        <f>ROUND(0.9968-0.011*B117,4)</f>
        <v>0.98360000000000003</v>
      </c>
      <c r="C119" s="3572">
        <f>B119</f>
        <v>0.98360000000000003</v>
      </c>
      <c r="D119" s="3572">
        <f>ROUND(0.949-0.014*B117,4)</f>
        <v>0.93220000000000003</v>
      </c>
      <c r="E119" s="3572">
        <f>D119</f>
        <v>0.93220000000000003</v>
      </c>
      <c r="F119" s="3572">
        <f>E119</f>
        <v>0.93220000000000003</v>
      </c>
      <c r="G119" s="3572">
        <f>F119</f>
        <v>0.93220000000000003</v>
      </c>
      <c r="H119" s="3572">
        <f>G119</f>
        <v>0.93220000000000003</v>
      </c>
      <c r="I119" s="3572">
        <f>ROUND(0.8486-0.018*B117,4)</f>
        <v>0.82699999999999996</v>
      </c>
      <c r="J119" s="3572">
        <f t="shared" ref="J119:M123" si="35">I119</f>
        <v>0.82699999999999996</v>
      </c>
      <c r="K119" s="3572">
        <f t="shared" si="35"/>
        <v>0.82699999999999996</v>
      </c>
      <c r="L119" s="3572">
        <f t="shared" si="35"/>
        <v>0.82699999999999996</v>
      </c>
      <c r="M119" s="3633">
        <f t="shared" si="35"/>
        <v>0.82699999999999996</v>
      </c>
    </row>
    <row r="120" spans="1:14" ht="12.75">
      <c r="A120" s="3630" t="s">
        <v>3234</v>
      </c>
      <c r="B120" s="3572">
        <f>ROUND(0.993-0.0112*B117,4)</f>
        <v>0.97960000000000003</v>
      </c>
      <c r="C120" s="3572">
        <f>B120</f>
        <v>0.97960000000000003</v>
      </c>
      <c r="D120" s="3572">
        <f>ROUND(0.9415-0.0142*B117,4)</f>
        <v>0.92449999999999999</v>
      </c>
      <c r="E120" s="3572">
        <f t="shared" ref="E120:H121" si="36">D120</f>
        <v>0.92449999999999999</v>
      </c>
      <c r="F120" s="3572">
        <f t="shared" si="36"/>
        <v>0.92449999999999999</v>
      </c>
      <c r="G120" s="3572">
        <f t="shared" si="36"/>
        <v>0.92449999999999999</v>
      </c>
      <c r="H120" s="3572">
        <f t="shared" si="36"/>
        <v>0.92449999999999999</v>
      </c>
      <c r="I120" s="3572">
        <f>ROUND(0.838-0.0182*B117,4)</f>
        <v>0.81620000000000004</v>
      </c>
      <c r="J120" s="3572">
        <f t="shared" si="35"/>
        <v>0.81620000000000004</v>
      </c>
      <c r="K120" s="3572">
        <f t="shared" si="35"/>
        <v>0.81620000000000004</v>
      </c>
      <c r="L120" s="3572">
        <f t="shared" si="35"/>
        <v>0.81620000000000004</v>
      </c>
      <c r="M120" s="3633">
        <f t="shared" si="35"/>
        <v>0.81620000000000004</v>
      </c>
    </row>
    <row r="121" spans="1:14" ht="12.75">
      <c r="A121" s="3630" t="s">
        <v>3235</v>
      </c>
      <c r="B121" s="3572">
        <f>ROUND(0.9448-0.0115*B117,4)</f>
        <v>0.93100000000000005</v>
      </c>
      <c r="C121" s="3572">
        <f>B121</f>
        <v>0.93100000000000005</v>
      </c>
      <c r="D121" s="3572">
        <f>ROUND(0.937-0.0145*B117,4)</f>
        <v>0.91959999999999997</v>
      </c>
      <c r="E121" s="3572">
        <f t="shared" si="36"/>
        <v>0.91959999999999997</v>
      </c>
      <c r="F121" s="3572">
        <f t="shared" si="36"/>
        <v>0.91959999999999997</v>
      </c>
      <c r="G121" s="3572">
        <f t="shared" si="36"/>
        <v>0.91959999999999997</v>
      </c>
      <c r="H121" s="3572">
        <f t="shared" si="36"/>
        <v>0.91959999999999997</v>
      </c>
      <c r="I121" s="3572">
        <f>ROUND(0.7965-0.0185*B117,4)</f>
        <v>0.77429999999999999</v>
      </c>
      <c r="J121" s="3572">
        <f t="shared" si="35"/>
        <v>0.77429999999999999</v>
      </c>
      <c r="K121" s="3572">
        <f t="shared" si="35"/>
        <v>0.77429999999999999</v>
      </c>
      <c r="L121" s="3572">
        <f t="shared" si="35"/>
        <v>0.77429999999999999</v>
      </c>
      <c r="M121" s="3633">
        <f t="shared" si="35"/>
        <v>0.77429999999999999</v>
      </c>
    </row>
    <row r="122" spans="1:14" ht="13.5" thickBot="1">
      <c r="A122" s="3631" t="s">
        <v>3236</v>
      </c>
      <c r="B122" s="3634">
        <f>ROUND(0.7836-0.012*B117,4)</f>
        <v>0.76919999999999999</v>
      </c>
      <c r="C122" s="3634">
        <f>B122</f>
        <v>0.76919999999999999</v>
      </c>
      <c r="D122" s="3634">
        <f>ROUND(0.753-0.015*B117,4)</f>
        <v>0.73499999999999999</v>
      </c>
      <c r="E122" s="3634">
        <f>D122</f>
        <v>0.73499999999999999</v>
      </c>
      <c r="F122" s="3634">
        <f>E122</f>
        <v>0.73499999999999999</v>
      </c>
      <c r="G122" s="3634">
        <f>ROUND(0.6612-0.018*B117,4)</f>
        <v>0.63959999999999995</v>
      </c>
      <c r="H122" s="3634">
        <f>G122</f>
        <v>0.63959999999999995</v>
      </c>
      <c r="I122" s="3634">
        <f>ROUND(0.5905-0.019*B117,4)</f>
        <v>0.56769999999999998</v>
      </c>
      <c r="J122" s="3634">
        <f t="shared" si="35"/>
        <v>0.56769999999999998</v>
      </c>
      <c r="K122" s="3634">
        <f t="shared" si="35"/>
        <v>0.56769999999999998</v>
      </c>
      <c r="L122" s="3634">
        <f t="shared" si="35"/>
        <v>0.56769999999999998</v>
      </c>
      <c r="M122" s="3635">
        <f t="shared" si="35"/>
        <v>0.56769999999999998</v>
      </c>
    </row>
    <row r="123" spans="1:14" ht="12.75">
      <c r="A123" s="3632" t="s">
        <v>3217</v>
      </c>
      <c r="B123" s="3572">
        <f>ROUND(0.9404-0.0106*B117,4)</f>
        <v>0.92769999999999997</v>
      </c>
      <c r="C123" s="3572">
        <f>B123</f>
        <v>0.92769999999999997</v>
      </c>
      <c r="D123" s="3572">
        <f>ROUND(0.8955-0.0135*B117,4)</f>
        <v>0.87929999999999997</v>
      </c>
      <c r="E123" s="3572">
        <f t="shared" ref="E123:H123" si="37">D123</f>
        <v>0.87929999999999997</v>
      </c>
      <c r="F123" s="3572">
        <f t="shared" si="37"/>
        <v>0.87929999999999997</v>
      </c>
      <c r="G123" s="3572">
        <f t="shared" si="37"/>
        <v>0.87929999999999997</v>
      </c>
      <c r="H123" s="3572">
        <f t="shared" si="37"/>
        <v>0.87929999999999997</v>
      </c>
      <c r="I123" s="3572">
        <f>ROUND(0.7632-0.0166*B117,4)</f>
        <v>0.74329999999999996</v>
      </c>
      <c r="J123" s="3572">
        <f t="shared" si="35"/>
        <v>0.74329999999999996</v>
      </c>
      <c r="K123" s="3572">
        <f t="shared" si="35"/>
        <v>0.74329999999999996</v>
      </c>
      <c r="L123" s="3572">
        <f t="shared" si="35"/>
        <v>0.74329999999999996</v>
      </c>
      <c r="M123" s="3633">
        <f t="shared" si="35"/>
        <v>0.74329999999999996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75" priority="7" stopIfTrue="1" operator="notEqual">
      <formula>"——"</formula>
    </cfRule>
  </conditionalFormatting>
  <conditionalFormatting sqref="F61">
    <cfRule type="cellIs" dxfId="174" priority="6" stopIfTrue="1" operator="notEqual">
      <formula>"——"</formula>
    </cfRule>
  </conditionalFormatting>
  <conditionalFormatting sqref="F72">
    <cfRule type="cellIs" dxfId="173" priority="5" stopIfTrue="1" operator="notEqual">
      <formula>"——"</formula>
    </cfRule>
  </conditionalFormatting>
  <conditionalFormatting sqref="F83">
    <cfRule type="cellIs" dxfId="172" priority="4" stopIfTrue="1" operator="notEqual">
      <formula>"——"</formula>
    </cfRule>
  </conditionalFormatting>
  <conditionalFormatting sqref="H50:H58 H72:H80 H83:H91 H93:H102 H61:H69">
    <cfRule type="cellIs" dxfId="17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tabSelected="1" workbookViewId="0">
      <selection activeCell="B4" sqref="B4"/>
    </sheetView>
  </sheetViews>
  <sheetFormatPr defaultRowHeight="13.5"/>
  <cols>
    <col min="2" max="2" width="10.5" bestFit="1" customWidth="1"/>
  </cols>
  <sheetData>
    <row r="1" spans="1:4">
      <c r="A1" s="2987" t="s">
        <v>3257</v>
      </c>
    </row>
    <row r="2" spans="1:4">
      <c r="A2" s="2987" t="s">
        <v>3258</v>
      </c>
      <c r="B2" s="2987" t="s">
        <v>3259</v>
      </c>
    </row>
    <row r="3" spans="1:4">
      <c r="A3" s="2987" t="s">
        <v>3260</v>
      </c>
      <c r="B3">
        <v>17315.577000000001</v>
      </c>
    </row>
    <row r="4" spans="1:4">
      <c r="A4" s="2987" t="s">
        <v>3261</v>
      </c>
      <c r="B4" s="2987" t="s">
        <v>3424</v>
      </c>
    </row>
    <row r="5" spans="1:4">
      <c r="A5" s="2987" t="s">
        <v>3262</v>
      </c>
      <c r="B5" s="2987" t="s">
        <v>3263</v>
      </c>
    </row>
    <row r="6" spans="1:4">
      <c r="A6" s="2987" t="s">
        <v>3264</v>
      </c>
      <c r="B6" s="2987" t="s">
        <v>3265</v>
      </c>
    </row>
    <row r="7" spans="1:4">
      <c r="A7" s="2987" t="s">
        <v>3266</v>
      </c>
      <c r="B7">
        <v>20</v>
      </c>
      <c r="C7" s="2987" t="s">
        <v>3269</v>
      </c>
    </row>
    <row r="8" spans="1:4">
      <c r="A8" s="2987" t="s">
        <v>3267</v>
      </c>
      <c r="B8">
        <v>685.7</v>
      </c>
      <c r="C8" s="2987" t="s">
        <v>3268</v>
      </c>
      <c r="D8" s="2987" t="s">
        <v>3271</v>
      </c>
    </row>
    <row r="9" spans="1:4">
      <c r="A9" s="2987" t="s">
        <v>3276</v>
      </c>
      <c r="B9">
        <v>330</v>
      </c>
      <c r="C9" s="2987" t="s">
        <v>3270</v>
      </c>
    </row>
    <row r="10" spans="1:4">
      <c r="A10" s="2987" t="s">
        <v>3272</v>
      </c>
      <c r="B10" s="2987" t="s">
        <v>3273</v>
      </c>
    </row>
    <row r="11" spans="1:4">
      <c r="A11" s="2987" t="s">
        <v>3274</v>
      </c>
      <c r="B11" s="2987">
        <v>20778.6924</v>
      </c>
      <c r="C11" s="2987" t="s">
        <v>3275</v>
      </c>
      <c r="D11" s="2987" t="s">
        <v>3271</v>
      </c>
    </row>
    <row r="12" spans="1:4">
      <c r="A12" s="2987" t="s">
        <v>3277</v>
      </c>
      <c r="B12" s="2987">
        <v>1.2</v>
      </c>
    </row>
    <row r="13" spans="1:4">
      <c r="A13" s="2987" t="s">
        <v>3278</v>
      </c>
      <c r="B13" s="2987">
        <v>24</v>
      </c>
    </row>
    <row r="14" spans="1:4">
      <c r="A14" s="2987" t="s">
        <v>3279</v>
      </c>
      <c r="B14" s="3666">
        <v>44804</v>
      </c>
    </row>
    <row r="15" spans="1:4">
      <c r="A15" s="2987" t="s">
        <v>3280</v>
      </c>
      <c r="B15" s="3666">
        <v>45899</v>
      </c>
    </row>
    <row r="16" spans="1:4">
      <c r="A16" s="2987" t="s">
        <v>3281</v>
      </c>
      <c r="B16" s="3666">
        <v>44414</v>
      </c>
    </row>
    <row r="18" spans="1:5">
      <c r="A18" s="2987" t="s">
        <v>3282</v>
      </c>
      <c r="B18" s="2987" t="s">
        <v>3283</v>
      </c>
      <c r="D18" s="2987" t="s">
        <v>3319</v>
      </c>
      <c r="E18">
        <v>1219302</v>
      </c>
    </row>
    <row r="19" spans="1:5">
      <c r="A19" s="2987" t="s">
        <v>3267</v>
      </c>
      <c r="B19" s="3667">
        <v>4064.34</v>
      </c>
      <c r="E19">
        <f>E18/10000</f>
        <v>121.9302</v>
      </c>
    </row>
    <row r="20" spans="1:5">
      <c r="A20" s="2987" t="s">
        <v>3281</v>
      </c>
      <c r="B20" s="3666">
        <v>44414</v>
      </c>
    </row>
    <row r="22" spans="1:5">
      <c r="A22" s="2987" t="s">
        <v>3284</v>
      </c>
    </row>
    <row r="23" spans="1:5">
      <c r="A23" s="2987" t="s">
        <v>3285</v>
      </c>
      <c r="B23" s="2987" t="s">
        <v>3286</v>
      </c>
    </row>
    <row r="24" spans="1:5">
      <c r="A24" s="2987" t="s">
        <v>3287</v>
      </c>
      <c r="B24">
        <v>2.6</v>
      </c>
      <c r="C24" s="2987" t="s">
        <v>3288</v>
      </c>
    </row>
    <row r="26" spans="1:5">
      <c r="A26" s="2987" t="s">
        <v>3318</v>
      </c>
      <c r="B26" s="3666">
        <v>44414</v>
      </c>
    </row>
    <row r="27" spans="1:5">
      <c r="B27" s="3666">
        <v>51718</v>
      </c>
    </row>
    <row r="29" spans="1:5">
      <c r="A29" s="2987" t="s">
        <v>3320</v>
      </c>
      <c r="B29">
        <v>14673.160746</v>
      </c>
      <c r="C29" s="2987" t="s">
        <v>3321</v>
      </c>
    </row>
    <row r="36" spans="4:5">
      <c r="E36" s="2987" t="s">
        <v>3324</v>
      </c>
    </row>
    <row r="37" spans="4:5">
      <c r="D37" s="2987" t="s">
        <v>3322</v>
      </c>
      <c r="E37">
        <v>6</v>
      </c>
    </row>
    <row r="38" spans="4:5">
      <c r="D38" s="2987" t="s">
        <v>3323</v>
      </c>
      <c r="E38">
        <v>4</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opLeftCell="A19" workbookViewId="0">
      <selection activeCell="L39" sqref="L39"/>
    </sheetView>
  </sheetViews>
  <sheetFormatPr defaultRowHeight="13.5"/>
  <cols>
    <col min="2" max="2" width="12.125" customWidth="1"/>
    <col min="3" max="3" width="10.25" customWidth="1"/>
  </cols>
  <sheetData>
    <row r="1" spans="1:11">
      <c r="A1" s="2987" t="s">
        <v>3289</v>
      </c>
      <c r="B1">
        <v>28950.09</v>
      </c>
    </row>
    <row r="2" spans="1:11">
      <c r="C2" s="2987" t="s">
        <v>3292</v>
      </c>
      <c r="F2" s="2987" t="s">
        <v>3298</v>
      </c>
      <c r="H2" s="2987" t="s">
        <v>3301</v>
      </c>
    </row>
    <row r="3" spans="1:11" ht="26.25" customHeight="1">
      <c r="A3" s="2987" t="s">
        <v>3290</v>
      </c>
      <c r="B3" s="3668" t="s">
        <v>3291</v>
      </c>
      <c r="C3" s="2987" t="s">
        <v>3293</v>
      </c>
      <c r="D3" s="2987" t="s">
        <v>3295</v>
      </c>
      <c r="E3" s="2987" t="s">
        <v>3297</v>
      </c>
      <c r="F3" s="2987" t="s">
        <v>3299</v>
      </c>
      <c r="G3" s="2987" t="s">
        <v>3300</v>
      </c>
    </row>
    <row r="4" spans="1:11">
      <c r="A4">
        <v>1</v>
      </c>
      <c r="B4" s="2987" t="s">
        <v>3302</v>
      </c>
      <c r="C4">
        <f>D4+E4</f>
        <v>4993.75</v>
      </c>
      <c r="D4">
        <v>4993.75</v>
      </c>
      <c r="E4">
        <v>0</v>
      </c>
      <c r="F4">
        <v>5</v>
      </c>
      <c r="G4">
        <v>0</v>
      </c>
      <c r="H4">
        <v>24</v>
      </c>
    </row>
    <row r="5" spans="1:11">
      <c r="A5">
        <v>2</v>
      </c>
      <c r="B5" s="2987" t="s">
        <v>3303</v>
      </c>
      <c r="C5">
        <f>D5+E5</f>
        <v>4933.75</v>
      </c>
      <c r="D5">
        <v>4933.75</v>
      </c>
      <c r="E5">
        <v>0</v>
      </c>
      <c r="F5">
        <v>5</v>
      </c>
      <c r="G5">
        <v>0</v>
      </c>
      <c r="H5">
        <v>24</v>
      </c>
    </row>
    <row r="6" spans="1:11">
      <c r="A6">
        <v>3</v>
      </c>
      <c r="B6" s="2987" t="s">
        <v>3304</v>
      </c>
      <c r="C6">
        <f>D6+E6</f>
        <v>10666</v>
      </c>
      <c r="D6">
        <v>10666</v>
      </c>
      <c r="E6">
        <v>0</v>
      </c>
      <c r="F6">
        <v>5</v>
      </c>
      <c r="G6">
        <v>0</v>
      </c>
      <c r="H6">
        <v>24</v>
      </c>
      <c r="J6" s="2987" t="s">
        <v>3306</v>
      </c>
      <c r="K6" s="2987">
        <v>135</v>
      </c>
    </row>
    <row r="7" spans="1:11">
      <c r="A7">
        <v>4</v>
      </c>
      <c r="B7" s="2987" t="s">
        <v>3305</v>
      </c>
      <c r="C7">
        <f>D7+E7</f>
        <v>8306.4</v>
      </c>
      <c r="D7">
        <v>135</v>
      </c>
      <c r="E7">
        <v>8171.4</v>
      </c>
      <c r="F7">
        <v>1</v>
      </c>
      <c r="G7">
        <v>-1</v>
      </c>
      <c r="H7">
        <v>4.2</v>
      </c>
      <c r="J7" s="2987" t="s">
        <v>3307</v>
      </c>
      <c r="K7" s="2987">
        <v>1857.96</v>
      </c>
    </row>
    <row r="8" spans="1:11">
      <c r="A8">
        <v>5</v>
      </c>
      <c r="B8" s="2987" t="s">
        <v>3309</v>
      </c>
      <c r="C8">
        <f>D8+E8</f>
        <v>50.19</v>
      </c>
      <c r="D8">
        <v>50.19</v>
      </c>
      <c r="E8">
        <v>0</v>
      </c>
      <c r="F8">
        <v>1</v>
      </c>
      <c r="G8">
        <v>0</v>
      </c>
      <c r="H8">
        <v>4.2</v>
      </c>
      <c r="J8" s="2987" t="s">
        <v>3308</v>
      </c>
      <c r="K8">
        <v>1636.62</v>
      </c>
    </row>
    <row r="9" spans="1:11">
      <c r="K9" s="2987" t="s">
        <v>3271</v>
      </c>
    </row>
    <row r="11" spans="1:11">
      <c r="B11" s="3669"/>
      <c r="C11" s="3670" t="s">
        <v>3299</v>
      </c>
      <c r="D11" s="3670" t="s">
        <v>3300</v>
      </c>
    </row>
    <row r="12" spans="1:11">
      <c r="B12" s="3670" t="s">
        <v>3311</v>
      </c>
      <c r="C12" s="3669">
        <f>SUM(D4:D6)</f>
        <v>20593.5</v>
      </c>
      <c r="D12" s="3669">
        <v>0</v>
      </c>
      <c r="F12" s="2987" t="s">
        <v>3325</v>
      </c>
    </row>
    <row r="13" spans="1:11">
      <c r="B13" s="3670" t="s">
        <v>3313</v>
      </c>
      <c r="C13" s="3669">
        <v>0</v>
      </c>
      <c r="D13" s="3669">
        <f>E7-D14-D15</f>
        <v>4676.82</v>
      </c>
      <c r="F13">
        <v>121</v>
      </c>
    </row>
    <row r="14" spans="1:11">
      <c r="B14" s="3670" t="s">
        <v>3314</v>
      </c>
      <c r="C14" s="3669">
        <f>D7</f>
        <v>135</v>
      </c>
      <c r="D14" s="3669">
        <f>K8</f>
        <v>1636.62</v>
      </c>
    </row>
    <row r="15" spans="1:11">
      <c r="B15" s="3670" t="s">
        <v>3315</v>
      </c>
      <c r="C15" s="3669">
        <f>D8</f>
        <v>50.19</v>
      </c>
      <c r="D15" s="3669">
        <f>K7</f>
        <v>1857.96</v>
      </c>
    </row>
    <row r="16" spans="1:11">
      <c r="B16" s="3671" t="s">
        <v>3316</v>
      </c>
      <c r="C16" s="3671">
        <f>SUM(C12:C15)</f>
        <v>20778.689999999999</v>
      </c>
      <c r="D16" s="3671">
        <f>SUM(D12:D15)</f>
        <v>8171.4</v>
      </c>
    </row>
    <row r="17" spans="2:4">
      <c r="B17" s="3671" t="s">
        <v>3317</v>
      </c>
      <c r="C17" s="3671">
        <f>C16+D16</f>
        <v>28950.089999999997</v>
      </c>
      <c r="D17" s="3671"/>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H16" sqref="H16"/>
    </sheetView>
  </sheetViews>
  <sheetFormatPr defaultRowHeight="13.5"/>
  <cols>
    <col min="1" max="1" width="41.25" customWidth="1"/>
    <col min="11" max="11" width="16.625" customWidth="1"/>
    <col min="12" max="17" width="10.5" customWidth="1"/>
  </cols>
  <sheetData>
    <row r="1" spans="1:19" s="3679" customFormat="1">
      <c r="A1" s="3679" t="s">
        <v>3365</v>
      </c>
      <c r="B1" s="3679" t="s">
        <v>3366</v>
      </c>
      <c r="C1" s="3679" t="s">
        <v>3367</v>
      </c>
      <c r="D1" s="3679" t="s">
        <v>3368</v>
      </c>
      <c r="E1" s="3679" t="s">
        <v>3369</v>
      </c>
      <c r="F1" s="3679" t="s">
        <v>3370</v>
      </c>
      <c r="G1" s="3679" t="s">
        <v>1548</v>
      </c>
      <c r="H1" s="3679" t="s">
        <v>3371</v>
      </c>
      <c r="I1" s="3679" t="s">
        <v>3372</v>
      </c>
      <c r="J1" s="3679" t="s">
        <v>3373</v>
      </c>
      <c r="K1" s="3679" t="s">
        <v>3374</v>
      </c>
      <c r="L1" s="3679" t="s">
        <v>3375</v>
      </c>
      <c r="M1" s="3679" t="s">
        <v>3376</v>
      </c>
      <c r="N1" s="3679" t="s">
        <v>3377</v>
      </c>
      <c r="O1" s="3679" t="s">
        <v>3378</v>
      </c>
      <c r="P1" s="3679" t="s">
        <v>3379</v>
      </c>
      <c r="Q1" s="3679" t="s">
        <v>3380</v>
      </c>
      <c r="S1" s="3996" t="s">
        <v>3418</v>
      </c>
    </row>
    <row r="2" spans="1:19" s="3679" customFormat="1">
      <c r="A2" s="3679" t="s">
        <v>3389</v>
      </c>
      <c r="B2" s="3679" t="s">
        <v>3390</v>
      </c>
      <c r="C2" s="3679" t="s">
        <v>3391</v>
      </c>
      <c r="D2" s="3679" t="s">
        <v>3392</v>
      </c>
      <c r="E2" s="3679" t="s">
        <v>3393</v>
      </c>
      <c r="F2" s="3679" t="s">
        <v>2502</v>
      </c>
      <c r="G2" s="3679">
        <v>1.2</v>
      </c>
      <c r="H2" s="3679" t="s">
        <v>3394</v>
      </c>
      <c r="I2" s="3679">
        <v>75565</v>
      </c>
      <c r="J2" s="3679">
        <v>62970.8</v>
      </c>
      <c r="K2" s="3680">
        <v>44937.000497685185</v>
      </c>
      <c r="L2" s="3679">
        <v>11607.61</v>
      </c>
      <c r="M2" s="3679">
        <v>1536</v>
      </c>
      <c r="N2" s="3679">
        <v>122.89</v>
      </c>
      <c r="O2" s="3679">
        <v>0</v>
      </c>
      <c r="P2" s="3679" t="s">
        <v>3395</v>
      </c>
      <c r="Q2" s="3679">
        <v>2267</v>
      </c>
      <c r="S2" s="3679">
        <f>ROUND(L2*10000/J2,0)</f>
        <v>1843</v>
      </c>
    </row>
    <row r="3" spans="1:19" s="3679" customFormat="1">
      <c r="A3" s="3679" t="s">
        <v>3396</v>
      </c>
      <c r="B3" s="3679" t="s">
        <v>3397</v>
      </c>
      <c r="C3" s="3679" t="s">
        <v>3398</v>
      </c>
      <c r="D3" s="3679" t="s">
        <v>3399</v>
      </c>
      <c r="E3" s="3679" t="s">
        <v>3400</v>
      </c>
      <c r="F3" s="3679" t="s">
        <v>2502</v>
      </c>
      <c r="G3" s="3679">
        <v>1.8</v>
      </c>
      <c r="H3" s="3679" t="s">
        <v>3386</v>
      </c>
      <c r="I3" s="3679">
        <v>82709.95</v>
      </c>
      <c r="J3" s="3679">
        <v>45949.97</v>
      </c>
      <c r="K3" s="3680">
        <v>44481.000497685185</v>
      </c>
      <c r="L3" s="3679">
        <v>11198.93</v>
      </c>
      <c r="M3" s="3679">
        <v>1354</v>
      </c>
      <c r="N3" s="3679">
        <v>162.47999999999999</v>
      </c>
      <c r="O3" s="3679">
        <v>0</v>
      </c>
      <c r="P3" s="3679" t="s">
        <v>3401</v>
      </c>
      <c r="Q3" s="3679">
        <v>2300</v>
      </c>
      <c r="S3" s="3679">
        <f>ROUND(L3*10000/J3,0)</f>
        <v>2437</v>
      </c>
    </row>
    <row r="4" spans="1:19" s="3679" customFormat="1">
      <c r="A4" s="3679" t="s">
        <v>3409</v>
      </c>
      <c r="B4" s="3679" t="s">
        <v>3410</v>
      </c>
      <c r="C4" s="3679" t="s">
        <v>3398</v>
      </c>
      <c r="D4" s="3679" t="s">
        <v>3404</v>
      </c>
      <c r="E4" s="3679" t="s">
        <v>3405</v>
      </c>
      <c r="F4" s="3679" t="s">
        <v>2502</v>
      </c>
      <c r="G4" s="3679">
        <v>1.2</v>
      </c>
      <c r="H4" s="3679" t="s">
        <v>3394</v>
      </c>
      <c r="I4" s="3679">
        <v>24391.47</v>
      </c>
      <c r="J4" s="3679">
        <v>20326.22</v>
      </c>
      <c r="K4" s="3680">
        <v>44376.000497685185</v>
      </c>
      <c r="L4" s="3679">
        <v>4768.32</v>
      </c>
      <c r="M4" s="3679">
        <v>1955</v>
      </c>
      <c r="N4" s="3679">
        <v>156.38999999999999</v>
      </c>
      <c r="O4" s="3679">
        <v>0</v>
      </c>
      <c r="P4" s="3679" t="s">
        <v>3411</v>
      </c>
      <c r="Q4" s="3679">
        <v>1000</v>
      </c>
      <c r="S4" s="3679">
        <f>ROUND(L4*10000/J4,0)</f>
        <v>2346</v>
      </c>
    </row>
    <row r="5" spans="1:19" s="3679" customFormat="1">
      <c r="K5" s="3680"/>
    </row>
    <row r="7" spans="1:19" s="3679" customFormat="1">
      <c r="A7" s="3679" t="s">
        <v>3365</v>
      </c>
      <c r="B7" s="3679" t="s">
        <v>3366</v>
      </c>
      <c r="C7" s="3679" t="s">
        <v>3367</v>
      </c>
      <c r="D7" s="3679" t="s">
        <v>3368</v>
      </c>
      <c r="E7" s="3679" t="s">
        <v>3369</v>
      </c>
      <c r="F7" s="3679" t="s">
        <v>3370</v>
      </c>
      <c r="G7" s="3679" t="s">
        <v>1548</v>
      </c>
      <c r="H7" s="3679" t="s">
        <v>3371</v>
      </c>
      <c r="I7" s="3679" t="s">
        <v>3372</v>
      </c>
      <c r="J7" s="3679" t="s">
        <v>3373</v>
      </c>
      <c r="K7" s="3679" t="s">
        <v>3374</v>
      </c>
      <c r="L7" s="3679" t="s">
        <v>3375</v>
      </c>
      <c r="M7" s="3679" t="s">
        <v>3376</v>
      </c>
      <c r="N7" s="3679" t="s">
        <v>3377</v>
      </c>
      <c r="O7" s="3679" t="s">
        <v>3378</v>
      </c>
      <c r="P7" s="3679" t="s">
        <v>3379</v>
      </c>
      <c r="Q7" s="3679" t="s">
        <v>3380</v>
      </c>
    </row>
    <row r="8" spans="1:19" s="3679" customFormat="1">
      <c r="A8" s="3679" t="s">
        <v>3381</v>
      </c>
      <c r="B8" s="3679" t="s">
        <v>3382</v>
      </c>
      <c r="C8" s="3679" t="s">
        <v>3383</v>
      </c>
      <c r="D8" s="3679" t="s">
        <v>3384</v>
      </c>
      <c r="E8" s="3679" t="s">
        <v>3385</v>
      </c>
      <c r="F8" s="3679" t="s">
        <v>2502</v>
      </c>
      <c r="G8" s="3679">
        <v>2.35</v>
      </c>
      <c r="H8" s="3679" t="s">
        <v>3386</v>
      </c>
      <c r="I8" s="3679">
        <v>36000</v>
      </c>
      <c r="J8" s="3679">
        <v>15343</v>
      </c>
      <c r="K8" s="3680">
        <v>44955.000497685185</v>
      </c>
      <c r="L8" s="3679">
        <v>11401.2</v>
      </c>
      <c r="M8" s="3679">
        <v>3167</v>
      </c>
      <c r="N8" s="3679">
        <v>495.39</v>
      </c>
      <c r="O8" s="3679">
        <v>0</v>
      </c>
      <c r="P8" s="3679" t="s">
        <v>3387</v>
      </c>
      <c r="Q8" s="3679">
        <v>2290</v>
      </c>
      <c r="S8" s="3679">
        <f>ROUND(L8*10000/J8,0)</f>
        <v>7431</v>
      </c>
    </row>
    <row r="9" spans="1:19" s="3679" customFormat="1">
      <c r="A9" s="3679" t="s">
        <v>3389</v>
      </c>
      <c r="B9" s="3679" t="s">
        <v>3390</v>
      </c>
      <c r="C9" s="3679" t="s">
        <v>3391</v>
      </c>
      <c r="D9" s="3679" t="s">
        <v>3392</v>
      </c>
      <c r="E9" s="3679" t="s">
        <v>3393</v>
      </c>
      <c r="F9" s="3679" t="s">
        <v>2502</v>
      </c>
      <c r="G9" s="3679">
        <v>1.2</v>
      </c>
      <c r="H9" s="3679" t="s">
        <v>3394</v>
      </c>
      <c r="I9" s="3679">
        <v>75565</v>
      </c>
      <c r="J9" s="3679">
        <v>62970.8</v>
      </c>
      <c r="K9" s="3680">
        <v>44937.000497685185</v>
      </c>
      <c r="L9" s="3679">
        <v>11607.61</v>
      </c>
      <c r="M9" s="3679">
        <v>1536</v>
      </c>
      <c r="N9" s="3679">
        <v>122.89</v>
      </c>
      <c r="O9" s="3679">
        <v>0</v>
      </c>
      <c r="P9" s="3679" t="s">
        <v>3395</v>
      </c>
      <c r="Q9" s="3679">
        <v>2267</v>
      </c>
      <c r="S9" s="3679">
        <f>ROUND(L9*10000/J9,0)</f>
        <v>1843</v>
      </c>
    </row>
    <row r="10" spans="1:19" s="3679" customFormat="1">
      <c r="A10" s="3679" t="s">
        <v>3396</v>
      </c>
      <c r="B10" s="3679" t="s">
        <v>3397</v>
      </c>
      <c r="C10" s="3679" t="s">
        <v>3398</v>
      </c>
      <c r="D10" s="3679" t="s">
        <v>3399</v>
      </c>
      <c r="E10" s="3679" t="s">
        <v>3400</v>
      </c>
      <c r="F10" s="3679" t="s">
        <v>2502</v>
      </c>
      <c r="G10" s="3679">
        <v>1.8</v>
      </c>
      <c r="H10" s="3679" t="s">
        <v>3386</v>
      </c>
      <c r="I10" s="3679">
        <v>82709.95</v>
      </c>
      <c r="J10" s="3679">
        <v>45949.97</v>
      </c>
      <c r="K10" s="3680">
        <v>44481.000497685185</v>
      </c>
      <c r="L10" s="3679">
        <v>11198.93</v>
      </c>
      <c r="M10" s="3679">
        <v>1354</v>
      </c>
      <c r="N10" s="3679">
        <v>162.47999999999999</v>
      </c>
      <c r="O10" s="3679">
        <v>0</v>
      </c>
      <c r="P10" s="3679" t="s">
        <v>3401</v>
      </c>
      <c r="Q10" s="3679">
        <v>2300</v>
      </c>
      <c r="S10" s="3679">
        <f>ROUND(L10*10000/J10,0)</f>
        <v>2437</v>
      </c>
    </row>
    <row r="11" spans="1:19" s="3679" customFormat="1" ht="12.75" customHeight="1">
      <c r="A11" s="3679" t="s">
        <v>3402</v>
      </c>
      <c r="B11" s="3679" t="s">
        <v>3403</v>
      </c>
      <c r="C11" s="3679" t="s">
        <v>3398</v>
      </c>
      <c r="D11" s="3679" t="s">
        <v>3404</v>
      </c>
      <c r="E11" s="3679" t="s">
        <v>3405</v>
      </c>
      <c r="F11" s="3679" t="s">
        <v>2502</v>
      </c>
      <c r="G11" s="3679">
        <v>1.2</v>
      </c>
      <c r="H11" s="3679" t="s">
        <v>3394</v>
      </c>
      <c r="I11" s="3679">
        <v>20778.689999999999</v>
      </c>
      <c r="J11" s="3679">
        <v>17315.580000000002</v>
      </c>
      <c r="K11" s="3680">
        <v>44386.000497685185</v>
      </c>
      <c r="L11" s="3679">
        <v>4064.34</v>
      </c>
      <c r="M11" s="3679">
        <v>1956</v>
      </c>
      <c r="N11" s="3679">
        <v>156.47999999999999</v>
      </c>
      <c r="O11" s="3679">
        <v>0</v>
      </c>
      <c r="P11" s="3679" t="s">
        <v>3406</v>
      </c>
      <c r="Q11" s="3679">
        <v>850</v>
      </c>
      <c r="S11" s="3679">
        <f>ROUND(L11*10000/J11,0)</f>
        <v>2347</v>
      </c>
    </row>
    <row r="12" spans="1:19" s="3679" customFormat="1">
      <c r="A12" s="3679" t="s">
        <v>3407</v>
      </c>
      <c r="B12" s="3679" t="s">
        <v>3408</v>
      </c>
      <c r="C12" s="3679" t="s">
        <v>3398</v>
      </c>
      <c r="D12" s="3679" t="s">
        <v>3404</v>
      </c>
      <c r="E12" s="3679" t="s">
        <v>3405</v>
      </c>
      <c r="F12" s="3679" t="s">
        <v>2502</v>
      </c>
      <c r="G12" s="3679">
        <v>2</v>
      </c>
      <c r="H12" s="3679" t="s">
        <v>3394</v>
      </c>
      <c r="I12" s="3679">
        <v>21354.5</v>
      </c>
      <c r="J12" s="3679">
        <v>10677.25</v>
      </c>
      <c r="K12" s="3680">
        <v>44386.000497685185</v>
      </c>
      <c r="L12" s="3679">
        <v>4133.82</v>
      </c>
      <c r="M12" s="3679">
        <v>1936</v>
      </c>
      <c r="N12" s="3679">
        <v>258.11</v>
      </c>
      <c r="O12" s="3679">
        <v>0</v>
      </c>
      <c r="P12" s="3679" t="s">
        <v>3406</v>
      </c>
      <c r="Q12" s="3679">
        <v>850</v>
      </c>
      <c r="S12" s="3679">
        <f>ROUND(L12*10000/J12,0)</f>
        <v>3872</v>
      </c>
    </row>
    <row r="13" spans="1:19" s="3679" customFormat="1">
      <c r="A13" s="3679" t="s">
        <v>3409</v>
      </c>
      <c r="B13" s="3679" t="s">
        <v>3410</v>
      </c>
      <c r="C13" s="3679" t="s">
        <v>3398</v>
      </c>
      <c r="D13" s="3679" t="s">
        <v>3404</v>
      </c>
      <c r="E13" s="3679" t="s">
        <v>3405</v>
      </c>
      <c r="F13" s="3679" t="s">
        <v>2502</v>
      </c>
      <c r="G13" s="3679">
        <v>1.2</v>
      </c>
      <c r="H13" s="3679" t="s">
        <v>3394</v>
      </c>
      <c r="I13" s="3679">
        <v>24391.47</v>
      </c>
      <c r="J13" s="3679">
        <v>20326.22</v>
      </c>
      <c r="K13" s="3680">
        <v>44376.000497685185</v>
      </c>
      <c r="L13" s="3679">
        <v>4768.32</v>
      </c>
      <c r="M13" s="3679">
        <v>1955</v>
      </c>
      <c r="N13" s="3679">
        <v>156.38999999999999</v>
      </c>
      <c r="O13" s="3679">
        <v>0</v>
      </c>
      <c r="P13" s="3679" t="s">
        <v>3411</v>
      </c>
      <c r="Q13" s="3679">
        <v>1000</v>
      </c>
      <c r="S13" s="3679">
        <f>ROUND(L13*10000/J13,0)</f>
        <v>2346</v>
      </c>
    </row>
    <row r="14" spans="1:19" s="3679" customFormat="1">
      <c r="A14" s="3679" t="s">
        <v>3412</v>
      </c>
      <c r="B14" s="3679" t="s">
        <v>3413</v>
      </c>
      <c r="C14" s="3679" t="s">
        <v>3391</v>
      </c>
      <c r="D14" s="3679" t="s">
        <v>3388</v>
      </c>
      <c r="E14" s="3679" t="s">
        <v>3414</v>
      </c>
      <c r="F14" s="3679" t="s">
        <v>2502</v>
      </c>
      <c r="G14" s="3679">
        <v>1.6</v>
      </c>
      <c r="H14" s="3679" t="s">
        <v>3415</v>
      </c>
      <c r="I14" s="3679">
        <v>102276</v>
      </c>
      <c r="J14" s="3679">
        <v>63922.57</v>
      </c>
      <c r="K14" s="3680">
        <v>44189.000497685185</v>
      </c>
      <c r="L14" s="3679">
        <v>13766.35</v>
      </c>
      <c r="M14" s="3679">
        <v>1346</v>
      </c>
      <c r="N14" s="3679">
        <v>143.57</v>
      </c>
      <c r="O14" s="3679">
        <v>0</v>
      </c>
      <c r="P14" s="3679" t="s">
        <v>3416</v>
      </c>
      <c r="Q14" s="3679">
        <v>2755</v>
      </c>
      <c r="S14" s="3679">
        <f>ROUND(L14*10000/J14,0)</f>
        <v>2154</v>
      </c>
    </row>
  </sheetData>
  <phoneticPr fontId="22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1554</v>
      </c>
      <c r="B1" s="3687"/>
      <c r="C1" s="3687"/>
      <c r="D1" s="3687"/>
      <c r="E1" s="3687"/>
      <c r="F1" s="3687"/>
      <c r="G1" s="3687"/>
      <c r="H1" s="3687"/>
      <c r="I1" s="3687"/>
      <c r="J1" s="3687"/>
      <c r="K1" s="3687"/>
      <c r="L1" s="3687"/>
      <c r="M1" s="3687"/>
      <c r="N1" s="3687"/>
      <c r="O1" s="3687"/>
      <c r="P1" s="3687"/>
      <c r="Q1" s="3687"/>
      <c r="R1" s="3687"/>
    </row>
    <row r="2" spans="1:18">
      <c r="A2" s="1594" t="s">
        <v>1556</v>
      </c>
      <c r="B2" s="1594"/>
      <c r="C2" s="1594"/>
      <c r="D2" s="1594"/>
      <c r="E2" s="1594"/>
      <c r="F2" s="1594"/>
      <c r="G2" s="1594"/>
      <c r="H2" s="1594"/>
      <c r="I2" s="1595"/>
      <c r="J2" s="1595"/>
      <c r="K2" s="1596" t="str">
        <f>"估价期日："&amp;TEXT(项目基本情况!D3,"yyyy年m月d日;;")</f>
        <v>估价期日：2023年4月24日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88" t="s">
        <v>1545</v>
      </c>
      <c r="B3" s="3688" t="s">
        <v>2011</v>
      </c>
      <c r="C3" s="3689" t="s">
        <v>1546</v>
      </c>
      <c r="D3" s="3688" t="s">
        <v>2015</v>
      </c>
      <c r="E3" s="3683" t="s">
        <v>1547</v>
      </c>
      <c r="F3" s="3683"/>
      <c r="G3" s="3683"/>
      <c r="H3" s="3683" t="s">
        <v>1548</v>
      </c>
      <c r="I3" s="3683"/>
      <c r="J3" s="3683"/>
      <c r="K3" s="3689" t="s">
        <v>1549</v>
      </c>
      <c r="L3" s="3689" t="s">
        <v>1550</v>
      </c>
      <c r="M3" s="3688" t="s">
        <v>2012</v>
      </c>
      <c r="N3" s="3690" t="str">
        <f>"（分摊）"&amp;项目基本情况!A17&amp;"国有建设用地使用权面积/㎡"</f>
        <v>（分摊）出让国有建设用地使用权面积/㎡</v>
      </c>
      <c r="O3" s="3688" t="s">
        <v>1579</v>
      </c>
      <c r="P3" s="3689" t="s">
        <v>1559</v>
      </c>
      <c r="Q3" s="3689" t="s">
        <v>1580</v>
      </c>
      <c r="R3" s="3689" t="s">
        <v>1551</v>
      </c>
    </row>
    <row r="4" spans="1:18" ht="36.75" customHeight="1">
      <c r="A4" s="3688"/>
      <c r="B4" s="3688"/>
      <c r="C4" s="3689"/>
      <c r="D4" s="3688"/>
      <c r="E4" s="2253" t="s">
        <v>1558</v>
      </c>
      <c r="F4" s="2253" t="s">
        <v>2024</v>
      </c>
      <c r="G4" s="2253" t="s">
        <v>1552</v>
      </c>
      <c r="H4" s="2253" t="s">
        <v>1553</v>
      </c>
      <c r="I4" s="2253" t="s">
        <v>2025</v>
      </c>
      <c r="J4" s="2253" t="s">
        <v>1552</v>
      </c>
      <c r="K4" s="3689"/>
      <c r="L4" s="3689"/>
      <c r="M4" s="3688"/>
      <c r="N4" s="3690"/>
      <c r="O4" s="3688"/>
      <c r="P4" s="3689"/>
      <c r="Q4" s="3689"/>
      <c r="R4" s="3689"/>
    </row>
    <row r="5" spans="1:18" ht="135" customHeight="1">
      <c r="A5" s="1698" t="s">
        <v>1935</v>
      </c>
      <c r="B5" s="2346" t="s">
        <v>1933</v>
      </c>
      <c r="C5" s="2252">
        <v>22</v>
      </c>
      <c r="D5" s="2251" t="s">
        <v>1934</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红线外七通、宗地红线内场地平整</v>
      </c>
      <c r="M5" s="1597">
        <f>IF(项目基本情况!A17="出让",项目基本情况!D20,"——")</f>
        <v>0</v>
      </c>
      <c r="N5" s="1597">
        <f>项目基本情况!C22</f>
        <v>17315.580000000002</v>
      </c>
      <c r="O5" s="1597">
        <f>项目基本情况!C21</f>
        <v>27041.94</v>
      </c>
      <c r="P5" s="1597">
        <f ca="1">结果表!E42</f>
        <v>2052</v>
      </c>
      <c r="Q5" s="1597">
        <f ca="1">结果表!D42</f>
        <v>1314</v>
      </c>
      <c r="R5" s="1598">
        <f ca="1">结果表!C42</f>
        <v>3554</v>
      </c>
    </row>
    <row r="6" spans="1:18">
      <c r="A6" s="3684" t="str">
        <f>IF(项目基本情况!B9="市场价格","——","抵押价格")</f>
        <v>抵押价格</v>
      </c>
      <c r="B6" s="3685"/>
      <c r="C6" s="3685"/>
      <c r="D6" s="3685"/>
      <c r="E6" s="3685"/>
      <c r="F6" s="3685"/>
      <c r="G6" s="3685"/>
      <c r="H6" s="3685"/>
      <c r="I6" s="3685"/>
      <c r="J6" s="3685"/>
      <c r="K6" s="3685"/>
      <c r="L6" s="3685"/>
      <c r="M6" s="3685"/>
      <c r="N6" s="3685"/>
      <c r="O6" s="3685"/>
      <c r="P6" s="3685"/>
      <c r="Q6" s="3686"/>
      <c r="R6" s="1599">
        <f ca="1">结果表!O39</f>
        <v>3554</v>
      </c>
    </row>
    <row r="7" spans="1:18">
      <c r="A7" s="3684" t="str">
        <f>IF(项目基本情况!B9="市场价格","——",IF(项目基本情况!E8="已注销及未注销","抵押担保权已注销时的抵押价格","——"))</f>
        <v>——</v>
      </c>
      <c r="B7" s="3685"/>
      <c r="C7" s="3685"/>
      <c r="D7" s="3685"/>
      <c r="E7" s="3685"/>
      <c r="F7" s="3685"/>
      <c r="G7" s="3685"/>
      <c r="H7" s="3685"/>
      <c r="I7" s="3685"/>
      <c r="J7" s="3685"/>
      <c r="K7" s="3685"/>
      <c r="L7" s="3685"/>
      <c r="M7" s="3685"/>
      <c r="N7" s="3685"/>
      <c r="O7" s="3685"/>
      <c r="P7" s="3685"/>
      <c r="Q7" s="3686"/>
      <c r="R7" s="1599" t="str">
        <f>结果表!O40</f>
        <v>——</v>
      </c>
    </row>
    <row r="8" spans="1:18">
      <c r="A8" s="3684" t="str">
        <f>IF(项目基本情况!B9="市场价格","——",项目基本情况!E9)</f>
        <v>——</v>
      </c>
      <c r="B8" s="3685"/>
      <c r="C8" s="3685"/>
      <c r="D8" s="3685"/>
      <c r="E8" s="3685"/>
      <c r="F8" s="3685"/>
      <c r="G8" s="3685"/>
      <c r="H8" s="3685"/>
      <c r="I8" s="3685"/>
      <c r="J8" s="3685"/>
      <c r="K8" s="3685"/>
      <c r="L8" s="3685"/>
      <c r="M8" s="3685"/>
      <c r="N8" s="3685"/>
      <c r="O8" s="3685"/>
      <c r="P8" s="3685"/>
      <c r="Q8" s="3686"/>
      <c r="R8" s="1599" t="str">
        <f>结果表!O41</f>
        <v>——</v>
      </c>
    </row>
    <row r="9" spans="1:18">
      <c r="A9" s="1600" t="s">
        <v>1557</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1544</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2" t="s">
        <v>1581</v>
      </c>
      <c r="B1" s="3692"/>
      <c r="C1" s="3692"/>
      <c r="D1" s="3692"/>
    </row>
    <row r="2" spans="1:4" ht="47.25" customHeight="1">
      <c r="A2" s="3693" t="str">
        <f>"1.权利限制："&amp;项目基本情况!L24&amp;"未设定租赁等其他他项权利。"</f>
        <v>1.权利限制：根据估价对象《不动产权证书》复印件、，截至估价期日，估价对象抵押权未见登记。未设定租赁等其他他项权利。</v>
      </c>
      <c r="B2" s="3693"/>
      <c r="C2" s="3693"/>
      <c r="D2" s="3693"/>
    </row>
    <row r="3" spans="1:4" ht="48" customHeight="1">
      <c r="A3" s="36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1" t="s">
        <v>1582</v>
      </c>
      <c r="B5" s="3691"/>
      <c r="C5" s="3691"/>
      <c r="D5" s="3691"/>
    </row>
    <row r="6" spans="1:4">
      <c r="A6" s="3692" t="s">
        <v>1560</v>
      </c>
      <c r="B6" s="3692"/>
      <c r="C6" s="3692"/>
      <c r="D6" s="3692"/>
    </row>
    <row r="7" spans="1:4" ht="33" customHeight="1">
      <c r="A7" s="3692" t="s">
        <v>1855</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4"/>
      <c r="C11" s="3694"/>
      <c r="D11" s="3694"/>
    </row>
    <row r="12" spans="1:4" ht="168" customHeight="1">
      <c r="A12" s="3691" t="s">
        <v>1584</v>
      </c>
      <c r="B12" s="3691"/>
      <c r="C12" s="3691"/>
      <c r="D12" s="3691"/>
    </row>
    <row r="13" spans="1:4">
      <c r="A13" s="3695" t="s">
        <v>2026</v>
      </c>
      <c r="B13" s="3695"/>
      <c r="C13" s="3695"/>
      <c r="D13" s="3695"/>
    </row>
    <row r="14" spans="1:4">
      <c r="A14" s="3694" t="str">
        <f>IF(项目基本情况!B8="抵押","综上，"&amp;结果表!K47,"——")</f>
        <v>综上，本次评估不存在估价师知悉的法定优先受偿款</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1982</v>
      </c>
      <c r="B17" s="3692"/>
      <c r="C17" s="3692"/>
      <c r="D17" s="3692"/>
    </row>
    <row r="18" spans="1:4">
      <c r="A18" s="3692" t="s">
        <v>1974</v>
      </c>
      <c r="B18" s="3692"/>
      <c r="C18" s="3692"/>
      <c r="D18" s="3692"/>
    </row>
    <row r="19" spans="1:4">
      <c r="A19" s="2347" t="s">
        <v>1975</v>
      </c>
      <c r="B19" s="2347" t="s">
        <v>1976</v>
      </c>
      <c r="C19" s="2347" t="s">
        <v>1977</v>
      </c>
      <c r="D19" s="2347" t="s">
        <v>1978</v>
      </c>
    </row>
    <row r="20" spans="1:4">
      <c r="A20" s="2347" t="str">
        <f>项目基本情况!B4</f>
        <v>崔锴</v>
      </c>
      <c r="B20" s="2347">
        <f ca="1">项目基本情况!C4</f>
        <v>2010110070</v>
      </c>
      <c r="C20" s="2349"/>
      <c r="D20" s="1587" t="s">
        <v>1983</v>
      </c>
    </row>
    <row r="21" spans="1:4">
      <c r="A21" s="2347" t="str">
        <f>项目基本情况!D4</f>
        <v>赵雯</v>
      </c>
      <c r="B21" s="2347">
        <f ca="1">项目基本情况!E4</f>
        <v>2011110090</v>
      </c>
      <c r="C21" s="2349"/>
      <c r="D21" s="1587" t="s">
        <v>1984</v>
      </c>
    </row>
    <row r="23" spans="1:4">
      <c r="A23" s="3692" t="s">
        <v>1979</v>
      </c>
      <c r="B23" s="3692"/>
      <c r="C23" s="3692"/>
      <c r="D23" s="3692"/>
    </row>
    <row r="24" spans="1:4">
      <c r="A24" s="2347" t="s">
        <v>1975</v>
      </c>
      <c r="B24" s="2347" t="s">
        <v>1980</v>
      </c>
      <c r="C24" s="2347" t="s">
        <v>1977</v>
      </c>
      <c r="D24" s="2347" t="s">
        <v>1978</v>
      </c>
    </row>
    <row r="25" spans="1:4">
      <c r="A25" s="2350" t="s">
        <v>1981</v>
      </c>
      <c r="B25" s="2347" t="s">
        <v>877</v>
      </c>
      <c r="C25" s="2349"/>
      <c r="D25" s="1587" t="s">
        <v>1984</v>
      </c>
    </row>
    <row r="29" spans="1:4">
      <c r="D29" s="2348" t="s">
        <v>1555</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3" t="s">
        <v>27</v>
      </c>
      <c r="B15" s="3704" t="s">
        <v>784</v>
      </c>
      <c r="C15" s="3700"/>
    </row>
    <row r="16" spans="1:7" ht="14.25">
      <c r="A16" s="3703"/>
      <c r="B16" s="3701" t="s">
        <v>28</v>
      </c>
      <c r="C16" s="1070" t="s">
        <v>27</v>
      </c>
    </row>
    <row r="17" spans="1:3" ht="14.25">
      <c r="A17" s="3703"/>
      <c r="B17" s="3701"/>
      <c r="C17" s="1070" t="s">
        <v>29</v>
      </c>
    </row>
    <row r="18" spans="1:3" ht="14.25">
      <c r="A18" s="3703"/>
      <c r="B18" s="3701"/>
      <c r="C18" s="1070" t="s">
        <v>30</v>
      </c>
    </row>
    <row r="19" spans="1:3" ht="14.25">
      <c r="A19" s="3703"/>
      <c r="B19" s="3699" t="s">
        <v>31</v>
      </c>
      <c r="C19" s="3700"/>
    </row>
    <row r="20" spans="1:3" ht="14.25">
      <c r="A20" s="1071" t="s">
        <v>32</v>
      </c>
      <c r="B20" s="1072"/>
      <c r="C20" s="1073"/>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74" t="s">
        <v>775</v>
      </c>
    </row>
    <row r="25" spans="1:3" ht="14.25">
      <c r="A25" s="3702"/>
      <c r="B25" s="3706"/>
      <c r="C25" s="1074" t="s">
        <v>776</v>
      </c>
    </row>
    <row r="26" spans="1:3" ht="14.25">
      <c r="A26" s="3702"/>
      <c r="B26" s="3706"/>
      <c r="C26" s="1074" t="s">
        <v>777</v>
      </c>
    </row>
    <row r="27" spans="1:3" ht="14.25">
      <c r="A27" s="3702"/>
      <c r="B27" s="3706"/>
      <c r="C27" s="1074" t="s">
        <v>778</v>
      </c>
    </row>
    <row r="28" spans="1:3" ht="14.25">
      <c r="A28" s="3702"/>
      <c r="B28" s="3706"/>
      <c r="C28" s="1074" t="s">
        <v>779</v>
      </c>
    </row>
    <row r="29" spans="1:3" ht="14.25">
      <c r="A29" s="3702"/>
      <c r="B29" s="3706"/>
      <c r="C29" s="1074" t="s">
        <v>780</v>
      </c>
    </row>
    <row r="30" spans="1:3" ht="14.25">
      <c r="A30" s="3702"/>
      <c r="B30" s="3706"/>
      <c r="C30" s="1074" t="s">
        <v>781</v>
      </c>
    </row>
    <row r="31" spans="1:3" ht="14.25">
      <c r="A31" s="3702"/>
      <c r="B31" s="3706"/>
      <c r="C31" s="1074" t="s">
        <v>782</v>
      </c>
    </row>
    <row r="32" spans="1:3" ht="14.25">
      <c r="A32" s="3702"/>
      <c r="B32" s="3706"/>
      <c r="C32" s="1074" t="s">
        <v>1181</v>
      </c>
    </row>
    <row r="33" spans="1:3" ht="14.25">
      <c r="A33" s="3702"/>
      <c r="B33" s="3696" t="s">
        <v>1187</v>
      </c>
      <c r="C33" s="1074" t="s">
        <v>1182</v>
      </c>
    </row>
    <row r="34" spans="1:3" ht="14.25">
      <c r="A34" s="3702"/>
      <c r="B34" s="3697"/>
      <c r="C34" s="1079" t="s">
        <v>1183</v>
      </c>
    </row>
    <row r="35" spans="1:3" ht="14.25">
      <c r="A35" s="3702"/>
      <c r="B35" s="3697"/>
      <c r="C35" s="1080" t="s">
        <v>1184</v>
      </c>
    </row>
    <row r="36" spans="1:3" ht="14.25">
      <c r="A36" s="3702"/>
      <c r="B36" s="3697"/>
      <c r="C36" s="1080" t="s">
        <v>1185</v>
      </c>
    </row>
    <row r="37" spans="1:3" ht="14.25">
      <c r="A37" s="3702"/>
      <c r="B37" s="369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45041</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2445</v>
      </c>
      <c r="B16" s="2771">
        <v>1120210056</v>
      </c>
      <c r="C16" s="2775">
        <v>45410</v>
      </c>
      <c r="D16" s="2783"/>
      <c r="E16" s="2772"/>
      <c r="F16" s="2772"/>
      <c r="G16" s="2767"/>
    </row>
    <row r="17" spans="1:7" s="2585" customFormat="1" ht="20.25" customHeight="1">
      <c r="A17" s="2771" t="s">
        <v>1569</v>
      </c>
      <c r="B17" s="2771" t="s">
        <v>1569</v>
      </c>
      <c r="C17" s="2775"/>
      <c r="D17" s="2784" t="s">
        <v>1569</v>
      </c>
      <c r="E17" s="2772" t="s">
        <v>1569</v>
      </c>
      <c r="F17" s="2774"/>
      <c r="G17" s="2776"/>
    </row>
    <row r="18" spans="1:7" ht="20.25" customHeight="1">
      <c r="A18" s="3710" t="s">
        <v>1448</v>
      </c>
      <c r="B18" s="3711"/>
      <c r="C18" s="3711"/>
      <c r="D18" s="3711"/>
      <c r="E18" s="3711"/>
      <c r="F18" s="3711"/>
      <c r="G18" s="2776"/>
    </row>
    <row r="19" spans="1:7" ht="20.25" customHeight="1">
      <c r="A19" s="3707" t="s">
        <v>1449</v>
      </c>
      <c r="B19" s="3707"/>
      <c r="C19" s="3708"/>
      <c r="D19" s="3709" t="s">
        <v>1450</v>
      </c>
      <c r="E19" s="3707"/>
      <c r="F19" s="3707"/>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2446</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H29" sqref="H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2758</v>
      </c>
      <c r="E1" s="4" t="s">
        <v>100</v>
      </c>
      <c r="F1" s="4" t="s">
        <v>101</v>
      </c>
      <c r="G1" s="4" t="s">
        <v>102</v>
      </c>
      <c r="H1" s="4" t="s">
        <v>103</v>
      </c>
      <c r="I1" s="4" t="s">
        <v>104</v>
      </c>
      <c r="J1" s="4" t="s">
        <v>105</v>
      </c>
      <c r="K1" s="4" t="s">
        <v>106</v>
      </c>
      <c r="L1" s="4" t="s">
        <v>107</v>
      </c>
      <c r="M1" s="4" t="s">
        <v>108</v>
      </c>
      <c r="N1" s="4" t="s">
        <v>109</v>
      </c>
      <c r="O1" s="4" t="s">
        <v>110</v>
      </c>
      <c r="P1" s="4" t="s">
        <v>111</v>
      </c>
      <c r="Q1" s="2196" t="s">
        <v>1826</v>
      </c>
      <c r="R1" s="2195"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1510</v>
      </c>
      <c r="E4" s="7" t="s">
        <v>61</v>
      </c>
      <c r="F4" s="7" t="s">
        <v>62</v>
      </c>
      <c r="G4" s="7">
        <v>50</v>
      </c>
      <c r="H4" s="7" t="s">
        <v>63</v>
      </c>
      <c r="I4" s="7" t="s">
        <v>2746</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2747</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2748</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2749</v>
      </c>
    </row>
    <row r="8" spans="1:23">
      <c r="A8" s="6" t="s">
        <v>75</v>
      </c>
      <c r="B8" s="6" t="s">
        <v>76</v>
      </c>
      <c r="C8" s="1368" t="s">
        <v>1244</v>
      </c>
      <c r="F8" s="7" t="s">
        <v>121</v>
      </c>
      <c r="H8" s="3334" t="s">
        <v>2743</v>
      </c>
      <c r="I8" s="7" t="s">
        <v>2750</v>
      </c>
    </row>
    <row r="9" spans="1:23">
      <c r="A9" s="6" t="s">
        <v>77</v>
      </c>
      <c r="B9" s="6" t="s">
        <v>122</v>
      </c>
      <c r="C9" s="1368" t="s">
        <v>1245</v>
      </c>
      <c r="F9" s="7" t="s">
        <v>78</v>
      </c>
      <c r="H9" s="7"/>
      <c r="I9" s="7" t="s">
        <v>2751</v>
      </c>
    </row>
    <row r="10" spans="1:23">
      <c r="A10" s="6" t="s">
        <v>79</v>
      </c>
      <c r="B10" s="6" t="s">
        <v>123</v>
      </c>
      <c r="C10" s="1368" t="s">
        <v>1246</v>
      </c>
      <c r="F10" s="3334" t="s">
        <v>2742</v>
      </c>
      <c r="I10" s="7" t="s">
        <v>2752</v>
      </c>
    </row>
    <row r="11" spans="1:23">
      <c r="A11" s="6" t="s">
        <v>80</v>
      </c>
      <c r="B11" s="6" t="s">
        <v>124</v>
      </c>
      <c r="C11" s="1368" t="s">
        <v>1247</v>
      </c>
      <c r="I11" s="7" t="s">
        <v>2753</v>
      </c>
    </row>
    <row r="12" spans="1:23">
      <c r="A12" s="6" t="s">
        <v>81</v>
      </c>
      <c r="B12" s="6" t="s">
        <v>125</v>
      </c>
      <c r="C12" s="1368" t="s">
        <v>1248</v>
      </c>
      <c r="I12" s="7" t="s">
        <v>2754</v>
      </c>
    </row>
    <row r="13" spans="1:23">
      <c r="A13" s="6" t="s">
        <v>82</v>
      </c>
      <c r="B13" s="6" t="s">
        <v>126</v>
      </c>
      <c r="C13" s="1368" t="s">
        <v>1249</v>
      </c>
      <c r="I13" s="7" t="s">
        <v>2755</v>
      </c>
    </row>
    <row r="14" spans="1:23">
      <c r="A14" s="6" t="s">
        <v>83</v>
      </c>
      <c r="B14" s="6" t="s">
        <v>127</v>
      </c>
      <c r="C14" s="1371" t="s">
        <v>1421</v>
      </c>
      <c r="I14" s="7" t="s">
        <v>2756</v>
      </c>
    </row>
    <row r="15" spans="1:23">
      <c r="A15" s="6" t="s">
        <v>84</v>
      </c>
      <c r="B15" s="6" t="s">
        <v>1214</v>
      </c>
      <c r="C15" s="1371"/>
      <c r="I15" s="7" t="s">
        <v>2757</v>
      </c>
    </row>
    <row r="16" spans="1:23">
      <c r="A16" s="6" t="s">
        <v>85</v>
      </c>
      <c r="B16" s="6" t="s">
        <v>1215</v>
      </c>
      <c r="C16" s="1371"/>
    </row>
    <row r="17" spans="1:3">
      <c r="A17" s="6" t="s">
        <v>86</v>
      </c>
      <c r="B17" s="6" t="s">
        <v>1216</v>
      </c>
      <c r="C17" s="1371"/>
    </row>
    <row r="18" spans="1:3">
      <c r="A18" s="6" t="s">
        <v>87</v>
      </c>
      <c r="B18" s="2546" t="s">
        <v>2211</v>
      </c>
      <c r="C18" s="1371"/>
    </row>
    <row r="19" spans="1:3">
      <c r="A19" s="6" t="s">
        <v>88</v>
      </c>
      <c r="B19" s="2546" t="s">
        <v>2218</v>
      </c>
      <c r="C19" s="1371"/>
    </row>
    <row r="20" spans="1:3">
      <c r="A20" s="6" t="s">
        <v>89</v>
      </c>
      <c r="B20" s="2546" t="s">
        <v>2258</v>
      </c>
      <c r="C20" s="1371"/>
    </row>
    <row r="21" spans="1:3">
      <c r="A21" s="6" t="s">
        <v>90</v>
      </c>
      <c r="B21" s="6" t="s">
        <v>2437</v>
      </c>
      <c r="C21" s="1371"/>
    </row>
    <row r="22" spans="1:3">
      <c r="A22" s="6" t="s">
        <v>91</v>
      </c>
      <c r="B22" s="6" t="s">
        <v>3341</v>
      </c>
      <c r="C22" s="1371"/>
    </row>
    <row r="23" spans="1:3">
      <c r="A23" s="6" t="s">
        <v>92</v>
      </c>
      <c r="B23" s="6" t="s">
        <v>3342</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1502</v>
      </c>
      <c r="B52" s="1558" t="s">
        <v>1503</v>
      </c>
      <c r="C52" s="1556" t="s">
        <v>1504</v>
      </c>
      <c r="D52" s="1556" t="s">
        <v>1505</v>
      </c>
      <c r="E52" s="1557"/>
    </row>
    <row r="53" spans="1:5">
      <c r="A53" s="3712" t="s">
        <v>1506</v>
      </c>
      <c r="B53" s="1556" t="s">
        <v>1512</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c r="D53" s="1557"/>
      <c r="E53" s="1557"/>
    </row>
    <row r="54" spans="1:5">
      <c r="A54" s="3712"/>
      <c r="B54" s="1556" t="s">
        <v>1513</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2"/>
      <c r="B55" s="1556" t="s">
        <v>1507</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2"/>
      <c r="B56" s="1556" t="s">
        <v>1508</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2"/>
      <c r="B57" s="1556" t="s">
        <v>1509</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1565</v>
      </c>
      <c r="B58" s="1556" t="s">
        <v>1566</v>
      </c>
      <c r="C58" s="9" t="s">
        <v>1567</v>
      </c>
      <c r="D58" s="1188"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不动产收益法-研发楼</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基准地价</vt:lpstr>
      <vt:lpstr>资料</vt:lpstr>
      <vt:lpstr>指标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'不动产收益法-地下车库'!Print_Area</vt:lpstr>
      <vt:lpstr>'不动产收益法-研发楼'!Print_Area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2023-04-25T05:24:41Z</dcterms:modified>
</cp:coreProperties>
</file>