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土增税估算" sheetId="77" r:id="rId39"/>
    <sheet name="基准地价修正" sheetId="43"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1">'数据-基础表'!$A$1:$J$24</definedName>
    <definedName name="_xlnm.Print_Area" localSheetId="38">土增税估算!$A$1:$H$30</definedName>
    <definedName name="八级">区片价!$O$1:$O$40</definedName>
    <definedName name="办公层高" localSheetId="38">'[1]比较法-办公'!$B$115:$M$115</definedName>
    <definedName name="办公层高">'比较法-办公'!$B$119:$M$119</definedName>
    <definedName name="办公朝向" localSheetId="38">'[1]比较法-办公'!$B$87:$M$87</definedName>
    <definedName name="办公朝向">'比较法-办公'!$B$91:$M$91</definedName>
    <definedName name="办公道路级别" localSheetId="38">'[1]比较法-办公'!$B$83:$M$83</definedName>
    <definedName name="办公道路级别">'比较法-办公'!$B$87:$M$87</definedName>
    <definedName name="办公公共部分装修" localSheetId="38">'[1]比较法-办公'!$B$104:$M$104</definedName>
    <definedName name="办公公共部分装修">'比较法-办公'!$B$108:$M$108</definedName>
    <definedName name="办公基础设施水平" localSheetId="38">'[1]比较法-办公'!$B$113:$M$113</definedName>
    <definedName name="办公基础设施水平">'比较法-办公'!$B$117:$M$117</definedName>
    <definedName name="办公集聚程度" localSheetId="38">[1]定义!$M$1:$M$6</definedName>
    <definedName name="办公集聚程度">定义!$M$1:$M$6</definedName>
    <definedName name="办公建筑结构" localSheetId="38">'[1]比较法-办公'!$B$102:$M$102</definedName>
    <definedName name="办公建筑结构">'比较法-办公'!$B$106:$M$106</definedName>
    <definedName name="办公建筑类型" localSheetId="38">'[1]比较法-办公'!$B$97:$M$97</definedName>
    <definedName name="办公建筑类型">'比较法-办公'!$B$101:$M$101</definedName>
    <definedName name="办公交易情况" localSheetId="38">'[1]比较法-办公'!$A$60:$M$60</definedName>
    <definedName name="办公交易情况">'比较法-办公'!$A$62:$M$62</definedName>
    <definedName name="办公楼层" localSheetId="38">'[1]比较法-办公'!$B$85:$M$85</definedName>
    <definedName name="办公楼层">'比较法-办公'!$B$89:$M$89</definedName>
    <definedName name="办公内部装修" localSheetId="38">'[1]比较法-办公'!$B$119:$M$119</definedName>
    <definedName name="办公内部装修">'比较法-办公'!$B$123:$M$123</definedName>
    <definedName name="办公物业管理" localSheetId="38">'[1]比较法-办公'!$B$111:$M$111</definedName>
    <definedName name="办公物业管理">'比较法-办公'!$B$115:$M$115</definedName>
    <definedName name="办公用途" localSheetId="38">'[1]比较法-办公'!$B$62:$M$62</definedName>
    <definedName name="办公用途">'比较法-办公'!$B$64:$M$64</definedName>
    <definedName name="仓储公共部分装修" localSheetId="38">'[1]比较法-仓储'!$B$73:$M$73</definedName>
    <definedName name="仓储公共部分装修">'比较法-仓储'!$B$77:$M$77</definedName>
    <definedName name="仓储交易情况" localSheetId="38">'[1]比较法-仓储'!$A$47:$M$47</definedName>
    <definedName name="仓储交易情况">'比较法-仓储'!$A$49:$M$49</definedName>
    <definedName name="仓储楼层" localSheetId="38">'[1]比较法-仓储'!$B$65:$M$65</definedName>
    <definedName name="仓储楼层">'比较法-仓储'!$B$69:$M$69</definedName>
    <definedName name="仓储物业等级" localSheetId="38">'[1]比较法-仓储'!$B$78:$M$78</definedName>
    <definedName name="仓储物业等级">'比较法-仓储'!$B$82:$M$82</definedName>
    <definedName name="仓储用途" localSheetId="38">'[1]比较法-仓储'!$B$49:$M$49</definedName>
    <definedName name="仓储用途">'比较法-仓储'!$B$51:$M$51</definedName>
    <definedName name="产业集聚程度" localSheetId="38">[1]定义!$N$1:$N$6</definedName>
    <definedName name="产业集聚程度">定义!$N$1:$N$6</definedName>
    <definedName name="车位公共部分装修" localSheetId="38">'[1]比较法-车位'!$B$79:$M$79</definedName>
    <definedName name="车位公共部分装修">'比较法-车位'!$B$83:$M$83</definedName>
    <definedName name="车位交易情况" localSheetId="38">'[1]比较法-车位'!$A$49:$M$49</definedName>
    <definedName name="车位交易情况">'比较法-车位'!$A$51:$M$51</definedName>
    <definedName name="车位类型" localSheetId="38">'[1]比较法-车位'!$B$89:$M$89</definedName>
    <definedName name="车位类型">'比较法-车位'!$B$93:$M$93</definedName>
    <definedName name="车位楼层" localSheetId="38">'[1]比较法-车位'!$B$67:$M$67</definedName>
    <definedName name="车位楼层">'比较法-车位'!$B$71:$M$71</definedName>
    <definedName name="车位配套类型" localSheetId="38">'[1]比较法-车位'!$B$75:$M$75</definedName>
    <definedName name="车位配套类型">'比较法-车位'!$B$79:$M$79</definedName>
    <definedName name="车位物业等级" localSheetId="38">'[1]比较法-车位'!$B$84:$M$84</definedName>
    <definedName name="车位物业等级">'比较法-车位'!$B$88:$M$88</definedName>
    <definedName name="车位用途" localSheetId="38">'[1]比较法-车位'!$B$51:$M$51</definedName>
    <definedName name="车位用途">'比较法-车位'!$B$53:$M$53</definedName>
    <definedName name="城镇土地纳税等级分级范围" localSheetId="38">'[1]数据-取费表'!$A$52:$A$62</definedName>
    <definedName name="城镇土地纳税等级分级范围">'数据-取费表'!$A$53:$A$63</definedName>
    <definedName name="单价内涵" localSheetId="38">[1]定义!$U$1:$U$3</definedName>
    <definedName name="单价内涵">定义!$V$1:$V$3</definedName>
    <definedName name="地类判定" localSheetId="38">[1]定义!$H$1:$H$9</definedName>
    <definedName name="地类判定">定义!$H$1:$H$9</definedName>
    <definedName name="二级">区片价!$I$1:$I$20</definedName>
    <definedName name="二级分类" localSheetId="38">[1]修正!$C$17:$C$39</definedName>
    <definedName name="二级分类">修正!$C$17:$C$39</definedName>
    <definedName name="法定最高年限" localSheetId="38">[1]定义!$G$1:$G$4</definedName>
    <definedName name="法定最高年限">定义!$G$1:$G$4</definedName>
    <definedName name="工业公共部分装修" localSheetId="38">'[1]比较法-工业'!$B$91:$M$91</definedName>
    <definedName name="工业公共部分装修">'比较法-工业'!$B$95:$M$95</definedName>
    <definedName name="工业基础设施水平" localSheetId="38">'[1]比较法-工业'!$B$98:$M$98</definedName>
    <definedName name="工业基础设施水平">'比较法-工业'!$B$102:$M$102</definedName>
    <definedName name="工业建筑结构" localSheetId="38">'[1]比较法-工业'!$B$89:$M$89</definedName>
    <definedName name="工业建筑结构">'比较法-工业'!$B$93:$M$93</definedName>
    <definedName name="工业建筑类型" localSheetId="38">'[1]比较法-工业'!$B$84:$M$84</definedName>
    <definedName name="工业建筑类型">'比较法-工业'!$B$88:$M$88</definedName>
    <definedName name="工业交易情况" localSheetId="38">'[1]比较法-工业'!$A$53:$M$53</definedName>
    <definedName name="工业交易情况">'比较法-工业'!$A$55:$M$55</definedName>
    <definedName name="工业内部装修" localSheetId="38">'[1]比较法-工业'!$B$100:$M$100</definedName>
    <definedName name="工业内部装修">'比较法-工业'!$B$104:$M$104</definedName>
    <definedName name="工业物业管理" localSheetId="38">'[1]比较法-工业'!$B$96:$M$96</definedName>
    <definedName name="工业物业管理">'比较法-工业'!$B$100:$M$100</definedName>
    <definedName name="工业用途" localSheetId="38">'[1]比较法-工业'!$B$55:$M$55</definedName>
    <definedName name="工业用途">'比较法-工业'!$B$57:$M$57</definedName>
    <definedName name="公共配套设施">定义!$Q$1:$Q$6</definedName>
    <definedName name="公用设施及基础设施水平">[1]定义!$Q$1:$Q$6</definedName>
    <definedName name="估价方法" localSheetId="38">[1]定义!$B$1:$B$50</definedName>
    <definedName name="估价方法">定义!$B$1:$B$50</definedName>
    <definedName name="环境" localSheetId="38">[1]定义!$R$1:$R$6</definedName>
    <definedName name="环境">定义!$S$1:$S$6</definedName>
    <definedName name="基础设施水平">定义!$R$1:$R$6</definedName>
    <definedName name="季度" localSheetId="38">[1]基准地价修正!$O$19:$Z$19</definedName>
    <definedName name="季度">基准地价修正!$Q$19:$AD$19</definedName>
    <definedName name="价值类型2" localSheetId="38">[1]定义!$B$54:$B$56</definedName>
    <definedName name="价值类型2">定义!$B$54:$B$56</definedName>
    <definedName name="交通便捷度" localSheetId="38">[1]定义!$O$1:$O$6</definedName>
    <definedName name="交通便捷度">定义!$O$1:$O$6</definedName>
    <definedName name="九级">区片价!$P$1:$P$46</definedName>
    <definedName name="居住社区成熟度" localSheetId="38">[1]定义!$K$1:$K$6</definedName>
    <definedName name="居住社区成熟度">定义!$K$1:$K$6</definedName>
    <definedName name="类别" localSheetId="38">[1]定义!$J$1:$J$3</definedName>
    <definedName name="类别">定义!$J$1:$J$3</definedName>
    <definedName name="临街状况" localSheetId="38">[1]定义!$S$1:$S$5</definedName>
    <definedName name="临街状况">定义!$T$1:$T$5</definedName>
    <definedName name="六级">区片价!$M$1:$M$49</definedName>
    <definedName name="内部装修维护情况" localSheetId="38">[1]定义!$T$1:$T$6</definedName>
    <definedName name="内部装修维护情况">定义!$U$1:$U$6</definedName>
    <definedName name="判定" localSheetId="38">[1]定义!$D$1:$D$4</definedName>
    <definedName name="判定">定义!$D$1:$D$4</definedName>
    <definedName name="七级">区片价!$N$1:$N$49</definedName>
    <definedName name="七通一平" localSheetId="38">[1]修正!$A$6:$A$14</definedName>
    <definedName name="七通一平">修正!$A$6:$A$14</definedName>
    <definedName name="区域土地利用方向" localSheetId="38">[1]定义!$P$1:$P$6</definedName>
    <definedName name="区域土地利用方向">定义!$P$1:$P$6</definedName>
    <definedName name="三级">区片价!$J$1:$J$21</definedName>
    <definedName name="商业层高" localSheetId="38">'[1]比较法-商业'!$B$112:$M$112</definedName>
    <definedName name="商业层高">'比较法-商业'!$B$116:$M$116</definedName>
    <definedName name="商业成新度">'比较法-商业'!$B$109:$M$109</definedName>
    <definedName name="商业繁华度" localSheetId="38">[1]定义!$L$1:$L$6</definedName>
    <definedName name="商业繁华度">定义!$L$1:$L$6</definedName>
    <definedName name="商业公共部分装修" localSheetId="38">'[1]比较法-商业'!$B$103:$M$103</definedName>
    <definedName name="商业公共部分装修">'比较法-商业'!$B$107:$M$107</definedName>
    <definedName name="商业基础设施水平" localSheetId="38">'[1]比较法-商业'!$B$108:$M$108</definedName>
    <definedName name="商业基础设施水平">'比较法-商业'!$B$112:$M$112</definedName>
    <definedName name="商业建筑结构" localSheetId="38">'[1]比较法-商业'!$B$101:$M$101</definedName>
    <definedName name="商业建筑结构">'比较法-商业'!$B$105:$M$105</definedName>
    <definedName name="商业交易情况" localSheetId="38">'[1]比较法-商业'!$A$59:$M$59</definedName>
    <definedName name="商业交易情况">'比较法-商业'!$A$61:$M$61</definedName>
    <definedName name="商业街名称" localSheetId="38">[1]修正!$C$59:$C$119</definedName>
    <definedName name="商业街名称">修正!$C$59:$C$119</definedName>
    <definedName name="商业进深比" localSheetId="38">'[1]比较法-商业'!$B$116:$M$116</definedName>
    <definedName name="商业进深比">'比较法-商业'!$B$120:$M$120</definedName>
    <definedName name="商业类型" localSheetId="38">'[1]比较法-商业'!$B$96:$M$96</definedName>
    <definedName name="商业类型">'比较法-商业'!$B$100:$M$100</definedName>
    <definedName name="商业临街状况" localSheetId="38">'[1]比较法-商业'!$B$82:$M$82</definedName>
    <definedName name="商业临街状况">'比较法-商业'!$B$86:$M$86</definedName>
    <definedName name="商业楼层" localSheetId="38">'[1]比较法-商业'!$B$88:$M$88</definedName>
    <definedName name="商业楼层">'比较法-商业'!$B$92:$M$92</definedName>
    <definedName name="商业内部装修" localSheetId="38">'[1]比较法-商业'!$B$118:$M$118</definedName>
    <definedName name="商业内部装修">'比较法-商业'!$B$122:$M$122</definedName>
    <definedName name="商业人流量" localSheetId="38">'[1]比较法-商业'!$B$86:$M$86</definedName>
    <definedName name="商业人流量">'比较法-商业'!$B$90:$M$90</definedName>
    <definedName name="商业业态" localSheetId="38">'[1]比较法-商业'!$B$110:$M$110</definedName>
    <definedName name="商业业态">'比较法-商业'!$B$114:$M$114</definedName>
    <definedName name="商业用途" localSheetId="38">'[1]比较法-商业'!$B$61:$M$61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38">'[1]比较法-仓储'!$B$85:$M$85</definedName>
    <definedName name="是否封闭">'比较法-仓储'!$B$89:$M$89</definedName>
    <definedName name="是否直接入户" localSheetId="38">'[1]比较法-车位'!$B$91:$M$91</definedName>
    <definedName name="是否直接入户">'比较法-车位'!$B$95:$M$95</definedName>
    <definedName name="四级">区片价!$K$1:$K$28</definedName>
    <definedName name="套工道路等级" localSheetId="38">'[1]土地比较法-工业'!$B$93:$M$93</definedName>
    <definedName name="套工道路等级">'土地比较法-工业'!$B$97:$M$97</definedName>
    <definedName name="套工地质条件" localSheetId="38">'[1]土地比较法-工业'!$B$110:$M$110</definedName>
    <definedName name="套工地质条件">'土地比较法-工业'!$B$114:$M$114</definedName>
    <definedName name="套工交易情况" localSheetId="38">'[1]土地比较法-住宅、综合'!$A$71:$M$71</definedName>
    <definedName name="套工交易情况">'土地比较法-住宅、综合'!$A$73:$M$73</definedName>
    <definedName name="套工土地级别" localSheetId="38">'[1]土地比较法-工业'!$B$95:$M$95</definedName>
    <definedName name="套工土地级别">'土地比较法-工业'!$B$99:$M$99</definedName>
    <definedName name="套工用途" localSheetId="38">'[1]土地比较法-工业'!$B$68:$M$68</definedName>
    <definedName name="套工用途">'土地比较法-工业'!$B$70:$M$70</definedName>
    <definedName name="套工宗地开发程度" localSheetId="38">'[1]土地比较法-工业'!$B$108:$M$108</definedName>
    <definedName name="套工宗地开发程度">'土地比较法-工业'!$B$112:$M$112</definedName>
    <definedName name="套工宗地形状" localSheetId="38">'[1]土地比较法-工业'!$B$106:$M$106</definedName>
    <definedName name="套工宗地形状">'土地比较法-工业'!$B$110:$M$110</definedName>
    <definedName name="套综道路等级" localSheetId="38">'[1]土地比较法-住宅、综合'!$B$102:$M$102</definedName>
    <definedName name="套综道路等级">'土地比较法-住宅、综合'!$B$106:$M$106</definedName>
    <definedName name="套综工程地质条件" localSheetId="38">'[1]土地比较法-住宅、综合'!$B$121:$M$121</definedName>
    <definedName name="套综工程地质条件">'土地比较法-住宅、综合'!$B$125:$M$125</definedName>
    <definedName name="套综交易情况" localSheetId="38">'[1]土地比较法-住宅、综合'!$A$71:$M$71</definedName>
    <definedName name="套综交易情况">'土地比较法-住宅、综合'!$A$73:$M$73</definedName>
    <definedName name="套综临街宽度及深度" localSheetId="38">'[1]土地比较法-住宅、综合'!$B$117:$M$117</definedName>
    <definedName name="套综临街宽度及深度">'土地比较法-住宅、综合'!$B$121:$M$121</definedName>
    <definedName name="套综土地级别" localSheetId="38">'[1]土地比较法-住宅、综合'!$B$104:$M$104</definedName>
    <definedName name="套综土地级别">'土地比较法-住宅、综合'!$B$108:$M$108</definedName>
    <definedName name="套综用途" localSheetId="38">'[1]土地比较法-住宅、综合'!$B$73:$M$73</definedName>
    <definedName name="套综用途">'土地比较法-住宅、综合'!$B$75:$M$75</definedName>
    <definedName name="套综宗地内开发程度" localSheetId="38">'[1]土地比较法-住宅、综合'!$B$119:$M$119</definedName>
    <definedName name="套综宗地内开发程度">'土地比较法-住宅、综合'!$B$123:$M$123</definedName>
    <definedName name="套综宗地形状" localSheetId="38">'[1]土地比较法-住宅、综合'!$B$115:$M$115</definedName>
    <definedName name="套综宗地形状">'土地比较法-住宅、综合'!$B$119:$M$119</definedName>
    <definedName name="土地估价师">估价师及机构信息!$D$3:$D$24</definedName>
    <definedName name="土地级别" localSheetId="38">[1]定义!$C$1:$C$14</definedName>
    <definedName name="土地级别">定义!$C$1:$C$14</definedName>
    <definedName name="土地利用方向">定义!$P$1:$P$6</definedName>
    <definedName name="土地年限区间" localSheetId="38">[1]定义!$I$1:$I$8</definedName>
    <definedName name="土地年限区间">定义!$I$1:$I$8</definedName>
    <definedName name="位置" localSheetId="38">[1]定义!$E$2:$E$4</definedName>
    <definedName name="位置">定义!$E$2:$E$4</definedName>
    <definedName name="五等判定" localSheetId="38">[1]定义!$V$1:$V$6</definedName>
    <definedName name="五等判定">定义!$W$1:$W$6</definedName>
    <definedName name="五级">区片价!$L$1:$L$35</definedName>
    <definedName name="项目类型" localSheetId="38">'[1]数据-汇总表'!$C$17:$C$31</definedName>
    <definedName name="项目类型">'数据-汇总表'!$C$17:$C$26</definedName>
    <definedName name="写字楼等级" localSheetId="38">'[1]比较法-办公'!$B$109:$M$109</definedName>
    <definedName name="写字楼等级">'比较法-办公'!$B$113:$M$113</definedName>
    <definedName name="一级">区片价!$H$1:$H$6</definedName>
    <definedName name="一修多修正项2" localSheetId="38">[1]典型户型修正!$5:$5</definedName>
    <definedName name="一修多修正项2">典型户型修正!$5:$5</definedName>
    <definedName name="一修多修正项3" localSheetId="38">[1]典型户型修正!$7:$7</definedName>
    <definedName name="一修多修正项3">典型户型修正!$7:$7</definedName>
    <definedName name="一修多修正项4" localSheetId="38">[1]典型户型修正!$9:$9</definedName>
    <definedName name="一修多修正项4">典型户型修正!$9:$9</definedName>
    <definedName name="一修多修正项5" localSheetId="38">[1]典型户型修正!$11:$11</definedName>
    <definedName name="一修多修正项5">典型户型修正!$11:$11</definedName>
    <definedName name="一修多修正项6" localSheetId="38">[1]典型户型修正!$13:$13</definedName>
    <definedName name="一修多修正项6">典型户型修正!$13:$13</definedName>
    <definedName name="一修多修正项7" localSheetId="38">[1]典型户型修正!$15:$15</definedName>
    <definedName name="一修多修正项7">典型户型修正!$15:$15</definedName>
    <definedName name="一修多修正项8" localSheetId="38">[1]典型户型修正!$17:$17</definedName>
    <definedName name="一修多修正项8">典型户型修正!$17:$17</definedName>
    <definedName name="用途明细" localSheetId="38">[1]定义!$A$1:$A$50</definedName>
    <definedName name="用途明细">定义!$A$1:$A$50</definedName>
    <definedName name="有无电梯" localSheetId="38">'[1]比较法-仓储'!$B$80:$M$80</definedName>
    <definedName name="有无电梯">'比较法-仓储'!$B$84:$M$84</definedName>
    <definedName name="主用途" localSheetId="38">[1]定义!$F$1:$F$10</definedName>
    <definedName name="主用途">定义!$F$1:$F$10</definedName>
    <definedName name="住宅朝向" localSheetId="38">'[1]比较法-住宅'!$B$84:$M$84</definedName>
    <definedName name="住宅朝向">'比较法-住宅'!$B$88:$M$88</definedName>
    <definedName name="住宅房型" localSheetId="38">'[1]比较法-住宅'!$B$114:$M$114</definedName>
    <definedName name="住宅房型">'比较法-住宅'!$B$118:$M$118</definedName>
    <definedName name="住宅公共部分装修" localSheetId="38">'[1]比较法-住宅'!$B$105:$M$105</definedName>
    <definedName name="住宅公共部分装修">'比较法-住宅'!$B$109:$M$109</definedName>
    <definedName name="住宅基础设施水平" localSheetId="38">'[1]比较法-住宅'!$B$112:$M$112</definedName>
    <definedName name="住宅基础设施水平">'比较法-住宅'!$B$116:$M$116</definedName>
    <definedName name="住宅建筑结构" localSheetId="38">'[1]比较法-住宅'!$B$101:$M$101</definedName>
    <definedName name="住宅建筑结构">'比较法-住宅'!$B$105:$M$105</definedName>
    <definedName name="住宅建筑类型" localSheetId="38">'[1]比较法-住宅'!$B$96:$M$96</definedName>
    <definedName name="住宅建筑类型">'比较法-住宅'!$B$100:$M$100</definedName>
    <definedName name="住宅建筑品质" localSheetId="38">'[1]比较法-住宅'!$B$103:$M$103</definedName>
    <definedName name="住宅建筑品质">'比较法-住宅'!$B$107:$M$107</definedName>
    <definedName name="住宅交易情况" localSheetId="38">'[1]比较法-住宅'!$A$59:$M$59</definedName>
    <definedName name="住宅交易情况">'比较法-住宅'!$A$61:$M$61</definedName>
    <definedName name="住宅楼层" localSheetId="38">'[1]比较法-住宅'!$B$82:$M$82</definedName>
    <definedName name="住宅楼层">'比较法-住宅'!$B$86:$M$86</definedName>
    <definedName name="住宅内部装修" localSheetId="38">'[1]比较法-住宅'!$B$118:$M$118</definedName>
    <definedName name="住宅内部装修">'比较法-住宅'!$B$122:$M$122</definedName>
    <definedName name="住宅物业管理" localSheetId="38">'[1]比较法-住宅'!$B$110:$M$110</definedName>
    <definedName name="住宅物业管理">'比较法-住宅'!$B$114:$M$114</definedName>
    <definedName name="住宅用途" localSheetId="38">'[1]比较法-住宅'!$B$61:$M$61</definedName>
    <definedName name="住宅用途">'比较法-住宅'!$B$63:$M$63</definedName>
    <definedName name="住宅主力户型面积">'比较法-住宅'!$B$120:$M$120</definedName>
    <definedName name="注册房地产估价师" localSheetId="38">[1]估价师及机构信息!$A$3:$A$24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42" i="34" l="1"/>
  <c r="G60" i="43" l="1"/>
  <c r="G61" i="43"/>
  <c r="G62" i="43"/>
  <c r="G63" i="43"/>
  <c r="G64" i="43"/>
  <c r="G65" i="43"/>
  <c r="G66" i="43"/>
  <c r="G67" i="43"/>
  <c r="G59" i="43"/>
  <c r="D29" i="43"/>
  <c r="N7" i="1" l="1"/>
  <c r="Y7" i="1" s="1"/>
  <c r="F19" i="6"/>
  <c r="F20" i="6"/>
  <c r="C20" i="77" l="1"/>
  <c r="C19" i="77"/>
  <c r="C18" i="77"/>
  <c r="E12" i="77"/>
  <c r="B8" i="77"/>
  <c r="D6" i="77"/>
  <c r="I4" i="77"/>
  <c r="F3" i="77"/>
  <c r="C5" i="34" l="1"/>
  <c r="Y6" i="1" l="1"/>
  <c r="N6" i="1"/>
  <c r="C37" i="34" s="1"/>
  <c r="I5" i="71" l="1"/>
  <c r="I4" i="71" s="1"/>
  <c r="N4" i="71" s="1"/>
  <c r="L5" i="71"/>
  <c r="K5" i="71"/>
  <c r="J5" i="71"/>
  <c r="N5" i="71"/>
  <c r="P5" i="71" l="1"/>
  <c r="K4" i="71"/>
  <c r="P4" i="71" s="1"/>
  <c r="O5" i="71"/>
  <c r="J4" i="71"/>
  <c r="O4" i="71" s="1"/>
  <c r="Q5" i="71"/>
  <c r="L4" i="71"/>
  <c r="Q4" i="71" s="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1" i="76"/>
  <c r="B13" i="76"/>
  <c r="B11" i="76"/>
  <c r="E12" i="76"/>
  <c r="E7" i="76"/>
  <c r="E9" i="76"/>
  <c r="E10" i="76"/>
  <c r="B12" i="76"/>
  <c r="E8" i="76"/>
  <c r="E13" i="76"/>
  <c r="B9" i="76"/>
  <c r="B7" i="76"/>
  <c r="B10"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F5" i="73"/>
  <c r="F6" i="73"/>
  <c r="F3" i="73"/>
  <c r="D3" i="73"/>
  <c r="I1" i="73" l="1"/>
  <c r="B39" i="1" s="1"/>
  <c r="D5" i="73"/>
  <c r="D4" i="73"/>
  <c r="D6"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12"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3"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D64" i="43" s="1"/>
  <c r="M63" i="43"/>
  <c r="N63" i="43" s="1"/>
  <c r="K63" i="43"/>
  <c r="J63" i="43" s="1"/>
  <c r="M62" i="43"/>
  <c r="N62" i="43" s="1"/>
  <c r="K62" i="43"/>
  <c r="D62" i="43" s="1"/>
  <c r="M61" i="43"/>
  <c r="N61" i="43" s="1"/>
  <c r="K61" i="43"/>
  <c r="D61" i="43" s="1"/>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R431" i="31"/>
  <c r="S431" i="31" s="1"/>
  <c r="R432" i="31"/>
  <c r="R433" i="31"/>
  <c r="S433" i="31" s="1"/>
  <c r="R434" i="31"/>
  <c r="R435" i="31"/>
  <c r="S435" i="31" s="1"/>
  <c r="R436" i="31"/>
  <c r="R437" i="31"/>
  <c r="S437" i="31" s="1"/>
  <c r="R438" i="31"/>
  <c r="R439" i="31"/>
  <c r="S439" i="31" s="1"/>
  <c r="R440" i="31"/>
  <c r="R441" i="31"/>
  <c r="S441" i="31" s="1"/>
  <c r="R442" i="31"/>
  <c r="S442" i="31" s="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R499" i="31"/>
  <c r="S499" i="31" s="1"/>
  <c r="R500" i="31"/>
  <c r="S500" i="31" s="1"/>
  <c r="R501" i="31"/>
  <c r="S501" i="31" s="1"/>
  <c r="R502" i="31"/>
  <c r="R503" i="31"/>
  <c r="R504" i="31"/>
  <c r="S504" i="31" s="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K10" i="1" s="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7" i="31"/>
  <c r="S493" i="31"/>
  <c r="S489" i="31"/>
  <c r="S485" i="31"/>
  <c r="S481" i="31"/>
  <c r="S477" i="31"/>
  <c r="S473" i="31"/>
  <c r="S469" i="31"/>
  <c r="S444" i="31"/>
  <c r="S440" i="31"/>
  <c r="S438" i="31"/>
  <c r="S436" i="31"/>
  <c r="S434" i="31"/>
  <c r="S432" i="31"/>
  <c r="S430" i="31"/>
  <c r="S122" i="31"/>
  <c r="S120" i="31"/>
  <c r="S118" i="31"/>
  <c r="S116" i="31"/>
  <c r="S114" i="31"/>
  <c r="S112" i="31"/>
  <c r="S506" i="31"/>
  <c r="S502"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C26" i="35"/>
  <c r="C79" i="35" s="1"/>
  <c r="J31" i="35"/>
  <c r="W31" i="35" s="1"/>
  <c r="H31" i="35"/>
  <c r="F31" i="35"/>
  <c r="S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U42" i="34" s="1"/>
  <c r="J42" i="34"/>
  <c r="W42" i="34" s="1"/>
  <c r="F42" i="34"/>
  <c r="AA42" i="34" s="1"/>
  <c r="J38" i="34"/>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6" i="31"/>
  <c r="S518" i="31"/>
  <c r="S520" i="31"/>
  <c r="S522"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B57" i="35"/>
  <c r="J11" i="35" s="1"/>
  <c r="B61" i="35"/>
  <c r="B59" i="35"/>
  <c r="H12" i="35" s="1"/>
  <c r="B131" i="34"/>
  <c r="H47" i="34" s="1"/>
  <c r="U47" i="34" s="1"/>
  <c r="B129" i="34"/>
  <c r="B127" i="34"/>
  <c r="J45" i="34" s="1"/>
  <c r="W45" i="34" s="1"/>
  <c r="B99" i="34"/>
  <c r="F32" i="34" s="1"/>
  <c r="B97" i="34"/>
  <c r="B95" i="34"/>
  <c r="B93" i="34"/>
  <c r="B75" i="34"/>
  <c r="F14" i="34" s="1"/>
  <c r="S14" i="34" s="1"/>
  <c r="B73" i="34"/>
  <c r="B71" i="34"/>
  <c r="B130" i="33"/>
  <c r="B128" i="33"/>
  <c r="B126" i="33"/>
  <c r="B98" i="33"/>
  <c r="H31" i="33" s="1"/>
  <c r="AB31" i="33" s="1"/>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F36" i="39"/>
  <c r="S36" i="39" s="1"/>
  <c r="H36" i="39"/>
  <c r="AB36" i="39" s="1"/>
  <c r="F35" i="39"/>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U34" i="35"/>
  <c r="F36" i="34"/>
  <c r="J35" i="34"/>
  <c r="H39" i="33"/>
  <c r="AB39" i="33" s="1"/>
  <c r="S9" i="33"/>
  <c r="U33" i="33"/>
  <c r="U35"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S15" i="34" s="1"/>
  <c r="J15" i="34"/>
  <c r="AC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s="1"/>
  <c r="H29" i="35"/>
  <c r="AB29" i="35" s="1"/>
  <c r="H33" i="37"/>
  <c r="AB33" i="37" s="1"/>
  <c r="F33" i="37"/>
  <c r="AA33" i="37" s="1"/>
  <c r="W33"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H37" i="33"/>
  <c r="AB37" i="33" s="1"/>
  <c r="H15" i="33"/>
  <c r="AB15" i="33" s="1"/>
  <c r="H11" i="33"/>
  <c r="AB11" i="33" s="1"/>
  <c r="F28" i="40"/>
  <c r="AA28" i="40" s="1"/>
  <c r="AA29" i="35"/>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H32" i="34"/>
  <c r="J32" i="34"/>
  <c r="W32" i="34" s="1"/>
  <c r="F46" i="34"/>
  <c r="H11" i="35"/>
  <c r="F11" i="35"/>
  <c r="S11" i="35" s="1"/>
  <c r="J26" i="36"/>
  <c r="W26" i="36" s="1"/>
  <c r="H28" i="36"/>
  <c r="U28" i="36" s="1"/>
  <c r="H32" i="36"/>
  <c r="AB32" i="36" s="1"/>
  <c r="J32" i="36"/>
  <c r="W32" i="36" s="1"/>
  <c r="J11" i="36"/>
  <c r="AC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AC40" i="37" s="1"/>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F45" i="34"/>
  <c r="S45" i="34" s="1"/>
  <c r="F47" i="34"/>
  <c r="S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AA13" i="35"/>
  <c r="U46" i="33"/>
  <c r="AA14" i="33"/>
  <c r="J36" i="37"/>
  <c r="AC36" i="37" s="1"/>
  <c r="AB11" i="36"/>
  <c r="J10" i="36"/>
  <c r="AC10" i="36" s="1"/>
  <c r="AA14" i="37"/>
  <c r="W13" i="36"/>
  <c r="W11" i="36"/>
  <c r="AA14" i="34"/>
  <c r="U31" i="33"/>
  <c r="U13" i="33"/>
  <c r="BA585" i="3"/>
  <c r="F17" i="21"/>
  <c r="AA17" i="21" s="1"/>
  <c r="H17" i="21"/>
  <c r="AB17" i="21" s="1"/>
  <c r="F15" i="21"/>
  <c r="S15" i="21" s="1"/>
  <c r="AB11" i="21"/>
  <c r="J41" i="39"/>
  <c r="W41" i="39" s="1"/>
  <c r="W36" i="39"/>
  <c r="U36" i="39"/>
  <c r="G544" i="3"/>
  <c r="G536" i="3"/>
  <c r="G532" i="3"/>
  <c r="G528" i="3"/>
  <c r="G523" i="3"/>
  <c r="G514" i="3"/>
  <c r="G508" i="3"/>
  <c r="G500" i="3"/>
  <c r="G496" i="3"/>
  <c r="G584" i="3"/>
  <c r="G576" i="3"/>
  <c r="G568" i="3"/>
  <c r="G560" i="3"/>
  <c r="G550" i="3"/>
  <c r="BL580" i="3"/>
  <c r="BL572" i="3"/>
  <c r="BL564" i="3"/>
  <c r="BL554" i="3"/>
  <c r="BL542" i="3"/>
  <c r="BL534" i="3"/>
  <c r="BL526" i="3"/>
  <c r="BL516" i="3"/>
  <c r="BL506" i="3"/>
  <c r="BL502" i="3"/>
  <c r="BL498" i="3"/>
  <c r="BL494" i="3"/>
  <c r="BL582" i="3"/>
  <c r="BL574" i="3"/>
  <c r="BL566" i="3"/>
  <c r="BL556" i="3"/>
  <c r="BL544" i="3"/>
  <c r="BL536" i="3"/>
  <c r="BL532" i="3"/>
  <c r="BL528" i="3"/>
  <c r="BL524" i="3"/>
  <c r="BL514" i="3"/>
  <c r="BL504" i="3"/>
  <c r="BL500" i="3"/>
  <c r="BL496" i="3"/>
  <c r="G493" i="3"/>
  <c r="BA584" i="3"/>
  <c r="BA580" i="3"/>
  <c r="AZ580" i="3" s="1"/>
  <c r="BA578" i="3"/>
  <c r="BA576" i="3"/>
  <c r="BA574" i="3"/>
  <c r="BA572" i="3"/>
  <c r="AZ572" i="3" s="1"/>
  <c r="BA570" i="3"/>
  <c r="BA568" i="3"/>
  <c r="BA566" i="3"/>
  <c r="AZ566" i="3" s="1"/>
  <c r="BA564" i="3"/>
  <c r="AZ564" i="3" s="1"/>
  <c r="BA562" i="3"/>
  <c r="BA560" i="3"/>
  <c r="BA558" i="3"/>
  <c r="BA556" i="3"/>
  <c r="AZ556" i="3" s="1"/>
  <c r="BA554" i="3"/>
  <c r="BA552" i="3"/>
  <c r="BA548" i="3"/>
  <c r="BA546" i="3"/>
  <c r="BA544" i="3"/>
  <c r="AZ544" i="3" s="1"/>
  <c r="BA542" i="3"/>
  <c r="AZ542" i="3" s="1"/>
  <c r="BA540" i="3"/>
  <c r="BA538" i="3"/>
  <c r="BA536" i="3"/>
  <c r="BA534" i="3"/>
  <c r="AZ534" i="3" s="1"/>
  <c r="BA532" i="3"/>
  <c r="AZ532" i="3" s="1"/>
  <c r="BA530" i="3"/>
  <c r="BA528" i="3"/>
  <c r="AZ528" i="3"/>
  <c r="BA526" i="3"/>
  <c r="AZ526" i="3"/>
  <c r="BA524" i="3"/>
  <c r="AZ524" i="3" s="1"/>
  <c r="BA522" i="3"/>
  <c r="BA520" i="3"/>
  <c r="BA518" i="3"/>
  <c r="BA516" i="3"/>
  <c r="BA514" i="3"/>
  <c r="BA512" i="3"/>
  <c r="BA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3"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14" i="37"/>
  <c r="AB28" i="37"/>
  <c r="U33" i="37"/>
  <c r="U39" i="37"/>
  <c r="W26" i="37"/>
  <c r="AC8" i="37"/>
  <c r="U26" i="37"/>
  <c r="AB13" i="34"/>
  <c r="AA13" i="33"/>
  <c r="AC31" i="33"/>
  <c r="AC45" i="33"/>
  <c r="W44" i="33"/>
  <c r="U11" i="33"/>
  <c r="U19"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28" i="3"/>
  <c r="BL549" i="3"/>
  <c r="AZ494" i="3"/>
  <c r="AZ502" i="3"/>
  <c r="AZ514"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67" i="3"/>
  <c r="AZ71" i="3"/>
  <c r="AZ79" i="3"/>
  <c r="AZ83" i="3"/>
  <c r="AZ136" i="3"/>
  <c r="AZ144" i="3"/>
  <c r="AZ85" i="3"/>
  <c r="AZ89" i="3"/>
  <c r="AZ97" i="3"/>
  <c r="AZ105" i="3"/>
  <c r="AZ120" i="3"/>
  <c r="G534" i="3"/>
  <c r="G530" i="3"/>
  <c r="G522" i="3"/>
  <c r="G516" i="3"/>
  <c r="G512" i="3"/>
  <c r="G506" i="3"/>
  <c r="G498" i="3"/>
  <c r="G494"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54" i="3"/>
  <c r="AZ162" i="3"/>
  <c r="AZ170" i="3"/>
  <c r="AZ178" i="3"/>
  <c r="AZ186" i="3"/>
  <c r="AZ194" i="3"/>
  <c r="AZ202" i="3"/>
  <c r="AZ206" i="3"/>
  <c r="AZ500"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91"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T5" i="3"/>
  <c r="AZ352" i="3"/>
  <c r="AZ360" i="3"/>
  <c r="BB5" i="3"/>
  <c r="E8" i="6" s="1"/>
  <c r="F27" i="6" s="1"/>
  <c r="BR5" i="3"/>
  <c r="AZ380" i="3"/>
  <c r="AZ384" i="3"/>
  <c r="AZ396" i="3"/>
  <c r="AZ509" i="3"/>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AC11" i="39"/>
  <c r="AZ563" i="3"/>
  <c r="W37" i="37"/>
  <c r="W44" i="34"/>
  <c r="S15" i="37"/>
  <c r="U13" i="37"/>
  <c r="U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H86" i="43"/>
  <c r="H82" i="43"/>
  <c r="H87" i="43"/>
  <c r="K9" i="1"/>
  <c r="M9" i="1" s="1"/>
  <c r="O9" i="1" s="1"/>
  <c r="P9" i="1" s="1"/>
  <c r="AE9" i="1"/>
  <c r="G7" i="1" l="1"/>
  <c r="K13" i="1"/>
  <c r="M13" i="1" s="1"/>
  <c r="O13" i="1" s="1"/>
  <c r="P13" i="1" s="1"/>
  <c r="J51" i="15"/>
  <c r="J61" i="43"/>
  <c r="J62" i="43"/>
  <c r="J64" i="43"/>
  <c r="E59" i="43"/>
  <c r="B57" i="43" s="1"/>
  <c r="C24" i="43" s="1"/>
  <c r="BA20" i="3"/>
  <c r="BL20" i="3"/>
  <c r="BL22" i="3"/>
  <c r="BL16" i="3"/>
  <c r="BA23" i="3"/>
  <c r="BL23" i="3"/>
  <c r="AB37" i="34"/>
  <c r="A118" i="9"/>
  <c r="W37" i="34"/>
  <c r="H5" i="3"/>
  <c r="F29" i="6"/>
  <c r="BA19" i="3"/>
  <c r="BA17" i="3"/>
  <c r="BA16" i="3"/>
  <c r="AZ16" i="3" s="1"/>
  <c r="BA15" i="3"/>
  <c r="U34" i="34"/>
  <c r="AC28" i="34"/>
  <c r="S28" i="34"/>
  <c r="S42" i="34"/>
  <c r="AC36" i="34"/>
  <c r="U31" i="34"/>
  <c r="AA41" i="34"/>
  <c r="W8" i="34"/>
  <c r="S44" i="34"/>
  <c r="S35" i="34"/>
  <c r="J47" i="34"/>
  <c r="AC47" i="34" s="1"/>
  <c r="AC17" i="34"/>
  <c r="AB17" i="34"/>
  <c r="G14" i="3"/>
  <c r="BL18" i="3"/>
  <c r="A15" i="62"/>
  <c r="B61" i="72" s="1"/>
  <c r="G28" i="6"/>
  <c r="AZ326" i="3"/>
  <c r="AZ311" i="3"/>
  <c r="AZ372" i="3"/>
  <c r="AZ347" i="3"/>
  <c r="AZ344" i="3"/>
  <c r="AZ337" i="3"/>
  <c r="AZ320" i="3"/>
  <c r="AZ313" i="3"/>
  <c r="AZ305" i="3"/>
  <c r="AZ362" i="3"/>
  <c r="AZ569" i="3"/>
  <c r="AZ577" i="3"/>
  <c r="AZ557" i="3"/>
  <c r="AZ516" i="3"/>
  <c r="AZ536" i="3"/>
  <c r="AZ554" i="3"/>
  <c r="AZ558" i="3"/>
  <c r="AZ574" i="3"/>
  <c r="W31" i="34"/>
  <c r="AB30" i="21"/>
  <c r="U11" i="35"/>
  <c r="AB11" i="35"/>
  <c r="AA15" i="34"/>
  <c r="AB23" i="34"/>
  <c r="AA12" i="36"/>
  <c r="AA39" i="37"/>
  <c r="W33" i="33"/>
  <c r="S34" i="34"/>
  <c r="AC44" i="39"/>
  <c r="W44" i="39"/>
  <c r="F12" i="21"/>
  <c r="J12" i="21"/>
  <c r="AC12" i="21" s="1"/>
  <c r="H28" i="21"/>
  <c r="AB28" i="21" s="1"/>
  <c r="J28" i="21"/>
  <c r="J44" i="21"/>
  <c r="F44" i="21"/>
  <c r="AA44" i="21" s="1"/>
  <c r="B77" i="43"/>
  <c r="C25" i="39"/>
  <c r="H28" i="33"/>
  <c r="U28" i="33" s="1"/>
  <c r="J28" i="33"/>
  <c r="W28" i="33" s="1"/>
  <c r="J26" i="33"/>
  <c r="F26" i="33"/>
  <c r="F9" i="34"/>
  <c r="J29" i="33"/>
  <c r="F29" i="33"/>
  <c r="S29" i="33" s="1"/>
  <c r="H45" i="33"/>
  <c r="F45" i="33"/>
  <c r="J12" i="34"/>
  <c r="F12" i="34"/>
  <c r="H30" i="34"/>
  <c r="J30" i="34"/>
  <c r="H46" i="34"/>
  <c r="J46" i="34"/>
  <c r="AC46" i="34" s="1"/>
  <c r="U12" i="35"/>
  <c r="AB12" i="35"/>
  <c r="AC11" i="35"/>
  <c r="W11" i="35"/>
  <c r="H36" i="35"/>
  <c r="AB36" i="35" s="1"/>
  <c r="J36" i="35"/>
  <c r="AA27" i="35"/>
  <c r="S27" i="35"/>
  <c r="F9" i="36"/>
  <c r="AA9" i="36" s="1"/>
  <c r="J12" i="36"/>
  <c r="H12" i="36"/>
  <c r="AA40" i="39"/>
  <c r="S40" i="39"/>
  <c r="H35" i="39"/>
  <c r="AB35" i="39" s="1"/>
  <c r="J37" i="39"/>
  <c r="F37" i="39"/>
  <c r="AA37" i="39" s="1"/>
  <c r="AB9" i="40"/>
  <c r="U9" i="40"/>
  <c r="AB38" i="40"/>
  <c r="U38" i="40"/>
  <c r="J12" i="40"/>
  <c r="F12" i="40"/>
  <c r="BL576" i="3"/>
  <c r="BL570" i="3"/>
  <c r="AZ570" i="3" s="1"/>
  <c r="BL568" i="3"/>
  <c r="AZ568" i="3" s="1"/>
  <c r="BL562" i="3"/>
  <c r="AZ562" i="3" s="1"/>
  <c r="AZ521" i="3"/>
  <c r="AZ581" i="3"/>
  <c r="AZ576" i="3"/>
  <c r="S44" i="33"/>
  <c r="AA44" i="33"/>
  <c r="AA11" i="36"/>
  <c r="S11" i="36"/>
  <c r="U26" i="33"/>
  <c r="AB26" i="33"/>
  <c r="AA35" i="39"/>
  <c r="S35" i="39"/>
  <c r="BL587" i="3"/>
  <c r="AZ587" i="3" s="1"/>
  <c r="BL586" i="3"/>
  <c r="BA586" i="3"/>
  <c r="AZ585" i="3"/>
  <c r="AC9" i="34"/>
  <c r="W9" i="34"/>
  <c r="AC28" i="35"/>
  <c r="W28" i="35"/>
  <c r="AA34" i="35"/>
  <c r="S34" i="35"/>
  <c r="H23" i="35"/>
  <c r="J23" i="35"/>
  <c r="AA10" i="36"/>
  <c r="S10" i="36"/>
  <c r="AB9" i="36"/>
  <c r="U9" i="36"/>
  <c r="J24" i="36"/>
  <c r="H24" i="36"/>
  <c r="AB24" i="36" s="1"/>
  <c r="F24" i="36"/>
  <c r="AA24" i="36" s="1"/>
  <c r="H33" i="36"/>
  <c r="F33" i="36"/>
  <c r="AA33" i="36" s="1"/>
  <c r="AB31" i="36"/>
  <c r="U31" i="36"/>
  <c r="AA10" i="37"/>
  <c r="S10" i="37"/>
  <c r="AB14" i="37"/>
  <c r="U14" i="37"/>
  <c r="H40" i="37"/>
  <c r="U40" i="37" s="1"/>
  <c r="F40" i="37"/>
  <c r="AA40" i="37" s="1"/>
  <c r="J43" i="39"/>
  <c r="H43" i="39"/>
  <c r="H45" i="39"/>
  <c r="J45" i="39"/>
  <c r="AC31" i="40"/>
  <c r="W31" i="40"/>
  <c r="AC32" i="40"/>
  <c r="W32" i="40"/>
  <c r="AA38" i="40"/>
  <c r="S38" i="40"/>
  <c r="J39" i="40"/>
  <c r="H39" i="40"/>
  <c r="U41" i="21"/>
  <c r="AB41" i="21"/>
  <c r="AA40" i="33"/>
  <c r="S40" i="33"/>
  <c r="W38" i="34"/>
  <c r="AC38" i="34"/>
  <c r="AB34" i="37"/>
  <c r="U34" i="37"/>
  <c r="AA30" i="36"/>
  <c r="S30" i="36"/>
  <c r="AC35" i="39"/>
  <c r="W35" i="39"/>
  <c r="BL584" i="3"/>
  <c r="AZ584" i="3" s="1"/>
  <c r="BA582" i="3"/>
  <c r="AZ582" i="3" s="1"/>
  <c r="BL578" i="3"/>
  <c r="AZ578" i="3" s="1"/>
  <c r="BL560" i="3"/>
  <c r="AZ560" i="3" s="1"/>
  <c r="BL552" i="3"/>
  <c r="AZ552" i="3" s="1"/>
  <c r="BL546" i="3"/>
  <c r="AZ546" i="3" s="1"/>
  <c r="BL540" i="3"/>
  <c r="AZ540" i="3" s="1"/>
  <c r="BL538" i="3"/>
  <c r="AZ538" i="3" s="1"/>
  <c r="BL530" i="3"/>
  <c r="AZ530" i="3" s="1"/>
  <c r="BL522" i="3"/>
  <c r="AZ522" i="3" s="1"/>
  <c r="BL518" i="3"/>
  <c r="AZ518" i="3" s="1"/>
  <c r="BL512" i="3"/>
  <c r="AZ512" i="3" s="1"/>
  <c r="BL510" i="3"/>
  <c r="AZ510" i="3" s="1"/>
  <c r="AZ402" i="3"/>
  <c r="AZ418" i="3"/>
  <c r="AZ434" i="3"/>
  <c r="AZ443" i="3"/>
  <c r="AZ446" i="3"/>
  <c r="AZ450" i="3"/>
  <c r="AZ459" i="3"/>
  <c r="AZ462" i="3"/>
  <c r="AZ477" i="3"/>
  <c r="AZ480" i="3"/>
  <c r="AZ481" i="3"/>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AZ208" i="3"/>
  <c r="AZ217" i="3"/>
  <c r="AZ242" i="3"/>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4" i="3"/>
  <c r="BL284" i="3"/>
  <c r="AZ284" i="3" s="1"/>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G207" i="3"/>
  <c r="BL207" i="3"/>
  <c r="BA18" i="3"/>
  <c r="AZ62" i="3"/>
  <c r="AZ98" i="3"/>
  <c r="AZ290" i="3"/>
  <c r="AZ293" i="3"/>
  <c r="AZ300" i="3"/>
  <c r="AZ122" i="3"/>
  <c r="AZ125" i="3"/>
  <c r="AZ153" i="3"/>
  <c r="AZ161" i="3"/>
  <c r="AZ169" i="3"/>
  <c r="AZ177" i="3"/>
  <c r="AZ185" i="3"/>
  <c r="AZ193" i="3"/>
  <c r="AZ201" i="3"/>
  <c r="AZ207"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F30" i="6" s="1"/>
  <c r="F31"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D22" i="43" s="1"/>
  <c r="E32" i="6"/>
  <c r="L19" i="6" s="1"/>
  <c r="G1" i="68"/>
  <c r="K1" i="12"/>
  <c r="N103" i="43"/>
  <c r="N106" i="43"/>
  <c r="J103" i="43"/>
  <c r="F107" i="43"/>
  <c r="F102" i="43"/>
  <c r="F106" i="43"/>
  <c r="C107" i="43"/>
  <c r="C105" i="43"/>
  <c r="C103" i="43"/>
  <c r="K107" i="43"/>
  <c r="K104"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K106" i="43"/>
  <c r="C102" i="43"/>
  <c r="S2" i="43" s="1"/>
  <c r="F103" i="43"/>
  <c r="F105" i="43"/>
  <c r="N104" i="43"/>
  <c r="E56" i="40"/>
  <c r="E19" i="69"/>
  <c r="E19" i="68"/>
  <c r="E19" i="11"/>
  <c r="E1" i="73"/>
  <c r="K1" i="73" s="1"/>
  <c r="G41" i="69"/>
  <c r="G22" i="69"/>
  <c r="G41" i="68"/>
  <c r="G22" i="68"/>
  <c r="G27" i="12"/>
  <c r="G26" i="12"/>
  <c r="G41" i="11"/>
  <c r="G22" i="11"/>
  <c r="G25" i="12"/>
  <c r="C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2" i="15"/>
  <c r="L47" i="67"/>
  <c r="F43" i="15"/>
  <c r="F42" i="67"/>
  <c r="M24" i="15"/>
  <c r="M8" i="15"/>
  <c r="J15" i="15"/>
  <c r="F6" i="15"/>
  <c r="F38" i="67"/>
  <c r="F37" i="15"/>
  <c r="M26" i="15"/>
  <c r="F7" i="67"/>
  <c r="M6" i="67"/>
  <c r="M23" i="67"/>
  <c r="M6" i="15"/>
  <c r="F9" i="15"/>
  <c r="F9" i="67"/>
  <c r="F26" i="67"/>
  <c r="F13" i="67"/>
  <c r="F26" i="15"/>
  <c r="F40" i="67"/>
  <c r="F13" i="15"/>
  <c r="C76" i="67"/>
  <c r="M26" i="67"/>
  <c r="F8" i="67"/>
  <c r="F40" i="15"/>
  <c r="C76" i="15"/>
  <c r="M29" i="15"/>
  <c r="J15" i="67"/>
  <c r="F36" i="15"/>
  <c r="F37" i="67"/>
  <c r="L48" i="15"/>
  <c r="F7" i="15"/>
  <c r="L48" i="67"/>
  <c r="M24" i="67"/>
  <c r="M28" i="15"/>
  <c r="M29" i="67"/>
  <c r="F6" i="67"/>
  <c r="M23" i="15"/>
  <c r="F36" i="67"/>
  <c r="M9" i="67"/>
  <c r="F38" i="15"/>
  <c r="M22" i="67"/>
  <c r="F16" i="15"/>
  <c r="F43" i="67"/>
  <c r="M9" i="15"/>
  <c r="G1" i="73"/>
  <c r="M8" i="67"/>
  <c r="M28" i="67"/>
  <c r="F16" i="67"/>
  <c r="F8" i="15"/>
  <c r="M22" i="15"/>
  <c r="L47" i="15"/>
  <c r="F53" i="9" l="1"/>
  <c r="F48" i="9"/>
  <c r="O52" i="9" s="1"/>
  <c r="N109" i="43"/>
  <c r="K109" i="43"/>
  <c r="J109" i="43"/>
  <c r="N107" i="43"/>
  <c r="J106" i="43"/>
  <c r="K105" i="43"/>
  <c r="G106" i="43"/>
  <c r="G104" i="43"/>
  <c r="G107" i="43"/>
  <c r="K102" i="43"/>
  <c r="J102" i="43"/>
  <c r="J107" i="43"/>
  <c r="N105" i="43"/>
  <c r="G102" i="43"/>
  <c r="J105" i="43"/>
  <c r="AZ18" i="3"/>
  <c r="AZ23" i="3"/>
  <c r="AZ20" i="3"/>
  <c r="E28" i="6"/>
  <c r="W47" i="34"/>
  <c r="C4" i="4"/>
  <c r="B4" i="62" s="1"/>
  <c r="B71" i="72" s="1"/>
  <c r="E4" i="4"/>
  <c r="AB45" i="39"/>
  <c r="U45" i="39"/>
  <c r="W43" i="39"/>
  <c r="AC43" i="39"/>
  <c r="AC23" i="35"/>
  <c r="W23" i="35"/>
  <c r="W12" i="40"/>
  <c r="AC12" i="40"/>
  <c r="W37" i="39"/>
  <c r="AC37" i="39"/>
  <c r="U12" i="36"/>
  <c r="AB12" i="36"/>
  <c r="U46" i="34"/>
  <c r="AB46" i="34"/>
  <c r="W12" i="34"/>
  <c r="AC12" i="34"/>
  <c r="U45" i="33"/>
  <c r="AB45" i="33"/>
  <c r="AC29" i="33"/>
  <c r="W29" i="33"/>
  <c r="AA26" i="33"/>
  <c r="S26" i="33"/>
  <c r="W28" i="21"/>
  <c r="AC28" i="21"/>
  <c r="U39" i="40"/>
  <c r="AB39" i="40"/>
  <c r="W45" i="39"/>
  <c r="AC45" i="39"/>
  <c r="AC24" i="36"/>
  <c r="W24" i="36"/>
  <c r="U23" i="35"/>
  <c r="AB23" i="35"/>
  <c r="S12" i="40"/>
  <c r="AA12" i="40"/>
  <c r="AC12" i="36"/>
  <c r="W12" i="36"/>
  <c r="AC36" i="35"/>
  <c r="W36" i="35"/>
  <c r="W30" i="34"/>
  <c r="AC30" i="34"/>
  <c r="S12" i="34"/>
  <c r="AA12" i="34"/>
  <c r="AA45" i="33"/>
  <c r="S45" i="33"/>
  <c r="AA9" i="34"/>
  <c r="S9" i="34"/>
  <c r="AC44" i="21"/>
  <c r="W44" i="21"/>
  <c r="S12" i="21"/>
  <c r="AA12" i="2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D9" i="69"/>
  <c r="C9" i="69" s="1"/>
  <c r="D19" i="12"/>
  <c r="C19" i="12" s="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F31" i="15"/>
  <c r="F59" i="15"/>
  <c r="F31" i="67"/>
  <c r="M17" i="67"/>
  <c r="F59" i="67"/>
  <c r="C16" i="15"/>
  <c r="C16" i="67"/>
  <c r="C17" i="15"/>
  <c r="K16" i="1" l="1"/>
  <c r="M19" i="6"/>
  <c r="AR6" i="1"/>
  <c r="C30" i="69"/>
  <c r="C48" i="68"/>
  <c r="M23" i="6"/>
  <c r="I23" i="6" s="1"/>
  <c r="S23" i="6" s="1"/>
  <c r="S10" i="1"/>
  <c r="M25" i="6"/>
  <c r="I25" i="6" s="1"/>
  <c r="S25" i="6" s="1"/>
  <c r="S12" i="1"/>
  <c r="M22" i="6"/>
  <c r="I22" i="6" s="1"/>
  <c r="S22" i="6" s="1"/>
  <c r="S9" i="1"/>
  <c r="M21" i="6"/>
  <c r="I21" i="6" s="1"/>
  <c r="S21" i="6" s="1"/>
  <c r="S8" i="1"/>
  <c r="M24" i="6"/>
  <c r="I24" i="6" s="1"/>
  <c r="S24" i="6" s="1"/>
  <c r="S11" i="1"/>
  <c r="K4" i="4"/>
  <c r="B46" i="48" s="1"/>
  <c r="B4" i="72" s="1"/>
  <c r="AQ7" i="1"/>
  <c r="E3" i="6"/>
  <c r="B5" i="62"/>
  <c r="B73" i="72" s="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G39" i="43" l="1"/>
  <c r="I39" i="43" s="1"/>
  <c r="D3" i="34"/>
  <c r="D2" i="77"/>
  <c r="AQ11" i="1"/>
  <c r="T11" i="1"/>
  <c r="AR11" i="1"/>
  <c r="AR8" i="1"/>
  <c r="T8" i="1"/>
  <c r="AQ8" i="1"/>
  <c r="AR9" i="1"/>
  <c r="AQ9" i="1"/>
  <c r="T9" i="1"/>
  <c r="AQ12" i="1"/>
  <c r="AR12" i="1"/>
  <c r="T12" i="1"/>
  <c r="AQ10" i="1"/>
  <c r="T10" i="1"/>
  <c r="AR10" i="1"/>
  <c r="D3" i="33"/>
  <c r="D3" i="21"/>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R12" i="1"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E30" i="77" l="1"/>
  <c r="B2" i="77"/>
  <c r="AA7" i="34"/>
  <c r="R49" i="34" s="1"/>
  <c r="E49" i="34" s="1"/>
  <c r="C34" i="11"/>
  <c r="C35" i="11" s="1"/>
  <c r="R20" i="6"/>
  <c r="R7" i="1" s="1"/>
  <c r="C36" i="11"/>
  <c r="J24" i="67"/>
  <c r="J18" i="67"/>
  <c r="J24" i="15"/>
  <c r="J18" i="15"/>
  <c r="G36" i="36"/>
  <c r="R37" i="36"/>
  <c r="AB7" i="34"/>
  <c r="T49" i="34" s="1"/>
  <c r="G49" i="34" s="1"/>
  <c r="G53" i="34" s="1"/>
  <c r="H53" i="34" s="1"/>
  <c r="W7" i="21"/>
  <c r="AA7" i="21"/>
  <c r="R48" i="21" s="1"/>
  <c r="E48" i="21" s="1"/>
  <c r="E52" i="21" s="1"/>
  <c r="F52" i="21" s="1"/>
  <c r="R26" i="6"/>
  <c r="R23" i="6"/>
  <c r="R10" i="1" s="1"/>
  <c r="R24" i="6"/>
  <c r="R11" i="1" s="1"/>
  <c r="R21" i="6"/>
  <c r="R8" i="1" s="1"/>
  <c r="R22" i="6"/>
  <c r="R9"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15"/>
  <c r="F35" i="67"/>
  <c r="F35" i="15"/>
  <c r="M21"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15"/>
  <c r="F41" i="15"/>
  <c r="M27" i="67"/>
  <c r="F41" i="67"/>
  <c r="Q67" i="15" l="1"/>
  <c r="H5" i="77"/>
  <c r="B5" i="77" s="1"/>
  <c r="E11" i="77" s="1"/>
  <c r="J26" i="15"/>
  <c r="J29" i="15" s="1"/>
  <c r="J26" i="67"/>
  <c r="J29" i="67" s="1"/>
  <c r="C58" i="15"/>
  <c r="C67" i="15" s="1"/>
  <c r="F69" i="15"/>
  <c r="C40" i="15"/>
  <c r="C43" i="15" s="1"/>
  <c r="L46" i="15"/>
  <c r="Q57" i="15"/>
  <c r="Q66" i="15"/>
  <c r="F69" i="67"/>
  <c r="C68" i="67" s="1"/>
  <c r="C71" i="67" s="1"/>
  <c r="C40" i="67"/>
  <c r="C83" i="67" s="1"/>
  <c r="C82" i="67" s="1"/>
  <c r="C16" i="77" l="1"/>
  <c r="E13" i="77"/>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8" i="1"/>
  <c r="AO7" i="1"/>
  <c r="C21" i="77" l="1"/>
  <c r="C22" i="77" s="1"/>
  <c r="B8" i="70"/>
  <c r="B7" i="70"/>
  <c r="B6" i="70"/>
  <c r="C46" i="15"/>
  <c r="B2" i="69"/>
  <c r="B3" i="69" s="1"/>
  <c r="B2" i="68"/>
  <c r="B3" i="67"/>
  <c r="D2" i="36"/>
  <c r="D2" i="34"/>
  <c r="D2" i="37"/>
  <c r="E2" i="68"/>
  <c r="D2" i="33"/>
  <c r="D2" i="35"/>
  <c r="F20" i="31"/>
  <c r="D2" i="21"/>
  <c r="C23" i="77" l="1"/>
  <c r="C25" i="77"/>
  <c r="B2" i="36"/>
  <c r="B3" i="36" s="1"/>
  <c r="B2" i="35"/>
  <c r="B3" i="35" s="1"/>
  <c r="B2" i="37"/>
  <c r="B3" i="37" s="1"/>
  <c r="B2" i="34"/>
  <c r="B2" i="21"/>
  <c r="B3" i="21" s="1"/>
  <c r="B2" i="70"/>
  <c r="B3" i="70" s="1"/>
  <c r="B3" i="68"/>
  <c r="C19" i="9"/>
  <c r="D19" i="9"/>
  <c r="D20" i="9"/>
  <c r="C26" i="77" l="1"/>
  <c r="C102" i="9"/>
  <c r="C21" i="9"/>
  <c r="B3" i="34"/>
  <c r="G19" i="9"/>
  <c r="D102" i="9"/>
  <c r="D22" i="9"/>
  <c r="D21" i="9"/>
  <c r="D103" i="9"/>
  <c r="C20" i="9"/>
  <c r="C24" i="77" l="1"/>
  <c r="C27" i="77"/>
  <c r="C29" i="77"/>
  <c r="C30" i="77" s="1"/>
  <c r="C103" i="9"/>
  <c r="G20" i="9"/>
  <c r="R24" i="31" s="1"/>
  <c r="C32" i="9"/>
  <c r="G21" i="9"/>
  <c r="D34" i="9"/>
  <c r="R35" i="31" l="1"/>
  <c r="S35" i="31" s="1"/>
  <c r="R31" i="31"/>
  <c r="S31" i="31" s="1"/>
  <c r="R32" i="31"/>
  <c r="S32" i="31" s="1"/>
  <c r="R33" i="31"/>
  <c r="S33" i="31" s="1"/>
  <c r="R34" i="31"/>
  <c r="S34" i="31" s="1"/>
  <c r="C66" i="9"/>
  <c r="C75" i="9"/>
  <c r="C77" i="9" s="1"/>
  <c r="C74" i="9" s="1"/>
  <c r="S24" i="31"/>
  <c r="R30" i="31"/>
  <c r="S30" i="31" s="1"/>
  <c r="R26" i="31"/>
  <c r="S26" i="31" s="1"/>
  <c r="R27" i="31"/>
  <c r="S27" i="31" s="1"/>
  <c r="R28" i="31"/>
  <c r="S28" i="31" s="1"/>
  <c r="R29" i="31"/>
  <c r="S29" i="31" s="1"/>
  <c r="R25" i="31"/>
  <c r="S25" i="31" s="1"/>
  <c r="H109" i="9"/>
  <c r="S22" i="31" l="1"/>
  <c r="H110" i="9"/>
  <c r="D18" i="53" s="1"/>
  <c r="B35" i="72" s="1"/>
  <c r="D124" i="9"/>
  <c r="D16" i="53"/>
  <c r="B34" i="72" s="1"/>
  <c r="D45" i="9" l="1"/>
  <c r="G131" i="9"/>
  <c r="R22" i="31"/>
  <c r="B20" i="31"/>
  <c r="D10" i="52"/>
  <c r="H14" i="74"/>
  <c r="D17" i="53"/>
  <c r="B36" i="72" s="1"/>
  <c r="D125" i="9"/>
  <c r="D11" i="52" s="1"/>
  <c r="B21" i="31" l="1"/>
  <c r="H131" i="9"/>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3" i="9"/>
  <c r="M63" i="9" s="1"/>
  <c r="L65" i="9"/>
  <c r="M65" i="9" s="1"/>
  <c r="L64" i="9"/>
  <c r="M64" i="9" s="1"/>
  <c r="L67" i="9"/>
  <c r="M67" i="9" s="1"/>
  <c r="L66" i="9"/>
  <c r="M66" i="9" s="1"/>
  <c r="I4" i="52"/>
  <c r="D5" i="53"/>
  <c r="B20" i="72" s="1"/>
  <c r="H102" i="9"/>
  <c r="D7" i="53" s="1"/>
  <c r="B21" i="72" s="1"/>
  <c r="E118" i="9"/>
  <c r="E4" i="52" s="1"/>
  <c r="B48" i="72" s="1"/>
  <c r="D122" i="9"/>
  <c r="H108" i="9"/>
  <c r="D15" i="53" s="1"/>
  <c r="B31" i="72" s="1"/>
  <c r="D13" i="53"/>
  <c r="E14" i="74"/>
  <c r="B5" i="74"/>
  <c r="F14" i="74"/>
  <c r="D53" i="9" l="1"/>
  <c r="D59" i="9"/>
  <c r="M55" i="9"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D48" i="9" s="1"/>
  <c r="M52" i="9" s="1"/>
  <c r="C79" i="9"/>
  <c r="D6" i="74"/>
  <c r="C6" i="74"/>
  <c r="C96" i="9" l="1"/>
  <c r="E96" i="9" s="1"/>
  <c r="E97" i="9" s="1"/>
  <c r="C80" i="9"/>
  <c r="E80" i="9" s="1"/>
  <c r="E81" i="9" s="1"/>
  <c r="C81" i="9" l="1"/>
  <c r="C97" i="9"/>
  <c r="D58" i="9" l="1"/>
  <c r="D56" i="9" s="1"/>
  <c r="M54" i="9" s="1"/>
  <c r="N57" i="9" s="1"/>
  <c r="N58" i="9" l="1"/>
  <c r="E132" i="9"/>
  <c r="G132" i="9" s="1"/>
  <c r="H132" i="9" s="1"/>
  <c r="P57" i="9"/>
  <c r="N59" i="9"/>
  <c r="H111" i="9" s="1"/>
  <c r="N60" i="9" l="1"/>
  <c r="N61" i="9"/>
  <c r="H112" i="9" s="1"/>
  <c r="D21" i="53" s="1"/>
  <c r="B39" i="72" s="1"/>
  <c r="D19" i="53"/>
  <c r="D126" i="9"/>
  <c r="D12" i="52" l="1"/>
  <c r="I14" i="74"/>
  <c r="B8" i="74" s="1"/>
  <c r="D127" i="9"/>
  <c r="D13" i="52" s="1"/>
  <c r="D20" i="53"/>
  <c r="B40" i="72" s="1"/>
  <c r="B38" i="7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<sst xmlns="http://schemas.openxmlformats.org/spreadsheetml/2006/main" count="7599" uniqueCount="3228">
  <si>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</si>
  <si>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</si>
  <si>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</si>
  <si>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</si>
  <si>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</si>
  <si>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</si>
  <si>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</si>
  <si>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</si>
  <si>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</si>
  <si>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</si>
  <si>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</si>
  <si>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</si>
  <si>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</si>
  <si>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</si>
  <si>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</si>
  <si>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</si>
  <si>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</si>
  <si>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</si>
  <si>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</si>
  <si>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</si>
  <si>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</si>
  <si>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</si>
  <si>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</si>
  <si>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</si>
  <si>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</si>
  <si>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</si>
  <si>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</si>
  <si>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</si>
  <si>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</si>
  <si>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</si>
  <si>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</si>
  <si>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</si>
  <si>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</si>
  <si>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</si>
  <si>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</si>
  <si>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</si>
  <si>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</si>
  <si>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</si>
  <si>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</si>
  <si>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</si>
  <si>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</si>
  <si>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</si>
  <si>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</si>
  <si>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</si>
  <si>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</si>
  <si>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</si>
  <si>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</si>
  <si>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</si>
  <si>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</si>
  <si>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</si>
  <si>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</si>
  <si>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</si>
  <si>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</si>
  <si>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</si>
  <si>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</si>
  <si>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</si>
  <si>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</si>
  <si>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</si>
  <si>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</si>
  <si>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</si>
  <si>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</si>
  <si>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</si>
  <si>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</si>
  <si>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</si>
  <si>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</si>
  <si>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</si>
  <si>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</si>
  <si>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</si>
  <si>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</si>
  <si>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</si>
  <si>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</si>
  <si>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</si>
  <si>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</si>
  <si>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</si>
  <si>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</si>
  <si>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</si>
  <si>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</si>
  <si>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</si>
  <si>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</si>
  <si>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</si>
  <si>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</si>
  <si>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</si>
  <si>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</si>
  <si>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</si>
  <si>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</si>
  <si>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</si>
  <si>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</si>
  <si>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</si>
  <si>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</si>
  <si>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</si>
  <si>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</si>
  <si>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</si>
  <si>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</si>
  <si>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</si>
  <si>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</si>
  <si>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</si>
  <si>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</si>
  <si>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</si>
  <si>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</si>
  <si>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</si>
  <si>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</si>
  <si>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</si>
  <si>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</si>
  <si>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</si>
  <si>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</si>
  <si>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</si>
  <si>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</si>
  <si>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</si>
  <si>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</si>
  <si>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</si>
  <si>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</si>
  <si>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</si>
  <si>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</si>
  <si>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</si>
  <si>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</si>
  <si>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</si>
  <si>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</si>
  <si>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</si>
  <si>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</si>
  <si>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</si>
  <si>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</si>
  <si>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</si>
  <si>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</si>
  <si>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</si>
  <si>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</si>
  <si>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</si>
  <si>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</si>
  <si>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</si>
  <si>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</si>
  <si>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</si>
  <si>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</si>
  <si>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</si>
  <si>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</si>
  <si>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</si>
  <si>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</si>
  <si>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</si>
  <si>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</si>
  <si>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</si>
  <si>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</si>
  <si>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</si>
  <si>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</si>
  <si>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</si>
  <si>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</si>
  <si>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</si>
  <si>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</si>
  <si>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</si>
  <si>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</si>
  <si>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</si>
  <si>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</si>
  <si>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</si>
  <si>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</si>
  <si>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</si>
  <si>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</si>
  <si>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</si>
  <si>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</si>
  <si>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</si>
  <si>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</si>
  <si>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</si>
  <si>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</si>
  <si>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</si>
  <si>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</si>
  <si>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</si>
  <si>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</si>
  <si>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</si>
  <si>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</si>
  <si>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</si>
  <si>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</si>
  <si>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</si>
  <si>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</si>
  <si>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</si>
  <si>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</si>
  <si>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</si>
  <si>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</si>
  <si>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</si>
  <si>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</si>
  <si>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</si>
  <si>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</si>
  <si>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</si>
  <si>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</si>
  <si>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</si>
  <si>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</si>
  <si>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</si>
  <si>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</si>
  <si>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</si>
  <si>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</si>
  <si>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</si>
  <si>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</si>
  <si>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</si>
  <si>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</si>
  <si>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</si>
  <si>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</si>
  <si>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</si>
  <si>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</si>
  <si>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</si>
  <si>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</si>
  <si>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</si>
  <si>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</si>
  <si>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</si>
  <si>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</si>
  <si>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</si>
  <si>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</si>
  <si>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</si>
  <si>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</si>
  <si>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</si>
  <si>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</si>
  <si>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</si>
  <si>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</si>
  <si>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</si>
  <si>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</si>
  <si>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</si>
  <si>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</si>
  <si>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</si>
  <si>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</si>
  <si>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</si>
  <si>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</si>
  <si>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</si>
  <si>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</si>
  <si>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</si>
  <si>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</si>
  <si>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</si>
  <si>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</si>
  <si>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</si>
  <si>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</si>
  <si>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</si>
  <si>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</si>
  <si>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</si>
  <si>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</si>
  <si>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</si>
  <si>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</si>
  <si>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</si>
  <si>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</si>
  <si>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</si>
  <si>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</si>
  <si>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</si>
  <si>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</si>
  <si>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</si>
  <si>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</si>
  <si>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</si>
  <si>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</si>
  <si>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</si>
  <si>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</si>
  <si>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</si>
  <si>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</si>
  <si>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</si>
  <si>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</si>
  <si>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</si>
  <si>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</si>
  <si>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</si>
  <si>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</si>
  <si>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</si>
  <si>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</si>
  <si>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</si>
  <si>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</si>
  <si>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</si>
  <si>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</si>
  <si>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</si>
  <si>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</si>
  <si>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</si>
  <si>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</si>
  <si>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</si>
  <si>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</si>
  <si>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</si>
  <si>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</si>
  <si>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</si>
  <si>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</si>
  <si>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</si>
  <si>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</si>
  <si>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</si>
  <si>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</si>
  <si>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</si>
  <si>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</si>
  <si>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</si>
  <si>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</si>
  <si>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</si>
  <si>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</si>
  <si>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</si>
  <si>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</si>
  <si>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</si>
  <si>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</si>
  <si>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</si>
  <si>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</si>
  <si>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</si>
  <si>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</si>
  <si>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</si>
  <si>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</si>
  <si>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</si>
  <si>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</si>
  <si>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</si>
  <si>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</si>
  <si>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</si>
  <si>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</si>
  <si>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</si>
  <si>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</si>
  <si>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</si>
  <si>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</si>
  <si>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</si>
  <si>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</si>
  <si>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</si>
  <si>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</si>
  <si>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</si>
  <si>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</si>
  <si>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</si>
  <si>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</si>
  <si>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</si>
  <si>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</si>
  <si>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</si>
  <si>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</si>
  <si>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</si>
  <si>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</si>
  <si>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</si>
  <si>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</si>
  <si>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</si>
  <si>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</si>
  <si>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</si>
  <si>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</si>
  <si>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</si>
  <si>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</si>
  <si>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</si>
  <si>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</si>
  <si>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</si>
  <si>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</si>
  <si>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</si>
  <si>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</si>
  <si>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</si>
  <si>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</si>
  <si>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</si>
  <si>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</si>
  <si>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</si>
  <si>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</si>
  <si>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</si>
  <si>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</si>
  <si>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</si>
  <si>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</si>
  <si>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</si>
  <si>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</si>
  <si>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</si>
  <si>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</si>
  <si>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</si>
  <si>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</si>
  <si>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</si>
  <si>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</si>
  <si>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</si>
  <si>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</si>
  <si>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</si>
  <si>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</si>
  <si>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</si>
  <si>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</si>
  <si>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</si>
  <si>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</si>
  <si>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</si>
  <si>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</si>
  <si>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</si>
  <si>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</si>
  <si>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</si>
  <si>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</si>
  <si>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</si>
  <si>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</si>
  <si>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</si>
  <si>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</si>
  <si>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</si>
  <si>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</si>
  <si>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</si>
  <si>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</si>
  <si>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</si>
  <si>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</si>
  <si>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</si>
  <si>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</si>
  <si>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</si>
  <si>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</si>
  <si>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</si>
  <si>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</si>
  <si>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</si>
  <si>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</si>
  <si>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</si>
  <si>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</si>
  <si>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</si>
  <si>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</si>
  <si>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</si>
  <si>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</si>
  <si>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</si>
  <si>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</si>
  <si>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</si>
  <si>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</si>
  <si>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</si>
  <si>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</si>
  <si>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</si>
  <si>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</si>
  <si>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</si>
  <si>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</si>
  <si>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</si>
  <si>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</si>
  <si>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</si>
  <si>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</si>
  <si>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</si>
  <si>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</si>
  <si>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</si>
  <si>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</si>
  <si>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</si>
  <si>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</si>
  <si>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</si>
  <si>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</si>
  <si>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</si>
  <si>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</si>
  <si>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</si>
  <si>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</si>
  <si>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</si>
  <si>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</si>
  <si>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</si>
  <si>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</si>
  <si>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</si>
  <si>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</si>
  <si>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</si>
  <si>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</si>
  <si>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</si>
  <si>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</si>
  <si>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</si>
  <si>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</si>
  <si>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</si>
  <si>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</si>
  <si>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</si>
  <si>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</si>
  <si>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</si>
  <si>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</si>
  <si>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</si>
  <si>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</si>
  <si>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</si>
  <si>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</si>
  <si>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</si>
  <si>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</si>
  <si>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</si>
  <si>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</si>
  <si>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</si>
  <si>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</si>
  <si>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</si>
  <si>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</si>
  <si>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</si>
  <si>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</si>
  <si>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</si>
  <si>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</si>
  <si>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</si>
  <si>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</si>
  <si>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</si>
  <si>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</si>
  <si>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</si>
  <si>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</si>
  <si>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</si>
  <si>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</si>
  <si>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</si>
  <si>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</si>
  <si>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</si>
  <si>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</si>
  <si>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</si>
  <si>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</si>
  <si>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</si>
  <si>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</si>
  <si>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</si>
  <si>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</si>
  <si>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</si>
  <si>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</si>
  <si>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</si>
  <si>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</si>
  <si>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</si>
  <si>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</si>
  <si>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</si>
  <si>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</si>
  <si>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</si>
  <si>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</si>
  <si>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</si>
  <si>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</si>
  <si>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</si>
  <si>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</si>
  <si>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</si>
  <si>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</si>
  <si>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</si>
  <si>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</si>
  <si>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</si>
  <si>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</si>
  <si>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</si>
  <si>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</si>
  <si>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</si>
  <si>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</si>
  <si>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</si>
  <si>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</si>
  <si>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</si>
  <si>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</si>
  <si>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</si>
  <si>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</si>
  <si>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</si>
  <si>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</si>
  <si>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</si>
  <si>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</si>
  <si>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</si>
  <si>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</si>
  <si>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</si>
  <si>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</si>
  <si>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</si>
  <si>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</si>
  <si>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</si>
  <si>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</si>
  <si>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</si>
  <si>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</si>
  <si>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</si>
  <si>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</si>
  <si>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</si>
  <si>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</si>
  <si>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</si>
  <si>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</si>
  <si>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</si>
  <si>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</si>
  <si>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</si>
  <si>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</si>
  <si>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</si>
  <si>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</si>
  <si>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</si>
  <si>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</si>
  <si>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</si>
  <si>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</si>
  <si>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</si>
  <si>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</si>
  <si>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</si>
  <si>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</si>
  <si>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</si>
  <si>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</si>
  <si>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</si>
  <si>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</si>
  <si>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</si>
  <si>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</si>
  <si>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</si>
  <si>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</si>
  <si>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</si>
  <si>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</si>
  <si>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</si>
  <si>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</si>
  <si>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</si>
  <si>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</si>
  <si>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</si>
  <si>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</si>
  <si>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</si>
  <si>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</si>
  <si>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</si>
  <si>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</si>
  <si>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</si>
  <si>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</si>
  <si>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</si>
  <si>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</si>
  <si>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</si>
  <si>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</si>
  <si>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</si>
  <si>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</si>
  <si>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</si>
  <si>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</si>
  <si>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</si>
  <si>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</si>
  <si>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</si>
  <si>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</si>
  <si>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</si>
  <si>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</si>
  <si>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</si>
  <si>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</si>
  <si>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</si>
  <si>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</si>
  <si>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</si>
  <si>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</si>
  <si>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</si>
  <si>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</si>
  <si>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</si>
  <si>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</si>
  <si>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</si>
  <si>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</si>
  <si>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</si>
  <si>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</si>
  <si>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</si>
  <si>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</si>
  <si>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</si>
  <si>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</si>
  <si>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</si>
  <si>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</si>
  <si>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</si>
  <si>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</si>
  <si>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</si>
  <si>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</si>
  <si>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</si>
  <si>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</si>
  <si>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</si>
  <si>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</si>
  <si>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</si>
  <si>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</si>
  <si>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</si>
  <si>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</si>
  <si>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</si>
  <si>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</si>
  <si>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</si>
  <si>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</si>
  <si>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</si>
  <si>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</si>
  <si>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</si>
  <si>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</si>
  <si>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</si>
  <si>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</si>
  <si>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</si>
  <si>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</si>
  <si>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</si>
  <si>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</si>
  <si>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</si>
  <si>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</si>
  <si>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</si>
  <si>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</si>
  <si>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</si>
  <si>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</si>
  <si>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</si>
  <si>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</si>
  <si>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</si>
  <si>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</si>
  <si>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</si>
  <si>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</si>
  <si>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</si>
  <si>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</si>
  <si>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</si>
  <si>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</si>
  <si>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</si>
  <si>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</si>
  <si>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</si>
  <si>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</si>
  <si>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</si>
  <si>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</si>
  <si>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</si>
  <si>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</si>
  <si>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</si>
  <si>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</si>
  <si>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</si>
  <si>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</si>
  <si>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</si>
  <si>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</si>
  <si>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</si>
  <si>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</si>
  <si>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</si>
  <si>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</si>
  <si>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</si>
  <si>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</si>
  <si>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</si>
  <si>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</si>
  <si>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</si>
  <si>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</si>
  <si>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</si>
  <si>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</si>
  <si>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</si>
  <si>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</si>
  <si>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</si>
  <si>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</si>
  <si>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</si>
  <si>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</si>
  <si>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</si>
  <si>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</si>
  <si>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</si>
  <si>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</si>
  <si>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</si>
  <si>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</si>
  <si>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</si>
  <si>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</si>
  <si>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</si>
  <si>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</si>
  <si>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</si>
  <si>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</si>
  <si>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</si>
  <si>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</si>
  <si>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</si>
  <si>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</si>
  <si>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</si>
  <si>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</si>
  <si>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</si>
  <si>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</si>
  <si>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</si>
  <si>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</si>
  <si>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</si>
  <si>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</si>
  <si>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</si>
  <si>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</si>
  <si>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</si>
  <si>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</si>
  <si>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</si>
  <si>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</si>
  <si>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</si>
  <si>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</si>
  <si>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</si>
  <si>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</si>
  <si>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</si>
  <si>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</si>
  <si>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</si>
  <si>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</si>
  <si>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</si>
  <si>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</si>
  <si>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</si>
  <si>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</si>
  <si>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</si>
  <si>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</si>
  <si>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</si>
  <si>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</si>
  <si>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</si>
  <si>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</si>
  <si>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</si>
  <si>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</si>
  <si>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</si>
  <si>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</si>
  <si>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</si>
  <si>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</si>
  <si>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</si>
  <si>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</si>
  <si>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</si>
  <si>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</si>
  <si>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</si>
  <si>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</si>
  <si>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</si>
  <si>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</si>
  <si>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</si>
  <si>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</si>
  <si>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</si>
  <si>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</si>
  <si>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</si>
  <si>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</si>
  <si>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</si>
  <si>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</si>
  <si>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</si>
  <si>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</si>
  <si>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</si>
  <si>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</si>
  <si>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</si>
  <si>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</si>
  <si>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</si>
  <si>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</si>
  <si>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</si>
  <si>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</si>
  <si>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</si>
  <si>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</si>
  <si>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</si>
  <si>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</si>
  <si>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</si>
  <si>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</si>
  <si>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</si>
  <si>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</si>
  <si>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</si>
  <si>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</si>
  <si>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</si>
  <si>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</si>
  <si>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</si>
  <si>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</si>
  <si>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</si>
  <si>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</si>
  <si>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</si>
  <si>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</si>
  <si>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</si>
  <si>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</si>
  <si>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</si>
  <si>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</si>
  <si>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</si>
  <si>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</si>
  <si>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</si>
  <si>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</si>
  <si>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</si>
  <si>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</si>
  <si>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</si>
  <si>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</si>
  <si>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</si>
  <si>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</si>
  <si>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</si>
  <si>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</si>
  <si>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</si>
  <si>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</si>
  <si>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</si>
  <si>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</si>
  <si>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</si>
  <si>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</si>
  <si>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</si>
  <si>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</si>
  <si>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</si>
  <si>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</si>
  <si>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</si>
  <si>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</si>
  <si>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</si>
  <si>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</si>
  <si>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</si>
  <si>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</si>
  <si>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</si>
  <si>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</si>
  <si>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</si>
  <si>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</si>
  <si>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</si>
  <si>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</si>
  <si>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</si>
  <si>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</si>
  <si>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</si>
  <si>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</si>
  <si>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</si>
  <si>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</si>
  <si>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</si>
  <si>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</si>
  <si>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</si>
  <si>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</si>
  <si>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</si>
  <si>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</si>
  <si>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</si>
  <si>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</si>
  <si>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</si>
  <si>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</si>
  <si>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</si>
  <si>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</si>
  <si>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</si>
  <si>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</si>
  <si>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</si>
  <si>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</si>
  <si>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</si>
  <si>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</si>
  <si>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</si>
  <si>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</si>
  <si>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</si>
  <si>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</si>
  <si>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</si>
  <si>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</si>
  <si>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</si>
  <si>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</si>
  <si>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</si>
  <si>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</si>
  <si>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</si>
  <si>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</si>
  <si>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</si>
  <si>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</si>
  <si>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</si>
  <si>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</si>
  <si>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</si>
  <si>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</si>
  <si>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</si>
  <si>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</si>
  <si>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</si>
  <si>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</si>
  <si>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</si>
  <si>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</si>
  <si>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</si>
  <si>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</si>
  <si>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</si>
  <si>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</si>
  <si>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</si>
  <si>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</si>
  <si>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</si>
  <si>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</si>
  <si>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</si>
  <si>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</si>
  <si>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</si>
  <si>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</si>
  <si>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</si>
  <si>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</si>
  <si>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</si>
  <si>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</si>
  <si>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</si>
  <si>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</si>
  <si>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</si>
  <si>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</si>
  <si>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</si>
  <si>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</si>
  <si>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</si>
  <si>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</si>
  <si>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</si>
  <si>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</si>
  <si>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</si>
  <si>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</si>
  <si>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</si>
  <si>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</si>
  <si>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</si>
  <si>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</si>
  <si>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</si>
  <si>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</si>
  <si>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</si>
  <si>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</si>
  <si>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</si>
  <si>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</si>
  <si>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</si>
  <si>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</si>
  <si>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</si>
  <si>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</si>
  <si>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</si>
  <si>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</si>
  <si>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</si>
  <si>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</si>
  <si>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</si>
  <si>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</si>
  <si>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</si>
  <si>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</si>
  <si>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</si>
  <si>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</si>
  <si>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</si>
  <si>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</si>
  <si>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</si>
  <si>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</si>
  <si>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</si>
  <si>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</si>
  <si>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</si>
  <si>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</si>
  <si>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</si>
  <si>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</si>
  <si>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</si>
  <si>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</si>
  <si>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</si>
  <si>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</si>
  <si>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</si>
  <si>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</si>
  <si>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</si>
  <si>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</si>
  <si>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</si>
  <si>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</si>
  <si>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</si>
  <si>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</si>
  <si>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</si>
  <si>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</si>
  <si>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</si>
  <si>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</si>
  <si>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</si>
  <si>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</si>
  <si>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</si>
  <si>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</si>
  <si>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</si>
  <si>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</si>
  <si>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</si>
  <si>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</si>
  <si>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</si>
  <si>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</si>
  <si>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</si>
  <si>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</si>
  <si>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</si>
  <si>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</si>
  <si>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</si>
  <si>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</si>
  <si>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</si>
  <si>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</si>
  <si>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</si>
  <si>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</si>
  <si>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</si>
  <si>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</si>
  <si>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</si>
  <si>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</si>
  <si>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</si>
  <si>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</si>
  <si>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</si>
  <si>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</si>
  <si>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</si>
  <si>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</si>
  <si>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</si>
  <si>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</si>
  <si>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</si>
  <si>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</si>
  <si>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</si>
  <si>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</si>
  <si>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</si>
  <si>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</si>
  <si>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</si>
  <si>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</si>
  <si>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</si>
  <si>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</si>
  <si>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</si>
  <si>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</si>
  <si>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</si>
  <si>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</si>
  <si>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</si>
  <si>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</si>
  <si>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</si>
  <si>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</si>
  <si>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</si>
  <si>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</si>
  <si>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</si>
  <si>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</si>
  <si>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</si>
  <si>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</si>
  <si>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</si>
  <si>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</si>
  <si>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</si>
  <si>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</si>
  <si>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</si>
  <si>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</si>
  <si>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</si>
  <si>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</si>
  <si>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</si>
  <si>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</si>
  <si>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</si>
  <si>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</si>
  <si>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</si>
  <si>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</si>
  <si>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</si>
  <si>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</si>
  <si>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</si>
  <si>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</si>
  <si>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</si>
  <si>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</si>
  <si>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</si>
  <si>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</si>
  <si>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</si>
  <si>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</si>
  <si>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</si>
  <si>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</si>
  <si>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</si>
  <si>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</si>
  <si>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</si>
  <si>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</si>
  <si>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</si>
  <si>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</si>
  <si>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</si>
  <si>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</si>
  <si>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</si>
  <si>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</si>
  <si>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</si>
  <si>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</si>
  <si>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</si>
  <si>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</si>
  <si>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</si>
  <si>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</si>
  <si>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</si>
  <si>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</si>
  <si>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</si>
  <si>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</si>
  <si>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</si>
  <si>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</si>
  <si>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</si>
  <si>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</si>
  <si>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</si>
  <si>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</si>
  <si>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</si>
  <si>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</si>
  <si>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</si>
  <si>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</si>
  <si>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</si>
  <si>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</si>
  <si>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</si>
  <si>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</si>
  <si>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</si>
  <si>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</si>
  <si>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</si>
  <si>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</si>
  <si>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</si>
  <si>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</si>
  <si>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</si>
  <si>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</si>
  <si>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</si>
  <si>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</si>
  <si>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</si>
  <si>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</si>
  <si>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</si>
  <si>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</si>
  <si>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</si>
  <si>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</si>
  <si>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</si>
  <si>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</si>
  <si>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</si>
  <si>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</si>
  <si>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</si>
  <si>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</si>
  <si>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</si>
  <si>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</si>
  <si>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</si>
  <si>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</si>
  <si>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</si>
  <si>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</si>
  <si>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</si>
  <si>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</si>
  <si>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</si>
  <si>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</si>
  <si>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</si>
  <si>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</si>
  <si>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</si>
  <si>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</si>
  <si>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</si>
  <si>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</si>
  <si>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</si>
  <si>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</si>
  <si>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</si>
  <si>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</si>
  <si>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</si>
  <si>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</si>
  <si>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</si>
  <si>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</si>
  <si>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</si>
  <si>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</si>
  <si>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</si>
  <si>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</si>
  <si>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</si>
  <si>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</si>
  <si>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</si>
  <si>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</si>
  <si>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</si>
  <si>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</si>
  <si>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</si>
  <si>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</si>
  <si>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</si>
  <si>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</si>
  <si>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</si>
  <si>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</si>
  <si>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</si>
  <si>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</si>
  <si>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</si>
  <si>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</si>
  <si>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</si>
  <si>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</si>
  <si>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</si>
  <si>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</si>
  <si>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</si>
  <si>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</si>
  <si>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</si>
  <si>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</si>
  <si>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</si>
  <si>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</si>
  <si>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</si>
  <si>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</si>
  <si>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</si>
  <si>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</si>
  <si>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</si>
  <si>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</si>
  <si>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</si>
  <si>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</si>
  <si>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</si>
  <si>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</si>
  <si>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</si>
  <si>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</si>
  <si>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</si>
  <si>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</si>
  <si>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</si>
  <si>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</si>
  <si>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</si>
  <si>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</si>
  <si>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</si>
  <si>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</si>
  <si>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</si>
  <si>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</si>
  <si>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</si>
  <si>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</si>
  <si>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</si>
  <si>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</si>
  <si>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</si>
  <si>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</si>
  <si>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</si>
  <si>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</si>
  <si>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</si>
  <si>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</si>
  <si>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</si>
  <si>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</si>
  <si>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</si>
  <si>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</si>
  <si>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</si>
  <si>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</si>
  <si>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</si>
  <si>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</si>
  <si>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</si>
  <si>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</si>
  <si>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</si>
  <si>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</si>
  <si>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</si>
  <si>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</si>
  <si>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</si>
  <si>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</si>
  <si>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</si>
  <si>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</si>
  <si>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</si>
  <si>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</si>
  <si>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</si>
  <si>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</si>
  <si>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</si>
  <si>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</si>
  <si>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</si>
  <si>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</si>
  <si>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</si>
  <si>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</si>
  <si>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</si>
  <si>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</si>
  <si>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</si>
  <si>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</si>
  <si>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</si>
  <si>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</si>
  <si>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</si>
  <si>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</si>
  <si>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</si>
  <si>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</si>
  <si>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</si>
  <si>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</si>
  <si>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</si>
  <si>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</si>
  <si>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</si>
  <si>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</si>
  <si>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</si>
  <si>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</si>
  <si>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</si>
  <si>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</si>
  <si>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</si>
  <si>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</si>
  <si>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</si>
  <si>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</si>
  <si>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</si>
  <si>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</si>
  <si>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</si>
  <si>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</si>
  <si>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</si>
  <si>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</si>
  <si>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</si>
  <si>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</si>
  <si>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</si>
  <si>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</si>
  <si>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</si>
  <si>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</si>
  <si>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</si>
  <si>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</si>
  <si>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</si>
  <si>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</si>
  <si>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</si>
  <si>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</si>
  <si>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</si>
  <si>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</si>
  <si>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</si>
  <si>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</si>
  <si>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</si>
  <si>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</si>
  <si>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</si>
  <si>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</si>
  <si>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</si>
  <si>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</si>
  <si>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</si>
  <si>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</si>
  <si>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</si>
  <si>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</si>
  <si>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</si>
  <si>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</si>
  <si>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</si>
  <si>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</si>
  <si>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</si>
  <si>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</si>
  <si>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</si>
  <si>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</si>
  <si>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</si>
  <si>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</si>
  <si>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</si>
  <si>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</si>
  <si>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</si>
  <si>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</si>
  <si>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</si>
  <si>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</si>
  <si>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</si>
  <si>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</si>
  <si>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</si>
  <si>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</si>
  <si>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</si>
  <si>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</si>
  <si>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</si>
  <si>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</si>
  <si>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</si>
  <si>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</si>
  <si>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</si>
  <si>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</si>
  <si>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</si>
  <si>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</si>
  <si>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</si>
  <si>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</si>
  <si>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</si>
  <si>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</si>
  <si>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</si>
  <si>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</si>
  <si>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</si>
  <si>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</si>
  <si>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</si>
  <si>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</si>
  <si>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</si>
  <si>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</si>
  <si>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</si>
  <si>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</si>
  <si>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</si>
  <si>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</si>
  <si>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</si>
  <si>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</si>
  <si>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</si>
  <si>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</si>
  <si>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</si>
  <si>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</si>
  <si>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</si>
  <si>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</si>
  <si>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</si>
  <si>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</si>
  <si>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</si>
  <si>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</si>
  <si>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</si>
  <si>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</si>
  <si>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</si>
  <si>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</si>
  <si>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</si>
  <si>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</si>
  <si>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</si>
  <si>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</si>
  <si>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</si>
  <si>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</si>
  <si>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</si>
  <si>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</si>
  <si>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</si>
  <si>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</si>
  <si>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</si>
  <si>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</si>
  <si>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</si>
  <si>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</si>
  <si>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</si>
  <si>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</si>
  <si>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</si>
  <si>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</si>
  <si>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</si>
  <si>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</si>
  <si>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</si>
  <si>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</si>
  <si>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</si>
  <si>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</si>
  <si>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</si>
  <si>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</si>
  <si>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</si>
  <si>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</si>
  <si>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</si>
  <si>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</si>
  <si>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</si>
  <si>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</si>
  <si>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</si>
  <si>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</si>
  <si>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</si>
  <si>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</si>
  <si>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</si>
  <si>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</si>
  <si>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</si>
  <si>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</si>
  <si>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</si>
  <si>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</si>
  <si>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</si>
  <si>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</si>
  <si>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</si>
  <si>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</si>
  <si>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</si>
  <si>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</si>
  <si>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</si>
  <si>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</si>
  <si>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</si>
  <si>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</si>
  <si>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</si>
  <si>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</si>
  <si>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</si>
  <si>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</si>
  <si>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</si>
  <si>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</si>
  <si>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</si>
  <si>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</si>
  <si>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</si>
  <si>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</si>
  <si>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</si>
  <si>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</si>
  <si>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</si>
  <si>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</si>
  <si>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</si>
  <si>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</si>
  <si>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</si>
  <si>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</si>
  <si>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</si>
  <si>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</si>
  <si>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</si>
  <si>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</si>
  <si>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</si>
  <si>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</si>
  <si>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</si>
  <si>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</si>
  <si>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</si>
  <si>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</si>
  <si>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</si>
  <si>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</si>
  <si>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</si>
  <si>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</si>
  <si>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</si>
  <si>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</si>
  <si>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</si>
  <si>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</si>
  <si>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</si>
  <si>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</si>
  <si>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</si>
  <si>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</si>
  <si>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</si>
  <si>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</si>
  <si>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</si>
  <si>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</si>
  <si>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</si>
  <si>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</si>
  <si>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</si>
  <si>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</si>
  <si>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</si>
  <si>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</si>
  <si>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</si>
  <si>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</si>
  <si>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</si>
  <si>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</si>
  <si>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</si>
  <si>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</si>
  <si>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</si>
  <si>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</si>
  <si>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</si>
  <si>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</si>
  <si>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</si>
  <si>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</si>
  <si>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</si>
  <si>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</si>
  <si>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</si>
  <si>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</si>
  <si>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</si>
  <si>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</si>
  <si>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</si>
  <si>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</si>
  <si>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</si>
  <si>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</si>
  <si>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</si>
  <si>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</si>
  <si>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</si>
  <si>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</si>
  <si>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</si>
  <si>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</si>
  <si>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</si>
  <si>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</si>
  <si>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</si>
  <si>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</si>
  <si>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</si>
  <si>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</si>
  <si>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</si>
  <si>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</si>
  <si>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</si>
  <si>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</si>
  <si>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</si>
  <si>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</si>
  <si>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</si>
  <si>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</si>
  <si>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</si>
  <si>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</si>
  <si>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</si>
  <si>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</si>
  <si>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</si>
  <si>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</si>
  <si>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</si>
  <si>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</si>
  <si>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</si>
  <si>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</si>
  <si>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</si>
  <si>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</si>
  <si>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</si>
  <si>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</si>
  <si>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</si>
  <si>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</si>
  <si>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</si>
  <si>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</si>
  <si>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</si>
  <si>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</si>
  <si>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</si>
  <si>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</si>
  <si>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</si>
  <si>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</si>
  <si>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</si>
  <si>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</si>
  <si>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</si>
  <si>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</si>
  <si>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</si>
  <si>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</si>
  <si>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</si>
  <si>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</si>
  <si>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</si>
  <si>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</si>
  <si>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</si>
  <si>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</si>
  <si>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</si>
  <si>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</si>
  <si>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</si>
  <si>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</si>
  <si>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</si>
  <si>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</si>
  <si>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</si>
  <si>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</si>
  <si>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</si>
  <si>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</si>
  <si>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</si>
  <si>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</si>
  <si>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</si>
  <si>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</si>
  <si>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</si>
  <si>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</si>
  <si>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</si>
  <si>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</si>
  <si>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</si>
  <si>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</si>
  <si>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</si>
  <si>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</si>
  <si>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</si>
  <si>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</si>
  <si>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</si>
  <si>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</si>
  <si>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</si>
  <si>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</si>
  <si>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</si>
  <si>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</si>
  <si>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</si>
  <si>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</si>
  <si>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</si>
  <si>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</si>
  <si>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</si>
  <si>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</si>
  <si>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</si>
  <si>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</si>
  <si>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</si>
  <si>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</si>
  <si>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</si>
  <si>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</si>
  <si>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</si>
  <si>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</si>
  <si>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</si>
  <si>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</si>
  <si>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</si>
  <si>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</si>
  <si>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</si>
  <si>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</si>
  <si>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</si>
  <si>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</si>
  <si>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</si>
  <si>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</si>
  <si>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</si>
  <si>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</si>
  <si>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</si>
  <si>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</si>
  <si>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</si>
  <si>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</si>
  <si>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</si>
  <si>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</si>
  <si>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</si>
  <si>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</si>
  <si>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</si>
  <si>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</si>
  <si>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</si>
  <si>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</si>
  <si>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</si>
  <si>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</si>
  <si>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</si>
  <si>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</si>
  <si>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</si>
  <si>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</si>
  <si>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</si>
  <si>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</si>
  <si>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</si>
  <si>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</si>
  <si>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</si>
  <si>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</si>
  <si>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</si>
  <si>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</si>
  <si>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</si>
  <si>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</si>
  <si>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</si>
  <si>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</si>
  <si>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</si>
  <si>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</si>
  <si>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</si>
  <si>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</si>
  <si>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</si>
  <si>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</si>
  <si>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</si>
  <si>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</si>
  <si>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</si>
  <si>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</si>
  <si>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</si>
  <si>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</si>
  <si>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</si>
  <si>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</si>
  <si>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</si>
  <si>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</si>
  <si>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</si>
  <si>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</si>
  <si>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</si>
  <si>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</si>
  <si>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</si>
  <si>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</si>
  <si>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</si>
  <si>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</si>
  <si>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</si>
  <si>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</si>
  <si>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</si>
  <si>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</si>
  <si>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</si>
  <si>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</si>
  <si>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</si>
  <si>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</si>
  <si>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</si>
  <si>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</si>
  <si>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</si>
  <si>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</si>
  <si>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</si>
  <si>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</si>
  <si>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</si>
  <si>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</si>
  <si>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</si>
  <si>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</si>
  <si>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</si>
  <si>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</si>
  <si>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</si>
  <si>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</si>
  <si>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</si>
  <si>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</si>
  <si>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</si>
  <si>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</si>
  <si>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</si>
  <si>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</si>
  <si>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</si>
  <si>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</si>
  <si>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</si>
  <si>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</si>
  <si>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</si>
  <si>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</si>
  <si>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</si>
  <si>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</si>
  <si>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</si>
  <si>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</si>
  <si>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</si>
  <si>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</si>
  <si>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</si>
  <si>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</si>
  <si>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</si>
  <si>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</si>
  <si>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</si>
  <si>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</si>
  <si>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</si>
  <si>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</si>
  <si>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</si>
  <si>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</si>
  <si>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</si>
  <si>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</si>
  <si>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</si>
  <si>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</si>
  <si>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</si>
  <si>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</si>
  <si>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</si>
  <si>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</si>
  <si>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</si>
  <si>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</si>
  <si>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</si>
  <si>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</si>
  <si>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</si>
  <si>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</si>
  <si>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</si>
  <si>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</si>
  <si>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</si>
  <si>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</si>
  <si>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</si>
  <si>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</si>
  <si>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</si>
  <si>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</si>
  <si>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</si>
  <si>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</si>
  <si>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</si>
  <si>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</si>
  <si>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</si>
  <si>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</si>
  <si>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</si>
  <si>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</si>
  <si>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</si>
  <si>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</si>
  <si>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</si>
  <si>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</si>
  <si>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</si>
  <si>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</si>
  <si>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</si>
  <si>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</si>
  <si>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</si>
  <si>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</si>
  <si>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</si>
  <si>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</si>
  <si>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</si>
  <si>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</si>
  <si>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</si>
  <si>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</si>
  <si>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</si>
  <si>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</si>
  <si>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</si>
  <si>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</si>
  <si>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</si>
  <si>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</si>
  <si>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</si>
  <si>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</si>
  <si>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</si>
  <si>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</si>
  <si>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</si>
  <si>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</si>
  <si>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</si>
  <si>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</si>
  <si>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</si>
  <si>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</si>
  <si>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</si>
  <si>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</si>
  <si>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</si>
  <si>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</si>
  <si>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</si>
  <si>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</si>
  <si>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</si>
  <si>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</si>
  <si>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</si>
  <si>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</si>
  <si>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</si>
  <si>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</si>
  <si>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</si>
  <si>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</si>
  <si>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</si>
  <si>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</si>
  <si>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</si>
  <si>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</si>
  <si>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</si>
  <si>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</si>
  <si>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</si>
  <si>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</si>
  <si>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</si>
  <si>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</si>
  <si>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</si>
  <si>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</si>
  <si>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</si>
  <si>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</si>
  <si>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</si>
  <si>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</si>
  <si>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</si>
  <si>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</si>
  <si>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</si>
  <si>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</si>
  <si>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</si>
  <si>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</si>
  <si>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</si>
  <si>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</si>
  <si>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</si>
  <si>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</si>
  <si>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</si>
  <si>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</si>
  <si>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</si>
  <si>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</si>
  <si>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</si>
  <si>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</si>
  <si>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</si>
  <si>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</si>
  <si>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</si>
  <si>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</si>
  <si>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</si>
  <si>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</si>
  <si>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</si>
  <si>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</si>
  <si>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</si>
  <si>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</si>
  <si>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</si>
  <si>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</si>
  <si>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</si>
  <si>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</si>
  <si>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</si>
  <si>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</si>
  <si>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</si>
  <si>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</si>
  <si>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</si>
  <si>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</si>
  <si>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</si>
  <si>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</si>
  <si>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</si>
  <si>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</si>
  <si>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</si>
  <si>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</si>
  <si>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</si>
  <si>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</si>
  <si>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</si>
  <si>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</si>
  <si>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</si>
  <si>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</si>
  <si>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</si>
  <si>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</si>
  <si>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</si>
  <si>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</si>
  <si>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</si>
  <si>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</si>
  <si>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</si>
  <si>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</si>
  <si>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</si>
  <si>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</si>
  <si>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</si>
  <si>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</si>
  <si>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</si>
  <si>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</si>
  <si>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</si>
  <si>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</si>
  <si>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</si>
  <si>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</si>
  <si>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</si>
  <si>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</si>
  <si>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</si>
  <si>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</si>
  <si>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</si>
  <si>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</si>
  <si>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</si>
  <si>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</si>
  <si>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</si>
  <si>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</si>
  <si>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</si>
  <si>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</si>
  <si>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</si>
  <si>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</si>
  <si>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</si>
  <si>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</si>
  <si>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</si>
  <si>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</si>
  <si>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</si>
  <si>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</si>
  <si>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</si>
  <si>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</si>
  <si>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</si>
  <si>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</si>
  <si>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</si>
  <si>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</si>
  <si>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</si>
  <si>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</si>
  <si>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</si>
  <si>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</si>
  <si>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</si>
  <si>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</si>
  <si>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</si>
  <si>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</si>
  <si>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</si>
  <si>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</si>
  <si>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</si>
  <si>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</si>
  <si>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</si>
  <si>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</si>
  <si>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</si>
  <si>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</si>
  <si>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</si>
  <si>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</si>
  <si>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</si>
  <si>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</si>
  <si>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</si>
  <si>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</si>
  <si>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</si>
  <si>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</si>
  <si>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</si>
  <si>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</si>
  <si>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</si>
  <si>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</si>
  <si>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</si>
  <si>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</si>
  <si>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</si>
  <si>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</si>
  <si>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</si>
  <si>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</si>
  <si>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</si>
  <si>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</si>
  <si>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</si>
  <si>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</si>
  <si>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</si>
  <si>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</si>
  <si>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</si>
  <si>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</si>
  <si>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</si>
  <si>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</si>
  <si>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</si>
  <si>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</si>
  <si>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</si>
  <si>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</si>
  <si>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</si>
  <si>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</si>
  <si>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</si>
  <si>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</si>
  <si>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</si>
  <si>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</si>
  <si>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</si>
  <si>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</si>
  <si>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</si>
  <si>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</si>
  <si>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</si>
  <si>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</si>
  <si>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</si>
  <si>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</si>
  <si>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</si>
  <si>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</si>
  <si>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</si>
  <si>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</si>
  <si>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</si>
  <si>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</si>
  <si>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</si>
  <si>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</si>
  <si>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</si>
  <si>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</si>
  <si>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</si>
  <si>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</si>
  <si>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</si>
  <si>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</si>
  <si>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</si>
  <si>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</si>
  <si>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</si>
  <si>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</si>
  <si>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</si>
  <si>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</si>
  <si>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</si>
  <si>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</si>
  <si>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</si>
  <si>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</si>
  <si>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</si>
  <si>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</si>
  <si>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</si>
  <si>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</si>
  <si>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</si>
  <si>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</si>
  <si>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</si>
  <si>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</si>
  <si>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</si>
  <si>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</si>
  <si>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</si>
  <si>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</si>
  <si>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</si>
  <si>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</si>
  <si>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</si>
  <si>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</si>
  <si>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</si>
  <si>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</si>
  <si>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</si>
  <si>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</si>
  <si>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</si>
  <si>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</si>
  <si>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</si>
  <si>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</si>
  <si>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</si>
  <si>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</si>
  <si>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</si>
  <si>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</si>
  <si>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</si>
  <si>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</si>
  <si>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</si>
  <si>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</si>
  <si>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</si>
  <si>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</si>
  <si>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</si>
  <si>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</si>
  <si>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</si>
  <si>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</si>
  <si>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</si>
  <si>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</si>
  <si>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</si>
  <si>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</si>
  <si>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</si>
  <si>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</si>
  <si>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</si>
  <si>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</si>
  <si>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</si>
  <si>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</si>
  <si>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</si>
  <si>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</si>
  <si>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</si>
  <si>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</si>
  <si>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</si>
  <si>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</si>
  <si>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</si>
  <si>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</si>
  <si>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</si>
  <si>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</si>
  <si>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</si>
  <si>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</si>
  <si>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</si>
  <si>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</si>
  <si>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</si>
  <si>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</si>
  <si>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</si>
  <si>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</si>
  <si>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</si>
  <si>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</si>
  <si>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</si>
  <si>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</si>
  <si>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</si>
  <si>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</si>
  <si>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</si>
  <si>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</si>
  <si>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</si>
  <si>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</si>
  <si>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</si>
  <si>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</si>
  <si>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</si>
  <si>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</si>
  <si>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</si>
  <si>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</si>
  <si>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</si>
  <si>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</si>
  <si>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</si>
  <si>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</si>
  <si>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</si>
  <si>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</si>
  <si>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</si>
  <si>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</si>
  <si>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</si>
  <si>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</si>
  <si>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</si>
  <si>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</si>
  <si>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</si>
  <si>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</si>
  <si>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</si>
  <si>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</si>
  <si>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</si>
  <si>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</si>
  <si>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</si>
  <si>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</si>
  <si>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</si>
  <si>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</si>
  <si>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</si>
  <si>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</si>
  <si>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</si>
  <si>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</si>
  <si>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</si>
  <si>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</si>
  <si>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</si>
  <si>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</si>
  <si>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</si>
  <si>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</si>
  <si>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</si>
  <si>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</si>
  <si>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</si>
  <si>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</si>
  <si>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</si>
  <si>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</si>
  <si>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</si>
  <si>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</si>
  <si>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</si>
  <si>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</si>
  <si>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</si>
  <si>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</si>
  <si>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</si>
  <si>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</si>
  <si>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</si>
  <si>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</si>
  <si>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</si>
  <si>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</si>
  <si>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</si>
  <si>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</si>
  <si>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</si>
  <si>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</si>
  <si>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</si>
  <si>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</si>
  <si>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</si>
  <si>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</si>
  <si>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</si>
  <si>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</si>
  <si>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</si>
  <si>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</si>
  <si>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</si>
  <si>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</si>
  <si>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</si>
  <si>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</si>
  <si>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</si>
  <si>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</si>
  <si>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</si>
  <si>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</si>
  <si>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</si>
  <si>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</si>
  <si>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</si>
  <si>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</si>
  <si>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</si>
  <si>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</si>
  <si>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</si>
  <si>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</si>
  <si>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</si>
  <si>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</si>
  <si>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</si>
  <si>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</si>
  <si>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</si>
  <si>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</si>
  <si>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</si>
  <si>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</si>
  <si>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</si>
  <si>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</si>
  <si>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</si>
  <si>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</si>
  <si>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</si>
  <si>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</si>
  <si>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</si>
  <si>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</si>
  <si>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</si>
  <si>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</si>
  <si>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</si>
  <si>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</si>
  <si>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</si>
  <si>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</si>
  <si>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</si>
  <si>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</si>
  <si>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</si>
  <si>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</si>
  <si>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</si>
  <si>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</si>
  <si>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</si>
  <si>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</si>
  <si>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</si>
  <si>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</si>
  <si>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</si>
  <si>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</si>
  <si>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</si>
  <si>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</si>
  <si>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</si>
  <si>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</si>
  <si>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</si>
  <si>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</si>
  <si>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</si>
  <si>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</si>
  <si>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</si>
  <si>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</si>
  <si>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</si>
  <si>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</si>
  <si>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</si>
  <si>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</si>
  <si>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</si>
  <si>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</si>
  <si>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</si>
  <si>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</si>
  <si>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</si>
  <si>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</si>
  <si>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</si>
  <si>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</si>
  <si>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</si>
  <si>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</si>
  <si>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</si>
  <si>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</si>
  <si>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</si>
  <si>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</si>
  <si>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</si>
  <si>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</si>
  <si>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</si>
  <si>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</si>
  <si>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</si>
  <si>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</si>
  <si>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</si>
  <si>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</si>
  <si>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</si>
  <si>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</si>
  <si>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</si>
  <si>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</si>
  <si>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</si>
  <si>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</si>
  <si>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</si>
  <si>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</si>
  <si>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</si>
  <si>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</si>
  <si>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</si>
  <si>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</si>
  <si>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</si>
  <si>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</si>
  <si>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</si>
  <si>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</si>
  <si>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</si>
  <si>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</si>
  <si>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</si>
  <si>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</si>
  <si>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</si>
  <si>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</si>
  <si>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</si>
  <si>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</si>
  <si>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</si>
  <si>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</si>
  <si>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</si>
  <si>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</si>
  <si>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</si>
  <si>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</si>
  <si>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</si>
  <si>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</si>
  <si>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</si>
  <si>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</si>
  <si>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</si>
  <si>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</si>
  <si>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</si>
  <si>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</si>
  <si>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</si>
  <si>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</si>
  <si>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</si>
  <si>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</si>
  <si>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</si>
  <si>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</si>
  <si>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</si>
  <si>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</si>
  <si>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</si>
  <si>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</si>
  <si>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</si>
  <si>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</si>
  <si>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</si>
  <si>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</si>
  <si>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</si>
  <si>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</si>
  <si>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</si>
  <si>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</si>
  <si>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</si>
  <si>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</si>
  <si>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</si>
  <si>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</si>
  <si>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</si>
  <si>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</si>
  <si>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</si>
  <si>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</si>
  <si>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</si>
  <si>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</si>
  <si>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</si>
  <si>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</si>
  <si>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</si>
  <si>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</si>
  <si>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</si>
  <si>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</si>
  <si>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</si>
  <si>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</si>
  <si>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</si>
  <si>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</si>
  <si>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</si>
  <si>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</si>
  <si>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</si>
  <si>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</si>
  <si>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</si>
  <si>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</si>
  <si>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</si>
  <si>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</si>
  <si>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</si>
  <si>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</si>
  <si>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</si>
  <si>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</si>
  <si>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</si>
  <si>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</si>
  <si>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</si>
  <si>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</si>
  <si>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</si>
  <si>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</si>
  <si>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</si>
  <si>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</si>
  <si>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</si>
  <si>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</si>
  <si>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</si>
  <si>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</si>
  <si>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</si>
  <si>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</si>
  <si>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</si>
  <si>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</si>
  <si>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</si>
  <si>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</si>
  <si>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</si>
  <si>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</si>
  <si>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</si>
  <si>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</si>
  <si>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</si>
  <si>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</si>
  <si>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</si>
  <si>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</si>
  <si>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</si>
  <si>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</si>
  <si>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</si>
  <si>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</si>
  <si>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</si>
  <si>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</si>
  <si>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</si>
  <si>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</si>
  <si>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</si>
  <si>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</si>
  <si>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</si>
  <si>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</si>
  <si>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</si>
  <si>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</si>
  <si>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</si>
  <si>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</si>
  <si>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</si>
  <si>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</si>
  <si>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</si>
  <si>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</si>
  <si>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</si>
  <si>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</si>
  <si>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</si>
  <si>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</si>
  <si>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</si>
  <si>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</si>
  <si>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</si>
  <si>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</si>
  <si>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</si>
  <si>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</si>
  <si>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</si>
  <si>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</si>
  <si>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</si>
  <si>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</si>
  <si>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</si>
  <si>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</si>
  <si>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</si>
  <si>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</si>
  <si>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</si>
  <si>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</si>
  <si>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</si>
  <si>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</si>
  <si>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</si>
  <si>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</si>
  <si>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</si>
  <si>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</si>
  <si>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</si>
  <si>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</si>
  <si>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</si>
  <si>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</si>
  <si>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</si>
  <si>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</si>
  <si>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</si>
  <si>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</si>
  <si>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</si>
  <si>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</si>
  <si>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</si>
  <si>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</si>
  <si>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</si>
  <si>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</si>
  <si>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</si>
  <si>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</si>
  <si>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</si>
  <si>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</si>
  <si>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</si>
  <si>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</si>
  <si>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</si>
  <si>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</si>
  <si>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</si>
  <si>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</si>
  <si>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</si>
  <si>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</si>
  <si>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</si>
  <si>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</si>
  <si>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</si>
  <si>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</si>
  <si>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</si>
  <si>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</si>
  <si>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</si>
  <si>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</si>
  <si>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</si>
  <si>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</si>
  <si>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</si>
  <si>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</si>
  <si>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</si>
  <si>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</si>
  <si>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</si>
  <si>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</si>
  <si>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</si>
  <si>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</si>
  <si>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</si>
  <si>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</si>
  <si>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</si>
  <si>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</si>
  <si>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</si>
  <si>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</si>
  <si>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</si>
  <si>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</si>
  <si>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</si>
  <si>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</si>
  <si>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</si>
  <si>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</si>
  <si>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</si>
  <si>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</si>
  <si>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</si>
  <si>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</si>
  <si>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</si>
  <si>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</si>
  <si>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</si>
  <si>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</si>
  <si>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</si>
  <si>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</si>
  <si>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</si>
  <si>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</si>
  <si>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</si>
  <si>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</si>
  <si>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</si>
  <si>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</si>
  <si>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</si>
  <si>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</si>
  <si>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</si>
  <si>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</si>
  <si>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</si>
  <si>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</si>
  <si>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</si>
  <si>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</si>
  <si>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</si>
  <si>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</si>
  <si>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</si>
  <si>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</si>
  <si>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</si>
  <si>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</si>
  <si>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</si>
  <si>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</si>
  <si>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</si>
  <si>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</si>
  <si>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</si>
  <si>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</si>
  <si>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</si>
  <si>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</si>
  <si>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</si>
  <si>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</si>
  <si>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</si>
  <si>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</si>
  <si>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</si>
  <si>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</si>
  <si>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</si>
  <si>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</si>
  <si>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</si>
  <si>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</si>
  <si>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</si>
  <si>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</si>
  <si>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</si>
  <si>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</si>
  <si>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</si>
  <si>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</si>
  <si>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</si>
  <si>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</si>
  <si>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</si>
  <si>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</si>
  <si>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</si>
  <si>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</si>
  <si>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</si>
  <si>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</si>
  <si>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</si>
  <si>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</si>
  <si>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</si>
  <si>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</si>
  <si>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</si>
  <si>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</si>
  <si>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</si>
  <si>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</si>
  <si>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</si>
  <si>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</si>
  <si>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</si>
  <si>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</si>
  <si>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</si>
  <si>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</si>
  <si>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</si>
  <si>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</si>
  <si>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</si>
  <si>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</si>
  <si>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</si>
  <si>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</si>
  <si>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</si>
  <si>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</si>
  <si>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</si>
  <si>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</si>
  <si>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</si>
  <si>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</si>
  <si>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</si>
  <si>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</si>
  <si>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</si>
  <si>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</si>
  <si>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</si>
  <si>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</si>
  <si>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</si>
  <si>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</si>
  <si>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</si>
  <si>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</si>
  <si>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</si>
  <si>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</si>
  <si>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</si>
  <si>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</si>
  <si>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</si>
  <si>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</si>
  <si>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</si>
  <si>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</si>
  <si>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</si>
  <si>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</si>
  <si>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</si>
  <si>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</si>
  <si>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</si>
  <si>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</si>
  <si>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</si>
  <si>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</si>
  <si>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</si>
  <si>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</si>
  <si>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</si>
  <si>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</si>
  <si>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</si>
  <si>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</si>
  <si>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</si>
  <si>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</si>
  <si>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</si>
  <si>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</si>
  <si>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</si>
  <si>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</si>
  <si>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</si>
  <si>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</si>
  <si>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</si>
  <si>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</si>
  <si>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</si>
  <si>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</si>
  <si>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</si>
  <si>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</si>
  <si>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</si>
  <si>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</si>
  <si>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</si>
  <si>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</si>
  <si>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</si>
  <si>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</si>
  <si>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</si>
  <si>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</si>
  <si>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</si>
  <si>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</si>
  <si>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</si>
  <si>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</si>
  <si>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</si>
  <si>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</si>
  <si>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</si>
  <si>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</si>
  <si>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</si>
  <si>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</si>
  <si>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</si>
  <si>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</si>
  <si>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</si>
  <si>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</si>
  <si>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</si>
  <si>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</si>
  <si>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</si>
  <si>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</si>
  <si>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</si>
  <si>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</si>
  <si>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</si>
  <si>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</si>
  <si>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</si>
  <si>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</si>
  <si>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</si>
  <si>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</si>
  <si>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</si>
  <si>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</si>
  <si>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</si>
  <si>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</si>
  <si>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</si>
  <si>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</si>
  <si>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</si>
  <si>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</si>
  <si>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</si>
  <si>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</si>
  <si>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</si>
  <si>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</si>
  <si>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</si>
  <si>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</si>
  <si>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</si>
  <si>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</si>
  <si>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</si>
  <si>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</si>
  <si>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</si>
  <si>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</si>
  <si>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</si>
  <si>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</si>
  <si>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</si>
  <si>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</si>
  <si>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</si>
  <si>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</si>
  <si>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</si>
  <si>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</si>
  <si>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</si>
  <si>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</si>
  <si>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</si>
  <si>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</si>
  <si>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</si>
  <si>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</si>
  <si>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</si>
  <si>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</si>
  <si>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</si>
  <si>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</si>
  <si>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</si>
  <si>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</si>
  <si>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</si>
  <si>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</si>
  <si>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</si>
  <si>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</si>
  <si>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</si>
  <si>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</si>
  <si>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</si>
  <si>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</si>
  <si>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</si>
  <si>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</si>
  <si>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</si>
  <si>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</si>
  <si>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</si>
  <si>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</si>
  <si>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</si>
  <si>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</si>
  <si>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</si>
  <si>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</si>
  <si>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</si>
  <si>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</si>
  <si>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</si>
  <si>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</si>
  <si>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</si>
  <si>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</si>
  <si>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</si>
  <si>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</si>
  <si>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</si>
  <si>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</si>
  <si>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</si>
  <si>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</si>
  <si>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</si>
  <si>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</si>
  <si>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</si>
  <si>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</si>
  <si>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</si>
  <si>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</si>
  <si>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</si>
  <si>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</si>
  <si>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</si>
  <si>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</si>
  <si>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</si>
  <si>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</si>
  <si>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</si>
  <si>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</si>
  <si>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</si>
  <si>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</si>
  <si>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</si>
  <si>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</si>
  <si>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</si>
  <si>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</si>
  <si>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</si>
  <si>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</si>
  <si>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</si>
  <si>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</si>
  <si>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</si>
  <si>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</si>
  <si>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</si>
  <si>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</si>
  <si>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</si>
  <si>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</si>
  <si>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</si>
  <si>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</si>
  <si>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</si>
  <si>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</si>
  <si>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</si>
  <si>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</si>
  <si>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</si>
  <si>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</si>
  <si>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</si>
  <si>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</si>
  <si>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</si>
  <si>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</si>
  <si>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</si>
  <si>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</si>
  <si>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</si>
  <si>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</si>
  <si>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</si>
  <si>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</si>
  <si>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</si>
  <si>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</si>
  <si>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</si>
  <si>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</si>
  <si>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</si>
  <si>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</si>
  <si>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</si>
  <si>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</si>
  <si>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</si>
  <si>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</si>
  <si>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</si>
  <si>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</si>
  <si>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</si>
  <si>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</si>
  <si>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</si>
  <si>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</si>
  <si>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</si>
  <si>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</si>
  <si>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</si>
  <si>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</si>
  <si>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</si>
  <si>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</si>
  <si>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</si>
  <si>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</si>
  <si>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</si>
  <si>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</si>
  <si>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</si>
  <si>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</si>
  <si>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</si>
  <si>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</si>
  <si>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</si>
  <si>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</si>
  <si>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</si>
  <si>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</si>
  <si>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</si>
  <si>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</si>
  <si>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</si>
  <si>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</si>
  <si>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</si>
  <si>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</si>
  <si>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</si>
  <si>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</si>
  <si>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</si>
  <si>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</si>
  <si>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</si>
  <si>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</si>
  <si>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</si>
  <si>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</si>
  <si>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</si>
  <si>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</si>
  <si>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</si>
  <si>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</si>
  <si>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</si>
  <si>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</si>
  <si>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</si>
  <si>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</si>
  <si>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</si>
  <si>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</si>
  <si>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</si>
  <si>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</si>
  <si>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</si>
  <si>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</si>
  <si>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</si>
  <si>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</si>
  <si>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</si>
  <si>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</si>
  <si>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</si>
  <si>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</si>
  <si>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</si>
  <si>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</si>
  <si>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</si>
  <si>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</si>
  <si>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</si>
  <si>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</si>
  <si>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</si>
  <si>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</si>
  <si>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</si>
  <si>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</si>
  <si>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</si>
  <si>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</si>
  <si>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</si>
  <si>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</si>
  <si>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</si>
  <si>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</si>
  <si>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</si>
  <si>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</si>
  <si>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</si>
  <si>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</si>
  <si>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</si>
  <si>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</si>
  <si>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</si>
  <si>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</si>
  <si>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</si>
  <si>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</si>
  <si>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</si>
  <si>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</si>
  <si>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</si>
  <si>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</si>
  <si>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</si>
  <si>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</si>
  <si>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</si>
  <si>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</si>
  <si>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</si>
  <si>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</si>
  <si>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</si>
  <si>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</si>
  <si>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</si>
  <si>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</si>
  <si>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</si>
  <si>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</si>
  <si>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</si>
  <si>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</si>
  <si>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</si>
  <si>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</si>
  <si>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</si>
  <si>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</si>
  <si>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</si>
  <si>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</si>
  <si>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</si>
  <si>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</si>
  <si>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</si>
  <si>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</si>
  <si>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</si>
  <si>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</si>
  <si>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</si>
  <si>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</si>
  <si>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</si>
  <si>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</si>
  <si>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</si>
  <si>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</si>
  <si>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</si>
  <si>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</si>
  <si>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</si>
  <si>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</si>
  <si>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</si>
  <si>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</si>
  <si>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</si>
  <si>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</si>
  <si>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</si>
  <si>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</si>
  <si>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</si>
  <si>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</si>
  <si>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</si>
  <si>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</si>
  <si>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</si>
  <si>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</si>
  <si>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</si>
  <si>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</si>
  <si>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</si>
  <si>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</si>
  <si>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</si>
  <si>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</si>
  <si>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</si>
  <si>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</si>
  <si>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</si>
  <si>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</si>
  <si>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</si>
  <si>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</si>
  <si>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</si>
  <si>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</si>
  <si>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</si>
  <si>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</si>
  <si>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</si>
  <si>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</si>
  <si>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</si>
  <si>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</si>
  <si>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</si>
  <si>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</si>
  <si>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</si>
  <si>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</si>
  <si>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</si>
  <si>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</si>
  <si>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</si>
  <si>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</si>
  <si>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</si>
  <si>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</si>
  <si>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</si>
  <si>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</si>
  <si>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</si>
  <si>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</si>
  <si>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</si>
  <si>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</si>
  <si>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</si>
  <si>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</si>
  <si>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</si>
  <si>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</si>
  <si>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</si>
  <si>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</si>
  <si>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</si>
  <si>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</si>
  <si>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</si>
  <si>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</si>
  <si>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</si>
  <si>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</si>
  <si>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</si>
  <si>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</si>
  <si>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</si>
  <si>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</si>
  <si>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</si>
  <si>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</si>
  <si>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</si>
  <si>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</si>
  <si>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</si>
  <si>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</si>
  <si>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</si>
  <si>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</si>
  <si>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</si>
  <si>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</si>
  <si>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</si>
  <si>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</si>
  <si>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</si>
  <si>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</si>
  <si>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</si>
  <si>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</si>
  <si>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</si>
  <si>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</si>
  <si>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</si>
  <si>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</si>
  <si>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</si>
  <si>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</si>
  <si>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</si>
  <si>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</si>
  <si>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</si>
  <si>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</si>
  <si>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</si>
  <si>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</si>
  <si>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</si>
  <si>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</si>
  <si>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</si>
  <si>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</si>
  <si>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</si>
  <si>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</si>
  <si>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</si>
  <si>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</si>
  <si>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</si>
  <si>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</si>
  <si>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</si>
  <si>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</si>
  <si>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</si>
  <si>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</si>
  <si>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</si>
  <si>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</si>
  <si>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</si>
  <si>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</si>
  <si>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</si>
  <si>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</si>
  <si>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</si>
  <si>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</si>
  <si>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</si>
  <si>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</si>
  <si>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</si>
  <si>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</si>
  <si>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</si>
  <si>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</si>
  <si>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</si>
  <si>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</si>
  <si>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</si>
  <si>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</si>
  <si>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</si>
  <si>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</si>
  <si>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</si>
  <si>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</si>
  <si>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</si>
  <si>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</si>
  <si>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</si>
  <si>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</si>
  <si>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</si>
  <si>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</si>
  <si>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</si>
  <si>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</si>
  <si>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</si>
  <si>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</si>
  <si>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</si>
  <si>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</si>
  <si>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</si>
  <si>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</si>
  <si>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</si>
  <si>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</si>
  <si>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</si>
  <si>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</si>
  <si>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</si>
  <si>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</si>
  <si>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</si>
  <si>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</si>
  <si>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</si>
  <si>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</si>
  <si>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</si>
  <si>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</si>
  <si>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</si>
  <si>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</si>
  <si>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</si>
  <si>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</si>
  <si>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</si>
  <si>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</si>
  <si>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</si>
  <si>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</si>
  <si>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</si>
  <si>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</si>
  <si>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</si>
  <si>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</si>
  <si>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</si>
  <si>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</si>
  <si>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</si>
  <si>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</si>
  <si>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</si>
  <si>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</si>
  <si>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</si>
  <si>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</si>
  <si>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</si>
  <si>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</si>
  <si>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</si>
  <si>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</si>
  <si>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</si>
  <si>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</si>
  <si>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</si>
  <si>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</si>
  <si>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</si>
  <si>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</si>
  <si>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</si>
  <si>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</si>
  <si>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</si>
  <si>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</si>
  <si>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</si>
  <si>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</si>
  <si>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</si>
  <si>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</si>
  <si>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</si>
  <si>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</si>
  <si>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</si>
  <si>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</si>
  <si>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</si>
  <si>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</si>
  <si>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</si>
  <si>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</si>
  <si>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</si>
  <si>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</si>
  <si>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</si>
  <si>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</si>
  <si>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</si>
  <si>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</si>
  <si>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</si>
  <si>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</si>
  <si>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</si>
  <si>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</si>
  <si>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</si>
  <si>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</si>
  <si>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</si>
  <si>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</si>
  <si>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</si>
  <si>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</si>
  <si>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</si>
  <si>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</si>
  <si>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</si>
  <si>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</si>
  <si>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</si>
  <si>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</si>
  <si>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</si>
  <si>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</si>
  <si>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</si>
  <si>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</si>
  <si>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</si>
  <si>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</si>
  <si>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</si>
  <si>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</si>
  <si>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</si>
  <si>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</si>
  <si>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</si>
  <si>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</si>
  <si>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</si>
  <si>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</si>
  <si>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</si>
  <si>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</si>
  <si>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</si>
  <si>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</si>
  <si>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</si>
  <si>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</si>
  <si>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</si>
  <si>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</si>
  <si>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</si>
  <si>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</si>
  <si>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</si>
  <si>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</si>
  <si>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</si>
  <si>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</si>
  <si>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</si>
  <si>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</si>
  <si>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</si>
  <si>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</si>
  <si>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</si>
  <si>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</si>
  <si>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</si>
  <si>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</si>
  <si>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</si>
  <si>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</si>
  <si>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</si>
  <si>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</si>
  <si>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</si>
  <si>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</si>
  <si>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</si>
  <si>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</si>
  <si>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</si>
  <si>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王鹏</t>
  </si>
  <si>
    <t>郑燚</t>
  </si>
  <si>
    <t>兴业银行</t>
    <phoneticPr fontId="6" type="noConversion"/>
  </si>
  <si>
    <t>抵押</t>
  </si>
  <si>
    <t>房地产抵押价值</t>
  </si>
  <si>
    <t>北京市</t>
  </si>
  <si>
    <t>企业</t>
  </si>
  <si>
    <t>出让</t>
  </si>
  <si>
    <t>是</t>
  </si>
  <si>
    <t>办公项目</t>
  </si>
  <si>
    <t>无</t>
  </si>
  <si>
    <t>否</t>
  </si>
  <si>
    <t>现房</t>
  </si>
  <si>
    <t>通路</t>
  </si>
  <si>
    <t>通电</t>
  </si>
  <si>
    <t>通上水</t>
  </si>
  <si>
    <t>通下水</t>
  </si>
  <si>
    <t>通讯</t>
  </si>
  <si>
    <t>通热</t>
  </si>
  <si>
    <t>地上</t>
  </si>
  <si>
    <t>底商</t>
  </si>
  <si>
    <t>成新度</t>
  </si>
  <si>
    <t>收益法</t>
  </si>
  <si>
    <t xml:space="preserve">请录依据文件名称：顺义区人民政府关于取消市政公用设施建 </t>
    <phoneticPr fontId="3" type="noConversion"/>
  </si>
  <si>
    <t>比较法-办公</t>
  </si>
  <si>
    <t>售价</t>
  </si>
  <si>
    <t>办公</t>
    <phoneticPr fontId="32" type="noConversion"/>
  </si>
  <si>
    <t>30-40（含）</t>
  </si>
  <si>
    <t>一般</t>
  </si>
  <si>
    <t>较好</t>
  </si>
  <si>
    <t>七通</t>
  </si>
  <si>
    <t>是否含地下室</t>
  </si>
  <si>
    <t>是否含地下室</t>
    <phoneticPr fontId="32" type="noConversion"/>
  </si>
  <si>
    <t>住宅底商</t>
  </si>
  <si>
    <t>钢混</t>
  </si>
  <si>
    <t>普通装修</t>
  </si>
  <si>
    <t>甲级</t>
  </si>
  <si>
    <t>普通</t>
  </si>
  <si>
    <t>六通</t>
  </si>
  <si>
    <t>标准层高</t>
  </si>
  <si>
    <t>精装修</t>
  </si>
  <si>
    <t>小天竺路</t>
  </si>
  <si>
    <t>支路</t>
  </si>
  <si>
    <t>1层</t>
  </si>
  <si>
    <t>单面临街</t>
  </si>
  <si>
    <t>否</t>
    <phoneticPr fontId="32" type="noConversion"/>
  </si>
  <si>
    <t>毛坯</t>
  </si>
  <si>
    <t>毛坯</t>
    <phoneticPr fontId="32" type="noConversion"/>
  </si>
  <si>
    <t>正常</t>
  </si>
  <si>
    <t>商业</t>
    <phoneticPr fontId="32" type="noConversion"/>
  </si>
  <si>
    <t>非生产用房</t>
  </si>
  <si>
    <t>自定义</t>
  </si>
  <si>
    <t>好</t>
  </si>
  <si>
    <t>较差</t>
  </si>
  <si>
    <t>差</t>
  </si>
  <si>
    <t>大</t>
    <phoneticPr fontId="32" type="noConversion"/>
  </si>
  <si>
    <t>较大</t>
    <phoneticPr fontId="32" type="noConversion"/>
  </si>
  <si>
    <t>较小</t>
    <phoneticPr fontId="32" type="noConversion"/>
  </si>
  <si>
    <t>小</t>
    <phoneticPr fontId="32" type="noConversion"/>
  </si>
  <si>
    <t>多面临街</t>
  </si>
  <si>
    <t>多面临街</t>
    <phoneticPr fontId="32" type="noConversion"/>
  </si>
  <si>
    <t>双面临街</t>
  </si>
  <si>
    <t>双面临街</t>
    <phoneticPr fontId="32" type="noConversion"/>
  </si>
  <si>
    <t>单面临街</t>
    <phoneticPr fontId="32" type="noConversion"/>
  </si>
  <si>
    <t>不临街</t>
  </si>
  <si>
    <t>不临街</t>
    <phoneticPr fontId="32" type="noConversion"/>
  </si>
  <si>
    <t>商业街商铺</t>
    <phoneticPr fontId="32" type="noConversion"/>
  </si>
  <si>
    <t>住宅底商</t>
    <phoneticPr fontId="32" type="noConversion"/>
  </si>
  <si>
    <t>钢混</t>
    <phoneticPr fontId="32" type="noConversion"/>
  </si>
  <si>
    <t>砖混</t>
    <phoneticPr fontId="32" type="noConversion"/>
  </si>
  <si>
    <t>精装修</t>
    <phoneticPr fontId="32" type="noConversion"/>
  </si>
  <si>
    <t>普通装修</t>
    <phoneticPr fontId="32" type="noConversion"/>
  </si>
  <si>
    <t>简单装修</t>
  </si>
  <si>
    <t>简单装修</t>
    <phoneticPr fontId="32" type="noConversion"/>
  </si>
  <si>
    <t>专业</t>
    <phoneticPr fontId="32" type="noConversion"/>
  </si>
  <si>
    <t>普通</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</si>
  <si>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</si>
  <si>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</si>
  <si>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</si>
  <si>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</si>
  <si>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</si>
  <si>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超高层高</t>
    <phoneticPr fontId="32" type="noConversion"/>
  </si>
  <si>
    <t>标准层高</t>
    <phoneticPr fontId="32" type="noConversion"/>
  </si>
  <si>
    <t>是</t>
    <phoneticPr fontId="32" type="noConversion"/>
  </si>
  <si>
    <t>高速路</t>
  </si>
  <si>
    <t>快速路</t>
  </si>
  <si>
    <t>主干道</t>
  </si>
  <si>
    <t>次干道</t>
  </si>
  <si>
    <t>2层</t>
  </si>
  <si>
    <t>3层</t>
  </si>
  <si>
    <t>收益比率</t>
  </si>
  <si>
    <t>情况4</t>
  </si>
  <si>
    <t>转让取得</t>
  </si>
  <si>
    <t>个人非住宅</t>
  </si>
  <si>
    <t>内部装修</t>
  </si>
  <si>
    <t>层高</t>
  </si>
  <si>
    <t>临街状况</t>
  </si>
  <si>
    <t>简装</t>
  </si>
  <si>
    <t>挑高</t>
  </si>
  <si>
    <t>商业繁华度</t>
    <phoneticPr fontId="32" type="noConversion"/>
  </si>
  <si>
    <t>一般</t>
    <phoneticPr fontId="32" type="noConversion"/>
  </si>
  <si>
    <t>临街状况</t>
    <phoneticPr fontId="32" type="noConversion"/>
  </si>
  <si>
    <t>单面临街</t>
    <phoneticPr fontId="32" type="noConversion"/>
  </si>
  <si>
    <t>人流量</t>
    <phoneticPr fontId="32" type="noConversion"/>
  </si>
  <si>
    <t>砖混</t>
  </si>
  <si>
    <t>项目全部</t>
  </si>
  <si>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</si>
  <si>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总价</t>
    <phoneticPr fontId="8" type="noConversion"/>
  </si>
  <si>
    <t>单价</t>
    <phoneticPr fontId="8" type="noConversion"/>
  </si>
  <si>
    <t>评估价值</t>
    <phoneticPr fontId="8" type="noConversion"/>
  </si>
  <si>
    <t>净值</t>
    <phoneticPr fontId="8" type="noConversion"/>
  </si>
  <si>
    <t>税费</t>
    <phoneticPr fontId="8" type="noConversion"/>
  </si>
  <si>
    <t>基本信息</t>
  </si>
  <si>
    <t>土地面积</t>
  </si>
  <si>
    <t>建筑面积</t>
  </si>
  <si>
    <t>容积率（级别平均）</t>
    <phoneticPr fontId="3" type="noConversion"/>
  </si>
  <si>
    <t>土地用途</t>
  </si>
  <si>
    <t>办公</t>
    <phoneticPr fontId="3" type="noConversion"/>
  </si>
  <si>
    <t>基准地价级别</t>
    <phoneticPr fontId="3" type="noConversion"/>
  </si>
  <si>
    <t>综合七级</t>
    <phoneticPr fontId="3" type="noConversion"/>
  </si>
  <si>
    <t>基准地价
（楼面熟地单价）</t>
    <phoneticPr fontId="3" type="noConversion"/>
  </si>
  <si>
    <t>（元/平方米）</t>
    <phoneticPr fontId="3" type="noConversion"/>
  </si>
  <si>
    <t>期日修正系数</t>
    <phoneticPr fontId="3" type="noConversion"/>
  </si>
  <si>
    <t>年期修正系数</t>
  </si>
  <si>
    <t>土地还原利率</t>
    <phoneticPr fontId="3" type="noConversion"/>
  </si>
  <si>
    <t>法定最高使用年限（年）</t>
    <phoneticPr fontId="3" type="noConversion"/>
  </si>
  <si>
    <t>宗地剩余使用年限（年）</t>
    <phoneticPr fontId="3" type="noConversion"/>
  </si>
  <si>
    <t>容积率修正系数</t>
    <phoneticPr fontId="3" type="noConversion"/>
  </si>
  <si>
    <t>宗地容积率R</t>
    <phoneticPr fontId="3" type="noConversion"/>
  </si>
  <si>
    <r>
      <t>R1</t>
    </r>
    <r>
      <rPr>
        <sz val="10"/>
        <rFont val="宋体"/>
        <family val="3"/>
        <charset val="134"/>
      </rPr>
      <t/>
    </r>
    <phoneticPr fontId="3" type="noConversion"/>
  </si>
  <si>
    <t>R2</t>
    <phoneticPr fontId="3" type="noConversion"/>
  </si>
  <si>
    <t>R1＜R&lt;R2</t>
    <phoneticPr fontId="3" type="noConversion"/>
  </si>
  <si>
    <t>x1</t>
    <phoneticPr fontId="3" type="noConversion"/>
  </si>
  <si>
    <t>x2</t>
    <phoneticPr fontId="3" type="noConversion"/>
  </si>
  <si>
    <t>因素修正系数</t>
    <phoneticPr fontId="3" type="noConversion"/>
  </si>
  <si>
    <t>办公集聚程度</t>
    <phoneticPr fontId="3" type="noConversion"/>
  </si>
  <si>
    <t>交通便捷度</t>
    <phoneticPr fontId="3" type="noConversion"/>
  </si>
  <si>
    <t>区域土地利用方向</t>
    <phoneticPr fontId="3" type="noConversion"/>
  </si>
  <si>
    <t>临路状况</t>
    <phoneticPr fontId="3" type="noConversion"/>
  </si>
  <si>
    <t>宗地形状和可利用程度</t>
    <phoneticPr fontId="3" type="noConversion"/>
  </si>
  <si>
    <t>公共服务设施和基础设施状况</t>
    <phoneticPr fontId="3" type="noConversion"/>
  </si>
  <si>
    <t>临街宽度和深度</t>
    <phoneticPr fontId="3" type="noConversion"/>
  </si>
  <si>
    <t>——</t>
    <phoneticPr fontId="3" type="noConversion"/>
  </si>
  <si>
    <t>楼面熟地单价=适用的基准地价（楼面熟地价）×期日修正系数×年期修正系数×容积率修正系数×因素修正系数</t>
    <phoneticPr fontId="3" type="noConversion"/>
  </si>
  <si>
    <t>出让金水平（通过市国土局审定出让案例水平运用市场比较法确定）</t>
    <phoneticPr fontId="3" type="noConversion"/>
  </si>
  <si>
    <t>前期开发成本单价=楼面熟地单价－出让金水平</t>
  </si>
  <si>
    <t>房屋重置成新价测算过程</t>
  </si>
  <si>
    <t>名称</t>
  </si>
  <si>
    <t>单价(元/平方米)</t>
  </si>
  <si>
    <t>说明</t>
    <phoneticPr fontId="3" type="noConversion"/>
  </si>
  <si>
    <t>1.前期开发成本</t>
  </si>
  <si>
    <t>2.房屋开发成本</t>
  </si>
  <si>
    <t>建安费用</t>
  </si>
  <si>
    <t>包括土建工程费、安装工程费、装饰装修工程费</t>
  </si>
  <si>
    <t>勘察设计和前期工程费</t>
    <phoneticPr fontId="3" type="noConversion"/>
  </si>
  <si>
    <t>按建安费用的10%-15%计取</t>
    <phoneticPr fontId="3" type="noConversion"/>
  </si>
  <si>
    <t>公共配套设施建设费</t>
    <phoneticPr fontId="3" type="noConversion"/>
  </si>
  <si>
    <t>非居住小区项目不发生此项费用</t>
    <phoneticPr fontId="3" type="noConversion"/>
  </si>
  <si>
    <t>基础设施建设费</t>
    <phoneticPr fontId="3" type="noConversion"/>
  </si>
  <si>
    <t>按建安费用的5-10%计取（指市政红线内的道路、供水/照明、园林、绿化、环卫等）</t>
    <phoneticPr fontId="3" type="noConversion"/>
  </si>
  <si>
    <t>3.管理费用</t>
  </si>
  <si>
    <t>按1、2项之和的2-3%计取</t>
    <phoneticPr fontId="3" type="noConversion"/>
  </si>
  <si>
    <t>4.销售费用</t>
  </si>
  <si>
    <t>按1、2、3项之和的2-3%计取</t>
    <phoneticPr fontId="3" type="noConversion"/>
  </si>
  <si>
    <t>5.投资利息</t>
  </si>
  <si>
    <t>按1、2、3、4项之和，建设期一年半，单利计息。</t>
    <phoneticPr fontId="3" type="noConversion"/>
  </si>
  <si>
    <t>6.销售税金</t>
  </si>
  <si>
    <r>
      <t>营业税及附加，按重置价的5.5%（</t>
    </r>
    <r>
      <rPr>
        <sz val="10"/>
        <color indexed="10"/>
        <rFont val="宋体"/>
        <family val="3"/>
        <charset val="134"/>
      </rPr>
      <t>按纳税人所在地</t>
    </r>
    <r>
      <rPr>
        <sz val="10"/>
        <color indexed="8"/>
        <rFont val="宋体"/>
        <family val="3"/>
        <charset val="134"/>
      </rPr>
      <t>）计取。</t>
    </r>
    <phoneticPr fontId="3" type="noConversion"/>
  </si>
  <si>
    <t>7.开发利润</t>
  </si>
  <si>
    <t>按1、2、3、4项之和的x%计取[工业：8-15%居住：20-35%商业：25-35%办公：15-25%]</t>
    <phoneticPr fontId="3" type="noConversion"/>
  </si>
  <si>
    <t>房屋重置单价（元/平方米）</t>
    <phoneticPr fontId="3" type="noConversion"/>
  </si>
  <si>
    <t>房屋重置总价（元）</t>
    <phoneticPr fontId="3" type="noConversion"/>
  </si>
  <si>
    <t>成新度折扣率</t>
    <phoneticPr fontId="3" type="noConversion"/>
  </si>
  <si>
    <t>采用直线折旧加综合观察法确定</t>
    <phoneticPr fontId="3" type="noConversion"/>
  </si>
  <si>
    <t>房屋重置成新单价（元/平方米）</t>
    <phoneticPr fontId="3" type="noConversion"/>
  </si>
  <si>
    <t>　　</t>
  </si>
  <si>
    <t>房屋重置成新总价（万元）</t>
    <phoneticPr fontId="3" type="noConversion"/>
  </si>
  <si>
    <t>按公示增长率计算</t>
  </si>
  <si>
    <t>南竺园</t>
    <phoneticPr fontId="3" type="noConversion"/>
  </si>
  <si>
    <t>南平里</t>
    <phoneticPr fontId="3" type="noConversion"/>
  </si>
  <si>
    <t>典型办公</t>
  </si>
  <si>
    <t>典型办公</t>
    <phoneticPr fontId="7" type="noConversion"/>
  </si>
  <si>
    <t>其余</t>
    <phoneticPr fontId="7" type="noConversion"/>
  </si>
  <si>
    <t>同一抵押权人同一抵押物续贷</t>
  </si>
  <si>
    <t>商务金融用地（办公类）</t>
  </si>
  <si>
    <t>不临58条商业街</t>
  </si>
  <si>
    <t>六通一平</t>
  </si>
  <si>
    <t>缺少</t>
  </si>
  <si>
    <t>燃气</t>
  </si>
  <si>
    <t>容积率修正</t>
  </si>
  <si>
    <t>自定义容积率</t>
  </si>
  <si>
    <t>估价对象位于北京临空经济核心区，周边商业多以住宅底商为主，人流量一般，商业繁华度一般</t>
    <phoneticPr fontId="25" type="noConversion"/>
  </si>
  <si>
    <t>估价对象位于北京临空经济核心区，周边办公楼项目较少，入驻率高，办公集聚程度一般</t>
    <phoneticPr fontId="25" type="noConversion"/>
  </si>
  <si>
    <t>估价对象周边路网密集程度较高，行车出入较为方便。周边1公里范围内有359路、640路、顺22路、空港10路、空港1路等不足十条公交线路，距地铁机场线T3航站楼站约2.2公里，公共交通便捷度一般。</t>
    <phoneticPr fontId="41" type="noConversion"/>
  </si>
  <si>
    <t>周边1公里内的公共服务配套设施较为齐备，有购物场所（国泰百货机场店）、医院（北京首都国际机场医院）、银行（中国工商银行、中国农业银行、中国银行）、学校（首都国际机场第二幼儿园、首都机场第二小学）、餐饮等公共服务配套设施。</t>
    <phoneticPr fontId="41" type="noConversion"/>
  </si>
  <si>
    <t>估价对象所在区域基础设施水平——七通</t>
    <phoneticPr fontId="25" type="noConversion"/>
  </si>
  <si>
    <t>估价对象2公里内有西湖园，自然环境一般，区域内有首都机场体育馆，人文环境一般。综合评价环境状况一般。</t>
    <phoneticPr fontId="41" type="noConversion"/>
  </si>
  <si>
    <t>收益还原</t>
  </si>
  <si>
    <t>押一</t>
  </si>
  <si>
    <t>收益法 (元)</t>
  </si>
  <si>
    <t>2.估价师知悉的除抵押担保权以外的法定优先受偿款</t>
  </si>
  <si>
    <r>
      <rPr>
        <sz val="12"/>
        <color theme="9" tint="-0.249977111117893"/>
        <rFont val="宋体"/>
        <family val="3"/>
        <charset val="134"/>
      </rPr>
      <t>顺义区天竺地区小天竺路一号院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101-112</t>
    </r>
    <r>
      <rPr>
        <sz val="12"/>
        <color theme="9" tint="-0.249977111117893"/>
        <rFont val="宋体"/>
        <family val="3"/>
        <charset val="134"/>
      </rPr>
      <t>号办公用房</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</si>
</sst>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b/>
      <sz val="10"/>
      <name val="宋体"/>
      <family val="3"/>
      <charset val="134"/>
      <scheme val="minor"/>
    </font>
    <font>
      <sz val="10"/>
      <name val="宋体"/>
      <family val="3"/>
      <charset val="134"/>
      <scheme val="minor"/>
    </font>
    <font>
      <b/>
      <sz val="10"/>
      <color rgb="FFFF000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C00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9" fontId="99" fillId="0" borderId="0" applyFont="0" applyFill="0" applyBorder="0" applyAlignment="0" applyProtection="0">
      <alignment vertical="center"/>
    </xf>
  </cellStyleXfs>
  <cellXfs count="33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91" fillId="7" borderId="5" xfId="0" applyFont="1" applyFill="1" applyBorder="1" applyAlignment="1" applyProtection="1">
      <alignment vertical="center"/>
      <protection locked="0"/>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35" fillId="0" borderId="24" xfId="0" applyFont="1" applyFill="1" applyBorder="1" applyAlignment="1" applyProtection="1">
      <alignment horizontal="center" vertical="center" wrapText="1"/>
      <protection locked="0"/>
    </xf>
    <xf numFmtId="0" fontId="255" fillId="0" borderId="54" xfId="0" applyNumberFormat="1" applyFont="1" applyFill="1" applyBorder="1" applyAlignment="1" applyProtection="1">
      <alignment horizontal="center" vertical="center" wrapText="1"/>
      <protection locked="0"/>
    </xf>
    <xf numFmtId="0" fontId="51" fillId="0" borderId="1" xfId="0" applyFont="1" applyFill="1" applyBorder="1" applyAlignment="1" applyProtection="1">
      <alignment horizontal="center" vertical="center"/>
      <protection locked="0"/>
    </xf>
    <xf numFmtId="14" fontId="51" fillId="0" borderId="24" xfId="0" applyNumberFormat="1" applyFont="1" applyFill="1" applyBorder="1" applyAlignment="1" applyProtection="1">
      <alignment vertical="center" wrapText="1"/>
      <protection locked="0"/>
    </xf>
    <xf numFmtId="0" fontId="80" fillId="7" borderId="0" xfId="0"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113" fillId="0" borderId="0" xfId="10" applyNumberFormat="1" applyFont="1" applyAlignment="1">
      <alignment horizontal="center" vertical="center" wrapText="1"/>
    </xf>
    <xf numFmtId="0" fontId="113" fillId="0" borderId="0" xfId="10" applyNumberFormat="1" applyFont="1" applyAlignment="1">
      <alignment horizontal="center" vertical="center" wrapText="1" shrinkToFit="1"/>
    </xf>
    <xf numFmtId="0" fontId="99" fillId="0" borderId="0" xfId="10">
      <alignment vertical="center"/>
    </xf>
    <xf numFmtId="0" fontId="113" fillId="0" borderId="1" xfId="10" applyNumberFormat="1" applyFont="1" applyBorder="1" applyAlignment="1">
      <alignment horizontal="center" vertical="center" wrapText="1"/>
    </xf>
    <xf numFmtId="0" fontId="119" fillId="0" borderId="1" xfId="10" applyNumberFormat="1" applyFont="1" applyBorder="1" applyAlignment="1">
      <alignment horizontal="center" vertical="center" wrapText="1"/>
    </xf>
    <xf numFmtId="0" fontId="119" fillId="0" borderId="5" xfId="10" applyNumberFormat="1" applyFont="1" applyBorder="1" applyAlignment="1">
      <alignment horizontal="center" vertical="center" wrapText="1"/>
    </xf>
    <xf numFmtId="0" fontId="119" fillId="0" borderId="54" xfId="10" applyNumberFormat="1" applyFont="1" applyBorder="1" applyAlignment="1">
      <alignment vertical="center" wrapText="1"/>
    </xf>
    <xf numFmtId="0" fontId="119" fillId="0" borderId="3" xfId="10" applyNumberFormat="1" applyFont="1" applyBorder="1" applyAlignment="1">
      <alignment vertical="center" wrapText="1"/>
    </xf>
    <xf numFmtId="0" fontId="256" fillId="0" borderId="1" xfId="10" applyNumberFormat="1" applyFont="1" applyBorder="1" applyAlignment="1">
      <alignment horizontal="center" vertical="center" wrapText="1" shrinkToFit="1"/>
    </xf>
    <xf numFmtId="9" fontId="113" fillId="5" borderId="1" xfId="13" applyFont="1" applyFill="1" applyBorder="1" applyAlignment="1">
      <alignment horizontal="center" vertical="center" wrapText="1"/>
    </xf>
    <xf numFmtId="0" fontId="113" fillId="5" borderId="1" xfId="10" applyNumberFormat="1" applyFont="1" applyFill="1" applyBorder="1" applyAlignment="1">
      <alignment horizontal="center" vertical="center" wrapText="1"/>
    </xf>
    <xf numFmtId="0" fontId="257" fillId="0" borderId="1" xfId="10" applyNumberFormat="1" applyFont="1" applyFill="1" applyBorder="1" applyAlignment="1">
      <alignment horizontal="center" vertical="center" wrapText="1" shrinkToFit="1"/>
    </xf>
    <xf numFmtId="0" fontId="257" fillId="0" borderId="1" xfId="10" applyNumberFormat="1" applyFont="1" applyBorder="1" applyAlignment="1">
      <alignment horizontal="center" vertical="center" wrapText="1" shrinkToFi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257" fillId="16" borderId="1" xfId="10" applyNumberFormat="1" applyFont="1" applyFill="1" applyBorder="1" applyAlignment="1">
      <alignment horizontal="center" vertical="center" wrapText="1" shrinkToFit="1"/>
    </xf>
    <xf numFmtId="0" fontId="256" fillId="0" borderId="5" xfId="10" applyNumberFormat="1" applyFont="1" applyBorder="1" applyAlignment="1">
      <alignment horizontal="center" vertical="center" wrapText="1" shrinkToFit="1"/>
    </xf>
    <xf numFmtId="0" fontId="256" fillId="0" borderId="54" xfId="10" applyNumberFormat="1" applyFont="1" applyBorder="1" applyAlignment="1">
      <alignment vertical="center" wrapText="1" shrinkToFit="1"/>
    </xf>
    <xf numFmtId="0" fontId="256" fillId="0" borderId="3" xfId="10" applyNumberFormat="1" applyFont="1" applyBorder="1" applyAlignment="1">
      <alignment vertical="center" wrapText="1" shrinkToFit="1"/>
    </xf>
    <xf numFmtId="49" fontId="19" fillId="0" borderId="1" xfId="10" applyNumberFormat="1" applyFont="1" applyBorder="1" applyAlignment="1">
      <alignment horizontal="center" vertical="center" wrapText="1" shrinkToFit="1"/>
    </xf>
    <xf numFmtId="0" fontId="257" fillId="17" borderId="1" xfId="10" applyNumberFormat="1" applyFont="1" applyFill="1" applyBorder="1" applyAlignment="1">
      <alignment horizontal="center" vertical="center" wrapText="1"/>
    </xf>
    <xf numFmtId="0" fontId="257" fillId="0" borderId="1" xfId="10" applyNumberFormat="1" applyFont="1" applyBorder="1" applyAlignment="1">
      <alignment horizontal="center" vertical="center" wrapText="1"/>
    </xf>
    <xf numFmtId="0" fontId="257" fillId="0" borderId="0" xfId="10" applyNumberFormat="1" applyFont="1" applyAlignment="1">
      <alignment horizontal="center" vertical="center" wrapText="1"/>
    </xf>
    <xf numFmtId="0" fontId="257" fillId="0" borderId="13" xfId="10" applyNumberFormat="1" applyFont="1" applyBorder="1" applyAlignment="1">
      <alignment horizontal="center" vertical="center" wrapText="1"/>
    </xf>
    <xf numFmtId="0" fontId="257" fillId="17" borderId="13" xfId="10" applyNumberFormat="1" applyFont="1" applyFill="1" applyBorder="1" applyAlignment="1">
      <alignment horizontal="center" vertical="center" wrapText="1"/>
    </xf>
    <xf numFmtId="49" fontId="19" fillId="0" borderId="0" xfId="10" applyNumberFormat="1" applyFont="1" applyAlignment="1">
      <alignment horizontal="center" vertical="center" wrapText="1" shrinkToFit="1"/>
    </xf>
    <xf numFmtId="49" fontId="19" fillId="0" borderId="13" xfId="10" applyNumberFormat="1" applyFont="1" applyBorder="1" applyAlignment="1">
      <alignment horizontal="center" vertical="center" wrapText="1" shrinkToFit="1"/>
    </xf>
    <xf numFmtId="0" fontId="113" fillId="0" borderId="5" xfId="10" applyNumberFormat="1" applyFont="1" applyBorder="1" applyAlignment="1">
      <alignment horizontal="right" vertical="center" wrapText="1"/>
    </xf>
    <xf numFmtId="0" fontId="258" fillId="0" borderId="5" xfId="10" applyNumberFormat="1" applyFont="1" applyFill="1" applyBorder="1" applyAlignment="1">
      <alignment horizontal="right" vertical="center" wrapText="1"/>
    </xf>
    <xf numFmtId="0" fontId="113" fillId="0" borderId="1" xfId="10" applyNumberFormat="1" applyFont="1" applyBorder="1" applyAlignment="1">
      <alignment horizontal="left" vertical="center" wrapText="1"/>
    </xf>
    <xf numFmtId="10" fontId="113" fillId="0" borderId="1" xfId="10" applyNumberFormat="1" applyFont="1" applyBorder="1" applyAlignment="1">
      <alignment horizontal="center" vertical="center" wrapText="1"/>
    </xf>
    <xf numFmtId="0" fontId="113" fillId="0" borderId="1" xfId="10" applyNumberFormat="1" applyFont="1" applyFill="1" applyBorder="1" applyAlignment="1">
      <alignment horizontal="left" vertical="center" wrapText="1"/>
    </xf>
    <xf numFmtId="10" fontId="113" fillId="0" borderId="1" xfId="10" applyNumberFormat="1" applyFont="1" applyFill="1" applyBorder="1" applyAlignment="1">
      <alignment horizontal="center" vertical="center" wrapText="1"/>
    </xf>
    <xf numFmtId="0" fontId="113" fillId="0" borderId="0" xfId="10" applyNumberFormat="1" applyFont="1" applyFill="1" applyAlignment="1">
      <alignment horizontal="center" vertical="center" wrapText="1"/>
    </xf>
    <xf numFmtId="0" fontId="113" fillId="0" borderId="0" xfId="10" applyNumberFormat="1" applyFont="1" applyFill="1" applyAlignment="1">
      <alignment horizontal="center" vertical="center" wrapText="1" shrinkToFit="1"/>
    </xf>
    <xf numFmtId="0" fontId="113" fillId="0" borderId="1" xfId="10" applyNumberFormat="1" applyFont="1" applyBorder="1" applyAlignment="1">
      <alignment horizontal="center" vertical="center" wrapText="1" shrinkToFit="1"/>
    </xf>
    <xf numFmtId="0" fontId="119" fillId="0" borderId="0" xfId="10" applyNumberFormat="1" applyFont="1" applyAlignment="1">
      <alignment horizontal="center" vertical="center" wrapText="1" shrinkToFit="1"/>
    </xf>
    <xf numFmtId="0" fontId="113" fillId="0" borderId="5" xfId="10" applyNumberFormat="1" applyFont="1" applyBorder="1" applyAlignment="1">
      <alignment vertical="center" wrapText="1"/>
    </xf>
    <xf numFmtId="0" fontId="113" fillId="0" borderId="54" xfId="10" applyNumberFormat="1" applyFont="1" applyBorder="1" applyAlignment="1">
      <alignment vertical="center" wrapText="1"/>
    </xf>
    <xf numFmtId="0" fontId="113" fillId="0" borderId="3" xfId="10" applyNumberFormat="1" applyFont="1" applyBorder="1" applyAlignment="1">
      <alignment vertical="center" wrapText="1"/>
    </xf>
    <xf numFmtId="0" fontId="119" fillId="18" borderId="5" xfId="10" applyNumberFormat="1" applyFont="1" applyFill="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50" fillId="18" borderId="13" xfId="0" applyFont="1" applyFill="1" applyBorder="1" applyAlignment="1" applyProtection="1">
      <alignment vertical="center"/>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49" fontId="179" fillId="0" borderId="23" xfId="0" applyNumberFormat="1"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19" fillId="0" borderId="5" xfId="10" applyNumberFormat="1" applyFont="1" applyBorder="1" applyAlignment="1">
      <alignment horizontal="center" vertical="center" wrapText="1"/>
    </xf>
    <xf numFmtId="0" fontId="119" fillId="0" borderId="3" xfId="10" applyNumberFormat="1" applyFont="1" applyBorder="1" applyAlignment="1">
      <alignment horizontal="center" vertical="center" wrapText="1"/>
    </xf>
    <xf numFmtId="0" fontId="113" fillId="0" borderId="5"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1" xfId="10" applyNumberFormat="1" applyFont="1" applyBorder="1" applyAlignment="1">
      <alignment horizontal="center" vertical="center" wrapText="1"/>
    </xf>
    <xf numFmtId="0" fontId="119" fillId="0" borderId="54" xfId="10" applyNumberFormat="1" applyFont="1" applyBorder="1" applyAlignment="1">
      <alignment horizontal="center" vertical="center" wrapText="1"/>
    </xf>
    <xf numFmtId="0" fontId="119" fillId="0" borderId="13" xfId="10" applyNumberFormat="1" applyFont="1" applyBorder="1" applyAlignment="1">
      <alignment horizontal="center" vertical="center" wrapText="1"/>
    </xf>
    <xf numFmtId="0" fontId="119" fillId="0" borderId="15" xfId="10" applyNumberFormat="1" applyFont="1" applyBorder="1" applyAlignment="1">
      <alignment horizontal="center" vertical="center" wrapText="1"/>
    </xf>
    <xf numFmtId="0" fontId="113" fillId="0" borderId="5" xfId="10" applyNumberFormat="1" applyFont="1" applyFill="1" applyBorder="1" applyAlignment="1">
      <alignment horizontal="center" vertical="center" wrapText="1"/>
    </xf>
    <xf numFmtId="0" fontId="113" fillId="0" borderId="3" xfId="10" applyNumberFormat="1" applyFont="1" applyFill="1" applyBorder="1" applyAlignment="1">
      <alignment horizontal="center" vertical="center" wrapText="1"/>
    </xf>
    <xf numFmtId="0" fontId="113" fillId="0" borderId="1" xfId="10" applyNumberFormat="1" applyFont="1" applyFill="1" applyBorder="1" applyAlignment="1">
      <alignment horizontal="center" vertical="center" wrapText="1"/>
    </xf>
    <xf numFmtId="0" fontId="113" fillId="0" borderId="54" xfId="10" applyNumberFormat="1" applyFont="1" applyBorder="1" applyAlignment="1">
      <alignment horizontal="left" vertical="center" wrapText="1"/>
    </xf>
    <xf numFmtId="0" fontId="113" fillId="0" borderId="3" xfId="10" applyNumberFormat="1" applyFont="1" applyBorder="1" applyAlignment="1">
      <alignment vertical="center" wrapText="1"/>
    </xf>
    <xf numFmtId="0" fontId="113" fillId="0" borderId="3" xfId="10" applyNumberFormat="1" applyFont="1" applyBorder="1" applyAlignment="1">
      <alignment horizontal="left" vertical="center" wrapText="1"/>
    </xf>
    <xf numFmtId="0" fontId="113" fillId="0" borderId="58" xfId="10" applyNumberFormat="1" applyFont="1" applyBorder="1" applyAlignment="1">
      <alignment horizontal="center" vertical="center" wrapText="1"/>
    </xf>
    <xf numFmtId="0" fontId="113" fillId="0" borderId="0" xfId="10" applyNumberFormat="1" applyFont="1" applyAlignment="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2"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row r="17">
          <cell r="C17" t="str">
            <v>项目类型</v>
          </cell>
        </row>
        <row r="19">
          <cell r="C19" t="str">
            <v>地上办公101</v>
          </cell>
        </row>
        <row r="20">
          <cell r="C20" t="str">
            <v>地上办公102</v>
          </cell>
        </row>
        <row r="21">
          <cell r="C21" t="str">
            <v>地上办公103</v>
          </cell>
        </row>
        <row r="22">
          <cell r="C22" t="str">
            <v>地上办公104</v>
          </cell>
        </row>
        <row r="23">
          <cell r="C23" t="str">
            <v>地上办公105</v>
          </cell>
        </row>
      </sheetData>
      <sheetData sheetId="16">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7"/>
      <sheetData sheetId="18"/>
      <sheetData sheetId="19"/>
      <sheetData sheetId="20"/>
      <sheetData sheetId="21"/>
      <sheetData sheetId="22">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3">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4">
        <row r="60">
          <cell r="A60" t="str">
            <v>交易情况</v>
          </cell>
          <cell r="C60" t="str">
            <v>正常</v>
          </cell>
          <cell r="D60" t="str">
            <v>其他情况</v>
          </cell>
        </row>
        <row r="62">
          <cell r="B62" t="str">
            <v>用途</v>
          </cell>
          <cell r="C62" t="str">
            <v>办公</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1层</v>
          </cell>
          <cell r="D85" t="str">
            <v>2层</v>
          </cell>
          <cell r="E85" t="str">
            <v>3层</v>
          </cell>
        </row>
        <row r="87">
          <cell r="B87" t="str">
            <v>朝向</v>
          </cell>
          <cell r="C87" t="str">
            <v>东</v>
          </cell>
          <cell r="D87" t="str">
            <v>南</v>
          </cell>
          <cell r="E87" t="str">
            <v>西</v>
          </cell>
          <cell r="F87" t="str">
            <v>北</v>
          </cell>
        </row>
        <row r="97">
          <cell r="B97" t="str">
            <v>建筑类型</v>
          </cell>
          <cell r="C97" t="str">
            <v>独栋商业</v>
          </cell>
          <cell r="D97" t="str">
            <v>商业街</v>
          </cell>
          <cell r="E97" t="str">
            <v>办公底商</v>
          </cell>
          <cell r="F97" t="str">
            <v>住宅底商</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挑高</v>
          </cell>
          <cell r="D115" t="str">
            <v>标准层高</v>
          </cell>
        </row>
        <row r="119">
          <cell r="B119" t="str">
            <v>内部装修</v>
          </cell>
          <cell r="C119" t="str">
            <v>精装修</v>
          </cell>
          <cell r="D119" t="str">
            <v>普通装修</v>
          </cell>
          <cell r="E119" t="str">
            <v>简装</v>
          </cell>
          <cell r="F119" t="str">
            <v>毛坯</v>
          </cell>
        </row>
      </sheetData>
      <sheetData sheetId="25">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6">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7">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8">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5">
          <cell r="B5" t="str">
            <v>内部装修</v>
          </cell>
          <cell r="C5" t="str">
            <v>精装修</v>
          </cell>
          <cell r="D5" t="str">
            <v>普通装修</v>
          </cell>
          <cell r="E5" t="str">
            <v>简装</v>
          </cell>
          <cell r="F5" t="str">
            <v>毛坯</v>
          </cell>
          <cell r="T5">
            <v>0</v>
          </cell>
        </row>
        <row r="7">
          <cell r="B7" t="str">
            <v>层高</v>
          </cell>
          <cell r="C7" t="str">
            <v>挑高</v>
          </cell>
          <cell r="D7" t="str">
            <v>标准层高</v>
          </cell>
          <cell r="T7">
            <v>5</v>
          </cell>
        </row>
        <row r="9">
          <cell r="B9" t="str">
            <v>是否含地下室</v>
          </cell>
          <cell r="C9" t="str">
            <v>否</v>
          </cell>
          <cell r="D9" t="str">
            <v>是</v>
          </cell>
          <cell r="T9">
            <v>5</v>
          </cell>
        </row>
        <row r="11">
          <cell r="B11" t="str">
            <v>临街状况</v>
          </cell>
          <cell r="C11" t="str">
            <v>多面临街</v>
          </cell>
          <cell r="D11" t="str">
            <v>双面临街</v>
          </cell>
          <cell r="E11" t="str">
            <v>单面临街</v>
          </cell>
          <cell r="F11" t="str">
            <v>不临街</v>
          </cell>
          <cell r="T11">
            <v>10</v>
          </cell>
        </row>
        <row r="17">
          <cell r="A17" t="str">
            <v>修正系数</v>
          </cell>
          <cell r="B17" t="str">
            <v>楼层</v>
          </cell>
        </row>
      </sheetData>
      <sheetData sheetId="32">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北京市顺义区天竺地区小天竺路一号院1号楼101-112号办公用房房地产抵押价值预评估</v>
      </c>
    </row>
    <row r="3" spans="1:2" s="1597" customFormat="1">
      <c r="A3" s="1595" t="s">
        <v>1222</v>
      </c>
      <c r="B3" s="1596">
        <f>'预评函-封皮'!B40</f>
        <v>0</v>
      </c>
    </row>
    <row r="4" spans="1:2" s="1597" customFormat="1">
      <c r="A4" s="1595" t="s">
        <v>1223</v>
      </c>
      <c r="B4" s="1596" t="str">
        <f ca="1">'预评函-封皮'!B46</f>
        <v>王鹏（注册号：1120050019)、郑燚（注册号：1120070131)</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受贵公司委托，我公司对北京市顺义区天竺地区小天竺路一号院1号楼101-112号办公用房房地产抵押价值进行了预评估。</v>
      </c>
    </row>
    <row r="7" spans="1:2" s="1597" customFormat="1">
      <c r="A7" s="1595" t="s">
        <v>1265</v>
      </c>
      <c r="B7" s="1596" t="str">
        <f>'预评函-1'!A7</f>
        <v>估价对象为北京市顺义区天竺地区小天竺路一号院1号楼101-112号办公用房房地产，为所有。根据《国有土地使用证》[]，估价对象（分摊）出让国有建设用地使用权面积为0平方米，建筑面积为1266.65平方米。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为估价委托人在向兴业银行办理贷款手续过程中，确定房地产抵押贷款额度提供参考依据而评估房地产抵押价值。</v>
      </c>
    </row>
    <row r="12" spans="1:2" s="1597" customFormat="1">
      <c r="A12" s="1595" t="s">
        <v>1227</v>
      </c>
      <c r="B12" s="1596" t="str">
        <f>'预评函-1'!A15</f>
        <v>2017年11月17日（评估专业人员实地查勘之日）</v>
      </c>
    </row>
    <row r="13" spans="1:2" s="1597" customFormat="1">
      <c r="A13" s="1595" t="s">
        <v>1228</v>
      </c>
      <c r="B13" s="1596" t="str">
        <f>'预评函-1'!A18</f>
        <v>本次估价的“房地产价值”是指在正常市场情况下，在价值时点2017年11月17日，估价对象规划用途为，土地取得方式为出让，出让国有建设用地使用权剩余土地使用年限为，假定未设立法定优先受偿款下的房地产市场价值。</v>
      </c>
    </row>
    <row r="14" spans="1:2" s="1597" customFormat="1">
      <c r="A14" s="1595" t="s">
        <v>1229</v>
      </c>
      <c r="B14" s="1596" t="str">
        <f>'预评函-1'!A19</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419</v>
      </c>
    </row>
    <row r="21" spans="1:2" s="1597" customFormat="1">
      <c r="A21" s="1595" t="s">
        <v>1236</v>
      </c>
      <c r="B21" s="1596">
        <f ca="1">'预评函-2'!D7</f>
        <v>33323</v>
      </c>
    </row>
    <row r="22" spans="1:2" s="1597" customFormat="1">
      <c r="A22" s="1595" t="s">
        <v>1237</v>
      </c>
      <c r="B22" s="1596" t="str">
        <f ca="1">'预评函-2'!D6</f>
        <v>肆佰壹拾玖万元整</v>
      </c>
    </row>
    <row r="23" spans="1:2" s="1597" customFormat="1">
      <c r="A23" s="1595" t="s">
        <v>1288</v>
      </c>
      <c r="B23" s="1596" t="str">
        <f>'预评函-2'!B8</f>
        <v>2.估价师知悉的除抵押担保权以外的法定优先受偿款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t="str">
        <f>'预评函-2'!D10</f>
        <v>1000（未扣减，详见特别提示）</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419</v>
      </c>
    </row>
    <row r="31" spans="1:2" s="1597" customFormat="1">
      <c r="A31" s="1595" t="s">
        <v>1275</v>
      </c>
      <c r="B31" s="1596">
        <f ca="1">'预评函-2'!D15</f>
        <v>3308</v>
      </c>
    </row>
    <row r="32" spans="1:2" s="1597" customFormat="1">
      <c r="A32" s="1595" t="s">
        <v>1242</v>
      </c>
      <c r="B32" s="1596" t="str">
        <f ca="1">'预评函-2'!D14</f>
        <v>肆佰壹拾玖万元整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4.抵押净值</v>
      </c>
    </row>
    <row r="38" spans="1:2" s="1597" customFormat="1">
      <c r="A38" s="1595" t="s">
        <v>1296</v>
      </c>
      <c r="B38" s="1596">
        <f ca="1">'预评函-2'!D19</f>
        <v>-213</v>
      </c>
    </row>
    <row r="39" spans="1:2" s="1597" customFormat="1">
      <c r="A39" s="1595" t="s">
        <v>1244</v>
      </c>
      <c r="B39" s="1596">
        <f ca="1">'预评函-2'!D21</f>
        <v>-1682</v>
      </c>
    </row>
    <row r="40" spans="1:2" s="1597" customFormat="1">
      <c r="A40" s="1595" t="s">
        <v>1245</v>
      </c>
      <c r="B40" s="1596" t="e">
        <f ca="1">'预评函-2'!D20</f>
        <v>#NUM!</v>
      </c>
    </row>
    <row r="41" spans="1:2" s="1597" customFormat="1">
      <c r="A41" s="1595" t="s">
        <v>1291</v>
      </c>
      <c r="B41" s="1596" t="str">
        <f>'预评函-3'!A4</f>
        <v>北京市顺义区天竺地区小天竺路一号院1号楼101-112号办公用房房地产</v>
      </c>
    </row>
    <row r="42" spans="1:2" s="1597" customFormat="1">
      <c r="A42" s="1595" t="s">
        <v>1289</v>
      </c>
      <c r="B42" s="1596" t="str">
        <f>'预评函-3'!B2</f>
        <v>建筑面积</v>
      </c>
    </row>
    <row r="43" spans="1:2" s="1597" customFormat="1">
      <c r="A43" s="1595" t="s">
        <v>1290</v>
      </c>
      <c r="B43" s="1596">
        <f>'预评函-3'!B4</f>
        <v>1266.6499999999999</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f ca="1">'预评函-3'!D4</f>
        <v>326</v>
      </c>
    </row>
    <row r="48" spans="1:2" s="1597" customFormat="1">
      <c r="A48" s="1595" t="s">
        <v>1248</v>
      </c>
      <c r="B48" s="1596">
        <f ca="1">'预评函-3'!E4</f>
        <v>25927</v>
      </c>
    </row>
    <row r="49" spans="1:2" s="1597" customFormat="1">
      <c r="A49" s="1595" t="s">
        <v>1249</v>
      </c>
      <c r="B49" s="1596" t="str">
        <f ca="1">'预评函-3'!D5</f>
        <v>叁佰贰拾陆万元整</v>
      </c>
    </row>
    <row r="50" spans="1:2" s="1597" customFormat="1">
      <c r="A50" s="1595" t="s">
        <v>1273</v>
      </c>
      <c r="B50" s="1596" t="str">
        <f>'预评函-3'!F2</f>
        <v>在建建筑物价值</v>
      </c>
    </row>
    <row r="51" spans="1:2" s="1597" customFormat="1">
      <c r="A51" s="1595" t="s">
        <v>1250</v>
      </c>
      <c r="B51" s="1596">
        <f ca="1">'预评函-3'!F4</f>
        <v>93</v>
      </c>
    </row>
    <row r="52" spans="1:2" s="1597" customFormat="1">
      <c r="A52" s="1595" t="s">
        <v>1251</v>
      </c>
      <c r="B52" s="1596">
        <f ca="1">'预评函-3'!G4</f>
        <v>7396</v>
      </c>
    </row>
    <row r="53" spans="1:2" s="1597" customFormat="1">
      <c r="A53" s="1595" t="s">
        <v>1279</v>
      </c>
      <c r="B53" s="1596" t="str">
        <f ca="1">'预评函-3'!F5</f>
        <v>玖拾叁万元整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抵押净值</v>
      </c>
    </row>
    <row r="57" spans="1:2" s="1591" customFormat="1" ht="15" thickBot="1">
      <c r="A57" s="1598" t="s">
        <v>1298</v>
      </c>
      <c r="B57" s="1599" t="str">
        <f>'预评函-3'!A6</f>
        <v>估价师知悉的除抵押担保权以外的法定优先受偿款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故，本次评估不存在估价师知悉的除抵押担保权以外的法定优先受偿款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王鹏</v>
      </c>
    </row>
    <row r="71" spans="1:2">
      <c r="A71" s="1595" t="s">
        <v>1262</v>
      </c>
      <c r="B71" s="1596">
        <f ca="1">'预评函-4'!B4</f>
        <v>1120050019</v>
      </c>
    </row>
    <row r="72" spans="1:2">
      <c r="A72" s="1595" t="s">
        <v>1263</v>
      </c>
      <c r="B72" s="1604" t="str">
        <f>'预评函-4'!A5</f>
        <v>郑燚</v>
      </c>
    </row>
    <row r="73" spans="1:2" s="1591" customFormat="1" ht="15" thickBot="1">
      <c r="A73" s="1598" t="s">
        <v>1264</v>
      </c>
      <c r="B73" s="1599">
        <f ca="1">'预评函-4'!B5</f>
        <v>1120070131</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757</v>
      </c>
      <c r="C17" s="2019"/>
    </row>
    <row r="18" spans="1:3">
      <c r="A18" s="2018" t="s">
        <v>1769</v>
      </c>
      <c r="B18" s="2018" t="s">
        <v>757</v>
      </c>
      <c r="C18" s="2019"/>
    </row>
    <row r="19" spans="1:3">
      <c r="A19" s="2018" t="s">
        <v>1770</v>
      </c>
      <c r="B19" s="2018" t="s">
        <v>757</v>
      </c>
      <c r="C19" s="2019"/>
    </row>
    <row r="20" spans="1:3">
      <c r="A20" s="2018" t="s">
        <v>1771</v>
      </c>
      <c r="B20" s="2018" t="s">
        <v>757</v>
      </c>
      <c r="C20" s="2019"/>
    </row>
    <row r="21" spans="1:3">
      <c r="A21" s="2018" t="s">
        <v>1772</v>
      </c>
      <c r="B21" s="2018" t="s">
        <v>757</v>
      </c>
      <c r="C21" s="2019"/>
    </row>
    <row r="22" spans="1:3">
      <c r="A22" s="2018" t="s">
        <v>1773</v>
      </c>
      <c r="B22" s="2018" t="s">
        <v>757</v>
      </c>
      <c r="C22" s="2019"/>
    </row>
    <row r="23" spans="1:3">
      <c r="A23" s="2018" t="s">
        <v>1774</v>
      </c>
      <c r="B23" s="2018" t="s">
        <v>757</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竺地区小天竺路一号院1号楼101-112号办公用房房地产作为抵押担保物，向兴业银行办理贷款手续。兴业银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037"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26" t="s">
        <v>864</v>
      </c>
      <c r="C54" s="2023" t="s">
        <v>1282</v>
      </c>
    </row>
    <row r="55" spans="1:4">
      <c r="A55" s="3037"/>
      <c r="B55" s="2026" t="s">
        <v>865</v>
      </c>
      <c r="C55" s="2023" t="s">
        <v>1283</v>
      </c>
    </row>
    <row r="56" spans="1:4">
      <c r="A56" s="3037"/>
      <c r="B56" s="2026" t="s">
        <v>866</v>
      </c>
      <c r="C56" s="2023" t="s">
        <v>1287</v>
      </c>
    </row>
    <row r="57" spans="1:4">
      <c r="A57" s="3037"/>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2036" customWidth="1"/>
    <col min="2" max="2" width="11.625" style="2036" customWidth="1"/>
    <col min="3" max="3" width="11.5" style="2036" customWidth="1"/>
    <col min="4" max="4" width="11.375" style="2036" customWidth="1"/>
    <col min="5" max="6" width="10" style="2036" customWidth="1"/>
    <col min="7" max="7" width="10.75" style="2036" customWidth="1"/>
    <col min="8" max="8" width="10" style="2036" customWidth="1"/>
    <col min="9" max="9" width="11.125" style="2163" customWidth="1"/>
    <col min="10" max="10" width="10" style="2036" customWidth="1"/>
    <col min="11" max="11" width="10" style="2164" customWidth="1"/>
    <col min="12" max="13" width="10" style="2165" customWidth="1"/>
    <col min="14" max="14" width="10" style="2036" customWidth="1"/>
    <col min="15" max="15" width="10" style="2163" customWidth="1"/>
    <col min="16" max="17" width="10" style="2036"/>
    <col min="18" max="18" width="10" style="2036" customWidth="1"/>
    <col min="19" max="16384" width="10" style="2036"/>
  </cols>
  <sheetData>
    <row r="1" spans="1:19" ht="38.25" customHeight="1" thickBot="1">
      <c r="A1" s="2029" t="s">
        <v>1778</v>
      </c>
      <c r="B1" s="3038" t="str">
        <f>IF(B10="北京市","北京市",C10)&amp;F10&amp;IF(结果表!G1="在建","出让国有建设用地使用权及在建建筑物",IF(结果表!G1="土地","出让国有建设用地使用权",))&amp;B9&amp;"预评估"</f>
        <v>北京市顺义区天竺地区小天竺路一号院1号楼101-112号办公用房房地产抵押价值预评估</v>
      </c>
      <c r="C1" s="3039"/>
      <c r="D1" s="3039"/>
      <c r="E1" s="3039"/>
      <c r="F1" s="3039"/>
      <c r="G1" s="3039"/>
      <c r="H1" s="3039"/>
      <c r="I1" s="3040"/>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北京市顺义区天竺地区小天竺路一号院1号楼101-112号办公用房房地产抵押价值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北京市顺义区天竺地区小天竺路一号院1号楼101-112号办公用房房地产</v>
      </c>
    </row>
    <row r="3" spans="1:19" ht="18" customHeight="1">
      <c r="A3" s="2039" t="s">
        <v>1780</v>
      </c>
      <c r="B3" s="2040">
        <v>43056</v>
      </c>
      <c r="C3" s="2041" t="s">
        <v>1781</v>
      </c>
      <c r="D3" s="2040">
        <v>43056</v>
      </c>
      <c r="E3" s="2030"/>
      <c r="F3" s="2030"/>
      <c r="G3" s="2030"/>
      <c r="H3" s="2030"/>
      <c r="I3" s="2030"/>
      <c r="J3" s="2030"/>
      <c r="K3" s="2031"/>
      <c r="L3" s="2032"/>
      <c r="M3" s="2032"/>
      <c r="N3" s="2033"/>
      <c r="O3" s="2034"/>
      <c r="P3" s="2033"/>
      <c r="Q3" s="2033"/>
      <c r="R3" s="2033"/>
      <c r="S3" s="2035"/>
    </row>
    <row r="4" spans="1:19" ht="18" customHeight="1" thickBot="1">
      <c r="A4" s="2042" t="s">
        <v>1782</v>
      </c>
      <c r="B4" s="2043" t="s">
        <v>3026</v>
      </c>
      <c r="C4" s="1040">
        <f ca="1">SUMIF(注册房地产估价师,B4,估价师及机构信息!B3:B24)</f>
        <v>1120050019</v>
      </c>
      <c r="D4" s="2043" t="s">
        <v>3027</v>
      </c>
      <c r="E4" s="1041">
        <f ca="1">SUMIF(注册房地产估价师,D4,估价师及机构信息!B3:B24)</f>
        <v>1120070131</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王鹏（注册号：1120050019)、郑燚（注册号：1120070131)</v>
      </c>
      <c r="L4" s="2032"/>
      <c r="M4" s="2032"/>
      <c r="N4" s="2033"/>
      <c r="O4" s="2034"/>
      <c r="P4" s="2033"/>
      <c r="Q4" s="2033"/>
      <c r="R4" s="2033"/>
      <c r="S4" s="2035"/>
    </row>
    <row r="5" spans="1:19" ht="18" customHeight="1" thickTop="1">
      <c r="A5" s="2048" t="s">
        <v>1783</v>
      </c>
      <c r="B5" s="2049"/>
      <c r="C5" s="2050"/>
      <c r="D5" s="2051"/>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2" t="s">
        <v>1784</v>
      </c>
      <c r="B6" s="2932" t="s">
        <v>3028</v>
      </c>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2" t="s">
        <v>1785</v>
      </c>
      <c r="B7" s="2056"/>
      <c r="C7" s="2053"/>
      <c r="D7" s="2054"/>
      <c r="E7" s="2038"/>
      <c r="F7" s="2046"/>
      <c r="G7" s="2046"/>
      <c r="H7" s="2046"/>
      <c r="I7" s="2046"/>
      <c r="J7" s="2046"/>
      <c r="K7" s="2057"/>
      <c r="L7" s="2032"/>
      <c r="M7" s="2032"/>
      <c r="N7" s="2033"/>
      <c r="O7" s="2034"/>
      <c r="P7" s="2033"/>
      <c r="Q7" s="2033"/>
      <c r="R7" s="2033"/>
    </row>
    <row r="8" spans="1:19" ht="18" customHeight="1">
      <c r="A8" s="2052" t="s">
        <v>1786</v>
      </c>
      <c r="B8" s="2058" t="s">
        <v>3029</v>
      </c>
      <c r="C8" s="2059"/>
      <c r="D8" s="3041" t="s">
        <v>1787</v>
      </c>
      <c r="E8" s="2060" t="s">
        <v>3030</v>
      </c>
      <c r="F8" s="2061"/>
      <c r="G8" s="2030"/>
      <c r="H8" s="2030"/>
      <c r="I8" s="2030"/>
      <c r="J8" s="2046"/>
      <c r="K8" s="2047"/>
      <c r="L8" s="2032"/>
      <c r="M8" s="2032"/>
      <c r="N8" s="2033"/>
      <c r="O8" s="2034"/>
      <c r="P8" s="2033"/>
      <c r="Q8" s="2033"/>
      <c r="R8" s="2033"/>
    </row>
    <row r="9" spans="1:19" ht="18" customHeight="1" thickBot="1">
      <c r="A9" s="2044" t="s">
        <v>1788</v>
      </c>
      <c r="B9" s="2062" t="s">
        <v>3030</v>
      </c>
      <c r="C9" s="2063"/>
      <c r="D9" s="3042"/>
      <c r="E9" s="2062" t="s">
        <v>1286</v>
      </c>
      <c r="F9" s="2064"/>
      <c r="G9" s="2065"/>
      <c r="H9" s="2065"/>
      <c r="I9" s="2065"/>
      <c r="J9" s="2046"/>
      <c r="K9" s="2057"/>
      <c r="L9" s="2032"/>
      <c r="M9" s="2032"/>
      <c r="N9" s="2033"/>
      <c r="O9" s="2034"/>
      <c r="P9" s="2033"/>
      <c r="Q9" s="2033"/>
      <c r="R9" s="2033"/>
    </row>
    <row r="10" spans="1:19" ht="18" customHeight="1" thickTop="1">
      <c r="A10" s="2066" t="s">
        <v>1789</v>
      </c>
      <c r="B10" s="2067" t="s">
        <v>3031</v>
      </c>
      <c r="C10" s="2068"/>
      <c r="D10" s="2051"/>
      <c r="E10" s="2069" t="s">
        <v>1790</v>
      </c>
      <c r="F10" s="2070" t="s">
        <v>3227</v>
      </c>
      <c r="G10" s="2071"/>
      <c r="H10" s="2072"/>
      <c r="I10" s="2051"/>
      <c r="J10" s="2046"/>
      <c r="K10" s="2057"/>
      <c r="L10" s="2032"/>
      <c r="M10" s="2032"/>
      <c r="N10" s="2033"/>
      <c r="O10" s="2034"/>
      <c r="P10" s="2033"/>
      <c r="Q10" s="2033"/>
      <c r="R10" s="2033"/>
    </row>
    <row r="11" spans="1:19" ht="18" customHeight="1">
      <c r="A11" s="2073" t="s">
        <v>1791</v>
      </c>
      <c r="B11" s="2074" t="s">
        <v>3032</v>
      </c>
      <c r="C11" s="2075"/>
      <c r="D11" s="2076"/>
      <c r="E11" s="2046"/>
      <c r="F11" s="2046"/>
      <c r="G11" s="2046"/>
      <c r="H11" s="2046"/>
      <c r="I11" s="2046"/>
      <c r="J11" s="2046"/>
      <c r="K11" s="2057"/>
      <c r="L11" s="2032"/>
      <c r="M11" s="2032"/>
      <c r="N11" s="2033"/>
      <c r="O11" s="2034"/>
      <c r="P11" s="2033"/>
      <c r="Q11" s="2033"/>
      <c r="R11" s="2033"/>
    </row>
    <row r="12" spans="1:19" ht="18" customHeight="1">
      <c r="A12" s="2077" t="s">
        <v>1792</v>
      </c>
      <c r="B12" s="2074" t="s">
        <v>3033</v>
      </c>
      <c r="C12" s="2078" t="s">
        <v>1793</v>
      </c>
      <c r="D12" s="2079" t="s">
        <v>1794</v>
      </c>
      <c r="E12" s="2079" t="s">
        <v>1795</v>
      </c>
      <c r="F12" s="2079" t="s">
        <v>1796</v>
      </c>
      <c r="G12" s="2079" t="s">
        <v>1797</v>
      </c>
      <c r="H12" s="2079" t="s">
        <v>1798</v>
      </c>
      <c r="I12" s="2079" t="s">
        <v>1799</v>
      </c>
      <c r="J12" s="2046"/>
      <c r="K12" s="2057"/>
      <c r="L12" s="2032"/>
      <c r="M12" s="2032"/>
      <c r="N12" s="2033"/>
      <c r="O12" s="2034"/>
      <c r="P12" s="2033"/>
      <c r="Q12" s="2033"/>
      <c r="R12" s="2033"/>
    </row>
    <row r="13" spans="1:19" ht="18" customHeight="1">
      <c r="A13" s="2080"/>
      <c r="B13" s="2081"/>
      <c r="C13" s="2082" t="s">
        <v>1800</v>
      </c>
      <c r="D13" s="2083"/>
      <c r="E13" s="2083"/>
      <c r="F13" s="2083">
        <v>56926</v>
      </c>
      <c r="G13" s="2083"/>
      <c r="H13" s="2083"/>
      <c r="I13" s="1050"/>
      <c r="J13" s="2046"/>
      <c r="K13" s="2057"/>
      <c r="L13" s="2032"/>
      <c r="M13" s="2032"/>
      <c r="N13" s="2033"/>
      <c r="O13" s="2034"/>
      <c r="P13" s="2033"/>
      <c r="Q13" s="2033"/>
      <c r="R13" s="2033"/>
    </row>
    <row r="14" spans="1:19" ht="18" customHeight="1">
      <c r="A14" s="2080"/>
      <c r="B14" s="2081"/>
      <c r="C14" s="2082" t="s">
        <v>1801</v>
      </c>
      <c r="D14" s="1053"/>
      <c r="E14" s="1053"/>
      <c r="F14" s="1053">
        <v>50</v>
      </c>
      <c r="G14" s="1053"/>
      <c r="H14" s="1053"/>
      <c r="I14" s="1053"/>
      <c r="J14" s="2046"/>
      <c r="K14" s="2084"/>
      <c r="L14" s="2032"/>
      <c r="M14" s="2032"/>
      <c r="N14" s="2033"/>
      <c r="O14" s="2034"/>
      <c r="P14" s="2033"/>
      <c r="Q14" s="2033"/>
      <c r="R14" s="2033"/>
    </row>
    <row r="15" spans="1:19" ht="18" customHeight="1">
      <c r="A15" s="2066"/>
      <c r="B15" s="2085"/>
      <c r="C15" s="2082" t="s">
        <v>1802</v>
      </c>
      <c r="D15" s="1052" t="str">
        <f>IF(B12="出让",IF(D13="","",ROUNDDOWN(MIN((D13-$D$3)/365,D14),2)),D14)</f>
        <v/>
      </c>
      <c r="E15" s="1052" t="str">
        <f>IF(B12="出让",IF(E13="","",ROUNDDOWN(MIN((E13-$D$3)/365,E14),2)),E14)</f>
        <v/>
      </c>
      <c r="F15" s="1052">
        <f>IF(B12="出让",IF(F13="","",ROUNDDOWN(MIN((F13-$D$3)/365,F14),2)),F14)</f>
        <v>38</v>
      </c>
      <c r="G15" s="1052" t="str">
        <f>IF(B12="出让",IF(G13="","",ROUNDDOWN(MIN((G13-$D$3)/365,G14),2)),G14)</f>
        <v/>
      </c>
      <c r="H15" s="1052" t="str">
        <f>IF(B12="出让",IF(H13="","",ROUNDDOWN(MIN((H13-$D$3)/365,H14),2)),H14)</f>
        <v/>
      </c>
      <c r="I15" s="1052" t="str">
        <f>IF(B12="出让",IF(I13="","",ROUNDDOWN(MIN((I13-$D$3)/365,I14),2)),I14)</f>
        <v/>
      </c>
      <c r="J15" s="2046"/>
      <c r="K15" s="2086"/>
      <c r="L15" s="2087"/>
      <c r="M15" s="2087"/>
      <c r="N15" s="2088"/>
      <c r="O15" s="2087"/>
      <c r="P15" s="2088"/>
      <c r="Q15" s="2033"/>
      <c r="R15" s="2033"/>
    </row>
    <row r="16" spans="1:19" ht="30.75" customHeight="1">
      <c r="A16" s="2069" t="s">
        <v>1803</v>
      </c>
      <c r="B16" s="3048"/>
      <c r="C16" s="3049"/>
      <c r="D16" s="3050"/>
      <c r="E16" s="2089" t="s">
        <v>1804</v>
      </c>
      <c r="F16" s="3051"/>
      <c r="G16" s="3052"/>
      <c r="H16" s="3052"/>
      <c r="I16" s="3053"/>
      <c r="J16" s="2033"/>
      <c r="K16" s="2086"/>
      <c r="L16" s="2087"/>
      <c r="M16" s="2087"/>
      <c r="N16" s="2088"/>
      <c r="O16" s="2087"/>
      <c r="P16" s="2088"/>
      <c r="Q16" s="2033"/>
      <c r="R16" s="2033"/>
    </row>
    <row r="17" spans="1:22" ht="18" customHeight="1">
      <c r="A17" s="2090" t="s">
        <v>1805</v>
      </c>
      <c r="B17" s="2039" t="s">
        <v>1806</v>
      </c>
      <c r="C17" s="1057">
        <f>'数据-汇总表'!E3</f>
        <v>1266.6499999999999</v>
      </c>
      <c r="D17" s="2091" t="s">
        <v>1807</v>
      </c>
      <c r="E17" s="3054" t="s">
        <v>1808</v>
      </c>
      <c r="F17" s="3055"/>
      <c r="G17" s="3055"/>
      <c r="H17" s="3055"/>
      <c r="I17" s="3056"/>
      <c r="J17" s="2033"/>
      <c r="K17" s="2092"/>
      <c r="L17" s="2087"/>
      <c r="M17" s="2087"/>
      <c r="N17" s="2088"/>
      <c r="O17" s="2087"/>
      <c r="P17" s="2088"/>
      <c r="Q17" s="2033"/>
      <c r="R17" s="2033"/>
      <c r="S17" s="2033"/>
      <c r="T17" s="2033"/>
      <c r="U17" s="2033"/>
      <c r="V17" s="2033"/>
    </row>
    <row r="18" spans="1:22" ht="36" customHeight="1" thickBot="1">
      <c r="A18" s="2093" t="s">
        <v>1809</v>
      </c>
      <c r="B18" s="2042" t="s">
        <v>1810</v>
      </c>
      <c r="C18" s="1447">
        <f>'数据-汇总表'!D3</f>
        <v>0</v>
      </c>
      <c r="D18" s="2094" t="s">
        <v>1807</v>
      </c>
      <c r="E18" s="3057" t="s">
        <v>1811</v>
      </c>
      <c r="F18" s="3058"/>
      <c r="G18" s="3058"/>
      <c r="H18" s="3058"/>
      <c r="I18" s="3059"/>
      <c r="J18" s="2033"/>
      <c r="K18" s="2092"/>
      <c r="L18" s="2087"/>
      <c r="M18" s="2087"/>
      <c r="N18" s="2088"/>
      <c r="O18" s="2087"/>
      <c r="P18" s="2088"/>
      <c r="Q18" s="2033"/>
      <c r="R18" s="2033"/>
      <c r="S18" s="2033"/>
      <c r="T18" s="2033"/>
      <c r="U18" s="2033"/>
      <c r="V18" s="2033"/>
    </row>
    <row r="19" spans="1:22" ht="37.5" customHeight="1" thickTop="1" thickBot="1">
      <c r="A19" s="373" t="s">
        <v>1812</v>
      </c>
      <c r="B19" s="352" t="s">
        <v>1813</v>
      </c>
      <c r="C19" s="2095" t="s">
        <v>3034</v>
      </c>
      <c r="D19" s="2096" t="s">
        <v>1814</v>
      </c>
      <c r="E19" s="2097" t="s">
        <v>3034</v>
      </c>
      <c r="F19" s="2098" t="str">
        <f>IF(AND(C19="是",E19="否"),"是否提供他项权证或相关说明","")</f>
        <v/>
      </c>
      <c r="G19" s="2099"/>
      <c r="H19" s="2046"/>
      <c r="I19" s="2046"/>
      <c r="J19" s="2046"/>
      <c r="K19" s="2057"/>
      <c r="L19" s="2032"/>
      <c r="M19" s="2032"/>
      <c r="N19" s="2088"/>
      <c r="O19" s="2087"/>
      <c r="P19" s="2088"/>
      <c r="Q19" s="2033"/>
      <c r="R19" s="2033"/>
      <c r="S19" s="2033"/>
      <c r="T19" s="2033"/>
      <c r="U19" s="2033"/>
      <c r="V19" s="2033"/>
    </row>
    <row r="20" spans="1:22" ht="18" customHeight="1">
      <c r="A20" s="2100" t="s">
        <v>1815</v>
      </c>
      <c r="B20" s="3044" t="s">
        <v>1816</v>
      </c>
      <c r="C20" s="3045"/>
      <c r="D20" s="3046" t="s">
        <v>1817</v>
      </c>
      <c r="E20" s="3047"/>
      <c r="F20" s="2101" t="s">
        <v>1818</v>
      </c>
      <c r="G20" s="2046"/>
      <c r="H20" s="2046"/>
      <c r="I20" s="2046"/>
      <c r="J20" s="2046"/>
      <c r="K20" s="3043" t="s">
        <v>1819</v>
      </c>
      <c r="L20" s="748" t="str">
        <f>"根据估价对象"&amp;IF(B22="——",B21&amp;C21,B21&amp;C21&amp;"、"&amp;B22&amp;C22)&amp;"，"&amp;IF(C19="是","截至价值时点，估价对象已设定抵押。","截至价值时点，估价对象抵押权未见登记。")</f>
        <v>根据估价对象《房屋所有权证》原件、，截至价值时点，估价对象已设定抵押。</v>
      </c>
      <c r="M20" s="2032"/>
      <c r="N20" s="2088"/>
      <c r="O20" s="2087"/>
      <c r="P20" s="2088"/>
      <c r="Q20" s="2033"/>
      <c r="R20" s="2033"/>
      <c r="S20" s="2033"/>
      <c r="T20" s="2033"/>
      <c r="U20" s="2033"/>
      <c r="V20" s="2033"/>
    </row>
    <row r="21" spans="1:22" ht="24.75" customHeight="1">
      <c r="A21" s="2100"/>
      <c r="B21" s="2102" t="s">
        <v>1820</v>
      </c>
      <c r="C21" s="2103" t="s">
        <v>1821</v>
      </c>
      <c r="D21" s="2104"/>
      <c r="E21" s="2105"/>
      <c r="F21" s="2106"/>
      <c r="G21" s="2046"/>
      <c r="H21" s="2046"/>
      <c r="I21" s="2046"/>
      <c r="J21" s="2046"/>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2"/>
      <c r="N21" s="2088"/>
      <c r="O21" s="2087"/>
      <c r="P21" s="2088"/>
      <c r="Q21" s="2033"/>
      <c r="R21" s="2033"/>
      <c r="S21" s="2033"/>
      <c r="T21" s="2033"/>
      <c r="U21" s="2033"/>
      <c r="V21" s="2033"/>
    </row>
    <row r="22" spans="1:22" ht="24.75" customHeight="1" thickBot="1">
      <c r="A22" s="2100"/>
      <c r="B22" s="2107"/>
      <c r="C22" s="2103"/>
      <c r="D22" s="2030"/>
      <c r="E22" s="2030"/>
      <c r="F22" s="2108"/>
      <c r="G22" s="2046"/>
      <c r="H22" s="2046"/>
      <c r="I22" s="2046"/>
      <c r="J22" s="2046"/>
      <c r="K22" s="30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32"/>
      <c r="N22" s="2088"/>
      <c r="O22" s="2087"/>
      <c r="P22" s="2088"/>
      <c r="Q22" s="2033"/>
      <c r="R22" s="2033"/>
      <c r="S22" s="2033"/>
      <c r="T22" s="2033"/>
      <c r="U22" s="2033"/>
      <c r="V22" s="2033"/>
    </row>
    <row r="23" spans="1:22" ht="18" customHeight="1">
      <c r="A23" s="2109" t="s">
        <v>1822</v>
      </c>
      <c r="B23" s="183" t="s">
        <v>1823</v>
      </c>
      <c r="C23" s="2110"/>
      <c r="D23" s="2111" t="s">
        <v>1823</v>
      </c>
      <c r="E23" s="2112"/>
      <c r="F23" s="2108"/>
      <c r="G23" s="2046"/>
      <c r="H23" s="2046"/>
      <c r="I23" s="2046"/>
      <c r="J23" s="2046"/>
      <c r="K23" s="2113"/>
      <c r="L23" s="748"/>
      <c r="M23" s="2032"/>
      <c r="N23" s="2088"/>
      <c r="O23" s="2087"/>
      <c r="P23" s="2088"/>
      <c r="Q23" s="2033"/>
      <c r="R23" s="2033"/>
      <c r="S23" s="2033"/>
      <c r="T23" s="2033"/>
      <c r="U23" s="2033"/>
      <c r="V23" s="2033"/>
    </row>
    <row r="24" spans="1:22" ht="18" customHeight="1">
      <c r="A24" s="2114"/>
      <c r="B24" s="183" t="s">
        <v>1824</v>
      </c>
      <c r="C24" s="2115"/>
      <c r="D24" s="2109" t="s">
        <v>1824</v>
      </c>
      <c r="E24" s="2116"/>
      <c r="F24" s="2108"/>
      <c r="G24" s="2046"/>
      <c r="H24" s="2046"/>
      <c r="I24" s="2046"/>
      <c r="J24" s="2046"/>
      <c r="K24" s="2113"/>
      <c r="L24" s="748"/>
      <c r="M24" s="2032"/>
      <c r="N24" s="2088"/>
      <c r="O24" s="2087"/>
      <c r="P24" s="2088"/>
      <c r="Q24" s="2033"/>
      <c r="R24" s="2033"/>
      <c r="S24" s="2033"/>
      <c r="T24" s="2033"/>
      <c r="U24" s="2033"/>
      <c r="V24" s="2033"/>
    </row>
    <row r="25" spans="1:22" ht="18" customHeight="1">
      <c r="A25" s="2114"/>
      <c r="B25" s="183" t="s">
        <v>1825</v>
      </c>
      <c r="C25" s="2115"/>
      <c r="D25" s="2109" t="s">
        <v>1825</v>
      </c>
      <c r="E25" s="2116"/>
      <c r="F25" s="2108"/>
      <c r="G25" s="2046"/>
      <c r="H25" s="2046"/>
      <c r="I25" s="2046"/>
      <c r="J25" s="2046"/>
      <c r="K25" s="2057"/>
      <c r="L25" s="2032"/>
      <c r="M25" s="2032"/>
      <c r="N25" s="2088"/>
      <c r="O25" s="2087"/>
      <c r="P25" s="2088"/>
      <c r="Q25" s="2033"/>
      <c r="R25" s="2033"/>
      <c r="S25" s="2033"/>
      <c r="T25" s="2033"/>
      <c r="U25" s="2033"/>
      <c r="V25" s="2033"/>
    </row>
    <row r="26" spans="1:22" ht="18" customHeight="1" thickBot="1">
      <c r="A26" s="2117"/>
      <c r="B26" s="2118" t="s">
        <v>1826</v>
      </c>
      <c r="C26" s="2119"/>
      <c r="D26" s="2120" t="s">
        <v>1827</v>
      </c>
      <c r="E26" s="2121"/>
      <c r="F26" s="2122"/>
      <c r="G26" s="2065"/>
      <c r="H26" s="2065"/>
      <c r="I26" s="2065"/>
      <c r="J26" s="2046"/>
      <c r="K26" s="2057"/>
      <c r="L26" s="2032"/>
      <c r="M26" s="2032"/>
      <c r="N26" s="2088"/>
      <c r="O26" s="2087"/>
      <c r="P26" s="2088"/>
      <c r="Q26" s="2033"/>
      <c r="R26" s="2033"/>
      <c r="S26" s="2033"/>
      <c r="T26" s="2033"/>
      <c r="U26" s="2033"/>
      <c r="V26" s="2033"/>
    </row>
    <row r="27" spans="1:22" ht="18" customHeight="1" thickTop="1">
      <c r="A27" s="3061" t="s">
        <v>1828</v>
      </c>
      <c r="B27" s="2066" t="s">
        <v>1829</v>
      </c>
      <c r="C27" s="2123" t="s">
        <v>3035</v>
      </c>
      <c r="D27" s="2124"/>
      <c r="E27" s="2046"/>
      <c r="F27" s="2046"/>
      <c r="G27" s="2046"/>
      <c r="H27" s="2046"/>
      <c r="I27" s="2046"/>
      <c r="J27" s="2033"/>
      <c r="K27" s="2086"/>
      <c r="L27" s="2087"/>
      <c r="M27" s="2087"/>
      <c r="N27" s="2088"/>
      <c r="O27" s="2087"/>
      <c r="P27" s="2088"/>
      <c r="Q27" s="2033"/>
      <c r="R27" s="2033"/>
      <c r="S27" s="2033"/>
      <c r="T27" s="2033"/>
      <c r="U27" s="2033"/>
      <c r="V27" s="2033"/>
    </row>
    <row r="28" spans="1:22" ht="18" customHeight="1">
      <c r="A28" s="3061"/>
      <c r="B28" s="2039" t="s">
        <v>1830</v>
      </c>
      <c r="C28" s="2125" t="s">
        <v>3036</v>
      </c>
      <c r="D28" s="2126"/>
      <c r="E28" s="2046"/>
      <c r="F28" s="2046"/>
      <c r="G28" s="2046"/>
      <c r="H28" s="2046"/>
      <c r="I28" s="2046"/>
      <c r="J28" s="2033"/>
      <c r="K28" s="2127"/>
      <c r="L28" s="2032"/>
      <c r="M28" s="2032"/>
      <c r="N28" s="2033"/>
      <c r="O28" s="2034"/>
      <c r="P28" s="2033"/>
      <c r="Q28" s="2033"/>
      <c r="R28" s="2033"/>
      <c r="S28" s="2033"/>
      <c r="T28" s="2033"/>
      <c r="U28" s="2033"/>
      <c r="V28" s="2033"/>
    </row>
    <row r="29" spans="1:22" ht="18" customHeight="1">
      <c r="A29" s="3061"/>
      <c r="B29" s="2039" t="s">
        <v>1831</v>
      </c>
      <c r="C29" s="2128" t="s">
        <v>3037</v>
      </c>
      <c r="D29" s="2129"/>
      <c r="E29" s="2046"/>
      <c r="F29" s="2046"/>
      <c r="G29" s="2046"/>
      <c r="H29" s="2046"/>
      <c r="I29" s="2046"/>
      <c r="J29" s="2033"/>
      <c r="K29" s="2127"/>
      <c r="L29" s="2032"/>
      <c r="M29" s="2032"/>
      <c r="N29" s="2033"/>
      <c r="O29" s="2034"/>
      <c r="P29" s="2033"/>
      <c r="Q29" s="2033"/>
      <c r="R29" s="2033"/>
      <c r="S29" s="2033"/>
      <c r="T29" s="2033"/>
      <c r="U29" s="2033"/>
      <c r="V29" s="2033"/>
    </row>
    <row r="30" spans="1:22" ht="18" customHeight="1">
      <c r="A30" s="3062"/>
      <c r="B30" s="2039" t="s">
        <v>1832</v>
      </c>
      <c r="C30" s="3063"/>
      <c r="D30" s="3064"/>
      <c r="E30" s="2046"/>
      <c r="F30" s="2046"/>
      <c r="G30" s="2046"/>
      <c r="H30" s="2046"/>
      <c r="I30" s="2046"/>
      <c r="J30" s="2033"/>
      <c r="K30" s="2127"/>
      <c r="L30" s="2032"/>
      <c r="M30" s="2032"/>
      <c r="N30" s="2033"/>
      <c r="O30" s="2034"/>
      <c r="P30" s="2033"/>
      <c r="Q30" s="2033"/>
      <c r="R30" s="2033"/>
      <c r="S30" s="2033"/>
      <c r="T30" s="2033"/>
      <c r="U30" s="2033"/>
      <c r="V30" s="2033"/>
    </row>
    <row r="31" spans="1:22" ht="18" customHeight="1">
      <c r="A31" s="3065" t="s">
        <v>1833</v>
      </c>
      <c r="B31" s="2130" t="s">
        <v>3038</v>
      </c>
      <c r="C31" s="2131" t="str">
        <f>IF(B31="现房","成新及维护状况正常否",IF(B31="在建","工程状态是否正常",IF(B31="土地","是否闲置","-")))</f>
        <v>成新及维护状况正常否</v>
      </c>
      <c r="D31" s="2132"/>
      <c r="E31" s="2133"/>
      <c r="F31" s="2046"/>
      <c r="G31" s="2046"/>
      <c r="H31" s="2046"/>
      <c r="I31" s="2046"/>
      <c r="J31" s="2046"/>
      <c r="K31" s="2055"/>
      <c r="L31" s="2032"/>
      <c r="M31" s="2032"/>
      <c r="N31" s="2033"/>
      <c r="O31" s="2034"/>
      <c r="P31" s="2033"/>
      <c r="Q31" s="2033"/>
      <c r="R31" s="2033"/>
      <c r="S31" s="2033"/>
      <c r="T31" s="2033"/>
      <c r="U31" s="2033"/>
      <c r="V31" s="2033"/>
    </row>
    <row r="32" spans="1:22" ht="18" customHeight="1">
      <c r="A32" s="3066"/>
      <c r="B32" s="2130"/>
      <c r="C32" s="2131" t="str">
        <f>IF(B32="现房","成新及维护状况是否正常",IF(B32="在建","工程状态是否正常",IF(B32="土地","是否闲置","-")))</f>
        <v>-</v>
      </c>
      <c r="D32" s="2132"/>
      <c r="E32" s="2133"/>
      <c r="F32" s="2046"/>
      <c r="G32" s="2046"/>
      <c r="H32" s="2046"/>
      <c r="I32" s="2046"/>
      <c r="J32" s="2046"/>
      <c r="K32" s="2057"/>
      <c r="L32" s="2032"/>
      <c r="M32" s="2032"/>
      <c r="N32" s="2033"/>
      <c r="O32" s="2034"/>
      <c r="P32" s="2033"/>
      <c r="Q32" s="2033"/>
      <c r="R32" s="2033"/>
      <c r="S32" s="2033"/>
      <c r="T32" s="2033"/>
      <c r="U32" s="2033"/>
      <c r="V32" s="2033"/>
    </row>
    <row r="33" spans="1:22" ht="18" customHeight="1">
      <c r="A33" s="3066"/>
      <c r="B33" s="2134"/>
      <c r="C33" s="2073" t="str">
        <f>IF(B33="现房","成新及维护状况是否正常",IF(B33="在建","工程状态是否正常",IF(B33="土地","是否闲置","-")))</f>
        <v>-</v>
      </c>
      <c r="D33" s="2135"/>
      <c r="E33" s="2136"/>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1834</v>
      </c>
      <c r="B34" s="2137" t="s">
        <v>3039</v>
      </c>
      <c r="C34" s="2137" t="s">
        <v>3040</v>
      </c>
      <c r="D34" s="2137" t="s">
        <v>3041</v>
      </c>
      <c r="E34" s="2137" t="s">
        <v>3042</v>
      </c>
      <c r="F34" s="2137" t="s">
        <v>3043</v>
      </c>
      <c r="G34" s="2137" t="s">
        <v>3044</v>
      </c>
      <c r="H34" s="2137" t="s">
        <v>70</v>
      </c>
      <c r="I34" s="2046"/>
      <c r="J34" s="2046"/>
      <c r="K34" s="1799">
        <f>COUNTIF(B34:H34,"——")</f>
        <v>1</v>
      </c>
      <c r="L34" s="2078" t="s">
        <v>1835</v>
      </c>
      <c r="M34" s="2078" t="s">
        <v>1836</v>
      </c>
      <c r="N34" s="2078" t="s">
        <v>1837</v>
      </c>
      <c r="O34" s="2078" t="s">
        <v>1838</v>
      </c>
      <c r="P34" s="2078" t="s">
        <v>1839</v>
      </c>
      <c r="Q34" s="2078" t="s">
        <v>1840</v>
      </c>
      <c r="R34" s="2078" t="s">
        <v>1841</v>
      </c>
      <c r="S34" s="3060" t="s">
        <v>1842</v>
      </c>
      <c r="T34" s="2138" t="str">
        <f>NUMBERSTRING(7-K34,1)&amp;"通"</f>
        <v>六通</v>
      </c>
      <c r="U34" s="2033"/>
      <c r="V34" s="2033"/>
    </row>
    <row r="35" spans="1:22" ht="18" customHeight="1">
      <c r="A35" s="2139"/>
      <c r="B35" s="3067" t="s">
        <v>1843</v>
      </c>
      <c r="C35" s="3067"/>
      <c r="D35" s="3067"/>
      <c r="E35" s="3067"/>
      <c r="F35" s="2140">
        <f>C10</f>
        <v>0</v>
      </c>
      <c r="G35" s="2046"/>
      <c r="H35" s="2046"/>
      <c r="I35" s="2046"/>
      <c r="J35" s="2046"/>
      <c r="K35" s="2078"/>
      <c r="L35" s="2078"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通路、通电、通上水、通下水、通讯、通热</v>
      </c>
      <c r="R35" s="48" t="str">
        <f>B34&amp;"、"&amp;C34&amp;"、"&amp;D34&amp;"、"&amp;E34&amp;"、"&amp;F34&amp;"、"&amp;G34&amp;"、"&amp;H34</f>
        <v>通路、通电、通上水、通下水、通讯、通热、——</v>
      </c>
      <c r="S35" s="3060"/>
      <c r="T35" s="48" t="str">
        <f>IF(T34="一通",L35,IF(T34="二通",M35,IF(T34="三通",N35,IF(T34="四通",O35,IF(T34="五通",P35,IF(T34="六通",Q35,R35))))))</f>
        <v>通路、通电、通上水、通下水、通讯、通热</v>
      </c>
      <c r="U35" s="2033"/>
      <c r="V35" s="2033"/>
    </row>
    <row r="36" spans="1:22" ht="18" customHeight="1">
      <c r="A36" s="2141"/>
      <c r="B36" s="2140" t="s">
        <v>1844</v>
      </c>
      <c r="C36" s="2140" t="s">
        <v>1845</v>
      </c>
      <c r="D36" s="2140" t="s">
        <v>1846</v>
      </c>
      <c r="E36" s="2140" t="s">
        <v>1847</v>
      </c>
      <c r="F36" s="2142"/>
      <c r="G36" s="2046"/>
      <c r="H36" s="2046"/>
      <c r="I36" s="2046"/>
      <c r="J36" s="2046"/>
      <c r="K36" s="2057"/>
      <c r="L36" s="2032"/>
      <c r="M36" s="2032"/>
      <c r="N36" s="2033"/>
      <c r="O36" s="2034"/>
      <c r="P36" s="2033"/>
      <c r="Q36" s="2033"/>
      <c r="R36" s="2033"/>
      <c r="S36" s="2033"/>
      <c r="T36" s="2033"/>
      <c r="U36" s="2033"/>
      <c r="V36" s="2033"/>
    </row>
    <row r="37" spans="1:22" ht="18" customHeight="1">
      <c r="A37" s="2143" t="s">
        <v>1848</v>
      </c>
      <c r="B37" s="2144"/>
      <c r="C37" s="2144" t="s">
        <v>526</v>
      </c>
      <c r="D37" s="2144"/>
      <c r="E37" s="2144"/>
      <c r="F37" s="2142"/>
      <c r="G37" s="2046"/>
      <c r="H37" s="2046"/>
      <c r="I37" s="2046"/>
      <c r="J37" s="2046"/>
      <c r="K37" s="2057"/>
      <c r="L37" s="2032"/>
      <c r="M37" s="2032"/>
      <c r="N37" s="2033"/>
      <c r="O37" s="2034"/>
      <c r="P37" s="2033"/>
      <c r="Q37" s="2033"/>
      <c r="R37" s="2033"/>
      <c r="S37" s="2033"/>
      <c r="T37" s="2033"/>
      <c r="U37" s="2033"/>
      <c r="V37" s="2033"/>
    </row>
    <row r="38" spans="1:22" ht="18" customHeight="1" thickBot="1">
      <c r="A38" s="2145" t="s">
        <v>1849</v>
      </c>
      <c r="B38" s="2146"/>
      <c r="C38" s="2146" t="s">
        <v>378</v>
      </c>
      <c r="D38" s="2146"/>
      <c r="E38" s="2146"/>
      <c r="F38" s="2147"/>
      <c r="G38" s="2065"/>
      <c r="H38" s="2065"/>
      <c r="I38" s="2065"/>
      <c r="J38" s="2046"/>
      <c r="K38" s="2057"/>
      <c r="L38" s="2032"/>
      <c r="M38" s="2032"/>
      <c r="N38" s="2033"/>
      <c r="O38" s="2034"/>
      <c r="P38" s="2033"/>
      <c r="Q38" s="2033"/>
      <c r="R38" s="2033"/>
      <c r="S38" s="2033"/>
      <c r="T38" s="2033"/>
      <c r="U38" s="2033"/>
      <c r="V38" s="2033"/>
    </row>
    <row r="39" spans="1:22" s="2152" customFormat="1" ht="18" customHeight="1" thickTop="1" thickBot="1">
      <c r="A39" s="2148" t="s">
        <v>1850</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3"/>
      <c r="B40" s="2033"/>
      <c r="C40" s="2033"/>
      <c r="D40" s="2033"/>
      <c r="E40" s="2033"/>
      <c r="F40" s="2033"/>
      <c r="G40" s="2033"/>
      <c r="H40" s="2033"/>
      <c r="I40" s="2153"/>
      <c r="J40" s="2088"/>
      <c r="K40" s="666"/>
      <c r="L40" s="2087"/>
      <c r="M40" s="2087"/>
      <c r="N40" s="2088"/>
      <c r="O40" s="2087"/>
      <c r="P40" s="2033"/>
      <c r="Q40" s="2033"/>
      <c r="R40" s="2033"/>
      <c r="S40" s="2033"/>
      <c r="T40" s="2033"/>
      <c r="U40" s="2033"/>
      <c r="V40" s="2033"/>
    </row>
    <row r="41" spans="1:22" ht="18" customHeight="1">
      <c r="A41" s="8" t="s">
        <v>1851</v>
      </c>
      <c r="B41" s="2154"/>
      <c r="C41" s="2155"/>
      <c r="D41" s="2033"/>
      <c r="E41" s="2033"/>
      <c r="F41" s="2033"/>
      <c r="G41" s="2033"/>
      <c r="H41" s="2033"/>
      <c r="I41" s="2034"/>
      <c r="J41" s="2033"/>
      <c r="K41" s="2127"/>
      <c r="L41" s="2032"/>
      <c r="M41" s="2032"/>
      <c r="N41" s="2033"/>
      <c r="O41" s="2034"/>
      <c r="P41" s="2033"/>
      <c r="Q41" s="2033"/>
      <c r="R41" s="2033"/>
      <c r="S41" s="2033"/>
      <c r="T41" s="2033"/>
      <c r="U41" s="2033"/>
      <c r="V41" s="2033"/>
    </row>
    <row r="42" spans="1:22" ht="18" customHeight="1">
      <c r="A42" s="2078" t="s">
        <v>1852</v>
      </c>
      <c r="B42" s="1799" t="s">
        <v>1853</v>
      </c>
      <c r="C42" s="1799" t="s">
        <v>1854</v>
      </c>
      <c r="D42" s="1799" t="s">
        <v>1855</v>
      </c>
      <c r="E42" s="1799" t="s">
        <v>1856</v>
      </c>
      <c r="F42" s="1799" t="s">
        <v>1857</v>
      </c>
      <c r="G42" s="1799" t="s">
        <v>1858</v>
      </c>
      <c r="H42" s="1799" t="s">
        <v>1859</v>
      </c>
      <c r="I42" s="1799" t="s">
        <v>1860</v>
      </c>
      <c r="J42" s="2156" t="s">
        <v>1861</v>
      </c>
      <c r="K42" s="2079" t="s">
        <v>1862</v>
      </c>
      <c r="L42" s="2079" t="s">
        <v>1863</v>
      </c>
      <c r="M42" s="2079" t="s">
        <v>1864</v>
      </c>
      <c r="N42" s="1799" t="s">
        <v>1865</v>
      </c>
      <c r="O42" s="1799" t="s">
        <v>1866</v>
      </c>
      <c r="P42" s="1799" t="s">
        <v>1867</v>
      </c>
      <c r="Q42" s="2078" t="s">
        <v>1868</v>
      </c>
      <c r="R42" s="2078" t="s">
        <v>1869</v>
      </c>
      <c r="S42" s="2033"/>
      <c r="T42" s="2033"/>
      <c r="U42" s="2033"/>
      <c r="V42" s="2033"/>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7" sqref="C37"/>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1870</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7" t="s">
        <v>1871</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1" customFormat="1" ht="24">
      <c r="A2" s="11" t="s">
        <v>1872</v>
      </c>
      <c r="B2" s="11" t="s">
        <v>1873</v>
      </c>
      <c r="C2" s="11" t="s">
        <v>1874</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1875</v>
      </c>
      <c r="AZ2" s="1273" t="s">
        <v>1876</v>
      </c>
      <c r="BA2" s="11" t="s">
        <v>1877</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1266.6499999999999</v>
      </c>
      <c r="C3" s="2172" t="s">
        <v>1878</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7"/>
      <c r="C5" s="1807"/>
      <c r="D5" s="1810"/>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1879</v>
      </c>
      <c r="AW5" s="1807"/>
      <c r="AX5" s="1807"/>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1880</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0"/>
      <c r="AU7" s="2183" t="s">
        <v>1888</v>
      </c>
      <c r="AV7" s="23" t="s">
        <v>1889</v>
      </c>
      <c r="AW7" s="2170" t="s">
        <v>1890</v>
      </c>
      <c r="AX7" s="23" t="s">
        <v>1883</v>
      </c>
      <c r="AY7" s="1807"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2"/>
      <c r="K8" s="1822"/>
      <c r="L8" s="1822"/>
      <c r="M8" s="1822"/>
      <c r="N8" s="1822"/>
      <c r="O8" s="1822"/>
      <c r="P8" s="1822"/>
      <c r="Q8" s="1822"/>
      <c r="R8" s="1822"/>
      <c r="S8" s="1822"/>
      <c r="T8" s="1822"/>
      <c r="U8" s="1822"/>
      <c r="V8" s="2190"/>
      <c r="W8" s="1822"/>
      <c r="X8" s="1822"/>
      <c r="Y8" s="1822"/>
      <c r="Z8" s="1822"/>
      <c r="AA8" s="2190"/>
      <c r="AB8" s="2191"/>
      <c r="AC8" s="984" t="s">
        <v>1894</v>
      </c>
      <c r="AD8" s="2192"/>
      <c r="AE8" s="2184"/>
      <c r="AF8" s="1822"/>
      <c r="AG8" s="1822"/>
      <c r="AH8" s="1822"/>
      <c r="AI8" s="1822"/>
      <c r="AJ8" s="1822"/>
      <c r="AK8" s="1822"/>
      <c r="AL8" s="1822"/>
      <c r="AM8" s="1822"/>
      <c r="AN8" s="1822"/>
      <c r="AO8" s="1822"/>
      <c r="AP8" s="1822"/>
      <c r="AQ8" s="1822"/>
      <c r="AR8" s="1822"/>
      <c r="AS8" s="1822"/>
      <c r="AT8" s="1295" t="s">
        <v>1895</v>
      </c>
      <c r="AU8" s="2186" t="s">
        <v>1896</v>
      </c>
      <c r="AV8" s="1295"/>
      <c r="AW8" s="2169"/>
      <c r="AX8" s="1295"/>
      <c r="AY8" s="2170" t="s">
        <v>1897</v>
      </c>
      <c r="AZ8" s="1821" t="s">
        <v>1898</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3" customFormat="1" ht="12.75">
      <c r="A9" s="2186"/>
      <c r="B9" s="2186"/>
      <c r="C9" s="2186"/>
      <c r="D9" s="2186"/>
      <c r="E9" s="2186"/>
      <c r="F9" s="2186"/>
      <c r="G9" s="1295"/>
      <c r="H9" s="2194" t="s">
        <v>1899</v>
      </c>
      <c r="I9" s="2195" t="s">
        <v>3045</v>
      </c>
      <c r="J9" s="984"/>
      <c r="K9" s="2195"/>
      <c r="L9" s="984"/>
      <c r="M9" s="2195"/>
      <c r="N9" s="984"/>
      <c r="O9" s="2195"/>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2"/>
      <c r="BN9" s="2189"/>
      <c r="BO9" s="1822"/>
      <c r="BP9" s="1822"/>
      <c r="BQ9" s="1822"/>
      <c r="BR9" s="1822"/>
      <c r="BS9" s="1822"/>
      <c r="BT9" s="26"/>
    </row>
    <row r="10" spans="1:72" s="2193" customFormat="1" ht="12.75">
      <c r="A10" s="2186"/>
      <c r="B10" s="2186"/>
      <c r="C10" s="2186"/>
      <c r="D10" s="2186"/>
      <c r="E10" s="2186"/>
      <c r="F10" s="2186"/>
      <c r="G10" s="1295"/>
      <c r="H10" s="28"/>
      <c r="I10" s="2195" t="s">
        <v>27</v>
      </c>
      <c r="J10" s="984"/>
      <c r="K10" s="2201"/>
      <c r="L10" s="984"/>
      <c r="M10" s="2201"/>
      <c r="N10" s="984"/>
      <c r="O10" s="2201"/>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f>K9</f>
        <v>0</v>
      </c>
      <c r="BD10" s="29">
        <f>M9</f>
        <v>0</v>
      </c>
      <c r="BE10" s="29">
        <f>O9</f>
        <v>0</v>
      </c>
      <c r="BF10" s="29">
        <f>Q9</f>
        <v>0</v>
      </c>
      <c r="BG10" s="29">
        <f>S9</f>
        <v>0</v>
      </c>
      <c r="BH10" s="29">
        <f>U9</f>
        <v>0</v>
      </c>
      <c r="BI10" s="29">
        <f>W9</f>
        <v>0</v>
      </c>
      <c r="BJ10" s="29">
        <f>Y9</f>
        <v>0</v>
      </c>
      <c r="BK10" s="29">
        <f>AA9</f>
        <v>0</v>
      </c>
      <c r="BL10" s="25" t="s">
        <v>1899</v>
      </c>
      <c r="BM10" s="1821" t="str">
        <f>AD9</f>
        <v>地上</v>
      </c>
      <c r="BN10" s="29" t="str">
        <f>AF9</f>
        <v>地下</v>
      </c>
      <c r="BO10" s="1821" t="str">
        <f>AH9</f>
        <v>地上</v>
      </c>
      <c r="BP10" s="29" t="str">
        <f>AJ9</f>
        <v>地下</v>
      </c>
      <c r="BQ10" s="1821" t="str">
        <f>AL9</f>
        <v>地上</v>
      </c>
      <c r="BR10" s="29" t="str">
        <f>AN9</f>
        <v>地下</v>
      </c>
      <c r="BS10" s="1821" t="str">
        <f>AP9</f>
        <v>地上</v>
      </c>
      <c r="BT10" s="2205" t="str">
        <f>AR9</f>
        <v>地下</v>
      </c>
    </row>
    <row r="11" spans="1:72" s="2193" customFormat="1" ht="12.75">
      <c r="A11" s="2186"/>
      <c r="B11" s="2186"/>
      <c r="C11" s="2186"/>
      <c r="D11" s="2186"/>
      <c r="E11" s="2186"/>
      <c r="F11" s="2186"/>
      <c r="G11" s="1295"/>
      <c r="H11" s="2203"/>
      <c r="I11" s="2206" t="s">
        <v>3046</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1909</v>
      </c>
      <c r="AE11" s="1823"/>
      <c r="AF11" s="2208" t="s">
        <v>1909</v>
      </c>
      <c r="AG11" s="1823"/>
      <c r="AH11" s="2208" t="s">
        <v>1910</v>
      </c>
      <c r="AI11" s="2209"/>
      <c r="AJ11" s="2208" t="s">
        <v>1910</v>
      </c>
      <c r="AK11" s="1823"/>
      <c r="AL11" s="1821"/>
      <c r="AM11" s="1823"/>
      <c r="AN11" s="1821"/>
      <c r="AO11" s="1823"/>
      <c r="AP11" s="1821"/>
      <c r="AQ11" s="1823"/>
      <c r="AR11" s="1821"/>
      <c r="AS11" s="1823"/>
      <c r="AT11" s="2169"/>
      <c r="AU11" s="2186"/>
      <c r="AV11" s="1295"/>
      <c r="AW11" s="2169"/>
      <c r="AX11" s="1295"/>
      <c r="AY11" s="28"/>
      <c r="AZ11" s="28"/>
      <c r="BA11" s="28"/>
      <c r="BB11" s="2191" t="str">
        <f>I10</f>
        <v>办公</v>
      </c>
      <c r="BC11" s="2191">
        <f>K10</f>
        <v>0</v>
      </c>
      <c r="BD11" s="2191">
        <f>M10</f>
        <v>0</v>
      </c>
      <c r="BE11" s="2191">
        <f>O10</f>
        <v>0</v>
      </c>
      <c r="BF11" s="2191">
        <f>Q10</f>
        <v>0</v>
      </c>
      <c r="BG11" s="2191">
        <f>S10</f>
        <v>0</v>
      </c>
      <c r="BH11" s="2191">
        <f>U10</f>
        <v>0</v>
      </c>
      <c r="BI11" s="2191">
        <f>W10</f>
        <v>0</v>
      </c>
      <c r="BJ11" s="2191">
        <f>Y10</f>
        <v>0</v>
      </c>
      <c r="BK11" s="2191">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0"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6" t="s">
        <v>1912</v>
      </c>
      <c r="W12" s="11" t="s">
        <v>1911</v>
      </c>
      <c r="X12" s="11" t="s">
        <v>1912</v>
      </c>
      <c r="Y12" s="11" t="s">
        <v>1911</v>
      </c>
      <c r="Z12" s="11" t="s">
        <v>1912</v>
      </c>
      <c r="AA12" s="11" t="s">
        <v>1911</v>
      </c>
      <c r="AB12" s="11" t="s">
        <v>1912</v>
      </c>
      <c r="AC12" s="2213"/>
      <c r="AD12" s="1810"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底商</v>
      </c>
      <c r="BC12" s="2216">
        <f>K11</f>
        <v>0</v>
      </c>
      <c r="BD12" s="2216">
        <f>M11</f>
        <v>0</v>
      </c>
      <c r="BE12" s="2191">
        <f>O11</f>
        <v>0</v>
      </c>
      <c r="BF12" s="2191">
        <f>Q11</f>
        <v>0</v>
      </c>
      <c r="BG12" s="2191">
        <f>S11</f>
        <v>0</v>
      </c>
      <c r="BH12" s="2191">
        <f>U11</f>
        <v>0</v>
      </c>
      <c r="BI12" s="2191">
        <f>W11</f>
        <v>0</v>
      </c>
      <c r="BJ12" s="2191">
        <f>Y11</f>
        <v>0</v>
      </c>
      <c r="BK12" s="2191">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101</v>
      </c>
      <c r="D13" s="2217" t="s">
        <v>3034</v>
      </c>
      <c r="E13" s="16">
        <f>IF($C$3="是",ROUND($A$3*G13/$B$3,2),ROUND($A$3*(G13-AT13)/$B$3,2))</f>
        <v>0</v>
      </c>
      <c r="F13" s="32"/>
      <c r="G13" s="33">
        <f>H13+AC13+AT13</f>
        <v>125.74</v>
      </c>
      <c r="H13" s="33">
        <f>SUMIF(I$12:AB$12,"总值",I13:AB13)</f>
        <v>125.74</v>
      </c>
      <c r="I13" s="2218">
        <v>125.74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101</v>
      </c>
      <c r="AY13" s="1810">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1275">
        <v>102</v>
      </c>
      <c r="D14" s="2217" t="s">
        <v>3034</v>
      </c>
      <c r="E14" s="16">
        <f>IF($C$3="是",ROUND($A$3*G14/$B$3,2),ROUND($A$3*(G14-AT14)/$B$3,2))</f>
        <v>0</v>
      </c>
      <c r="F14" s="32"/>
      <c r="G14" s="33">
        <f>H14+AC14+AT14</f>
        <v>138.44999999999999</v>
      </c>
      <c r="H14" s="33">
        <f>SUMIF(I$12:AB$12,"总值",I14:AB14)</f>
        <v>138.44999999999999</v>
      </c>
      <c r="I14" s="2218">
        <v>138.44999999999999</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102</v>
      </c>
      <c r="AY14" s="1810">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1275">
        <v>103</v>
      </c>
      <c r="D15" s="2217" t="s">
        <v>3034</v>
      </c>
      <c r="E15" s="16">
        <f>IF($C$3="是",ROUND($A$3*G15/$B$3,2),ROUND($A$3*(G15-AT15)/$B$3,2))</f>
        <v>0</v>
      </c>
      <c r="F15" s="32"/>
      <c r="G15" s="33">
        <f>H15+AC15+AT15</f>
        <v>137.61000000000001</v>
      </c>
      <c r="H15" s="33">
        <f>SUMIF(I$12:AB$12,"总值",I15:AB15)</f>
        <v>137.61000000000001</v>
      </c>
      <c r="I15" s="2218">
        <v>137.61000000000001</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103</v>
      </c>
      <c r="AY15" s="1810">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1275">
        <v>104</v>
      </c>
      <c r="D16" s="2217" t="s">
        <v>3034</v>
      </c>
      <c r="E16" s="16">
        <f>IF($C$3="是",ROUND($A$3*G16/$B$3,2),ROUND($A$3*(G16-AT16)/$B$3,2))</f>
        <v>0</v>
      </c>
      <c r="F16" s="32"/>
      <c r="G16" s="33">
        <f>H16+AC16+AT16</f>
        <v>121.22</v>
      </c>
      <c r="H16" s="33">
        <f>SUMIF(I$12:AB$12,"总值",I16:AB16)</f>
        <v>121.22</v>
      </c>
      <c r="I16" s="2218">
        <v>121.22</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104</v>
      </c>
      <c r="AY16" s="1810">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1275">
        <v>105</v>
      </c>
      <c r="D17" s="2217" t="s">
        <v>3034</v>
      </c>
      <c r="E17" s="16">
        <f>IF($C$3="是",ROUND($A$3*G17/$B$3,2),ROUND($A$3*(G17-AT17)/$B$3,2))</f>
        <v>0</v>
      </c>
      <c r="F17" s="32"/>
      <c r="G17" s="33">
        <f>H17+AC17+AT17</f>
        <v>72.12</v>
      </c>
      <c r="H17" s="33">
        <f>SUMIF(I$12:AB$12,"总值",I17:AB17)</f>
        <v>72.12</v>
      </c>
      <c r="I17" s="2218">
        <v>72.12</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105</v>
      </c>
      <c r="AY17" s="1810">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v>106</v>
      </c>
      <c r="D18" s="2217" t="s">
        <v>3034</v>
      </c>
      <c r="E18" s="35">
        <f t="shared" ref="E18:E112" si="7">IF($C$3="是",ROUND($A$3*G18/$B$3,2),ROUND($A$3*(G18-AT18)/$B$3,2))</f>
        <v>0</v>
      </c>
      <c r="F18" s="36"/>
      <c r="G18" s="33">
        <f t="shared" ref="G18:G109" si="8">H18+AC18+AT18</f>
        <v>116.2</v>
      </c>
      <c r="H18" s="33">
        <f t="shared" ref="H18:H109" si="9">SUMIF(I$12:AB$12,"总值",I18:AB18)</f>
        <v>116.2</v>
      </c>
      <c r="I18" s="2218">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9">
        <f t="shared" ref="AV18:AV112" si="11">A18</f>
        <v>0</v>
      </c>
      <c r="AW18" s="1799">
        <f t="shared" ref="AW18:AW112" si="12">B18</f>
        <v>0</v>
      </c>
      <c r="AX18" s="1799">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v>107</v>
      </c>
      <c r="D19" s="2217" t="s">
        <v>3034</v>
      </c>
      <c r="E19" s="35">
        <f t="shared" si="7"/>
        <v>0</v>
      </c>
      <c r="F19" s="36"/>
      <c r="G19" s="33">
        <f t="shared" si="8"/>
        <v>142.52000000000001</v>
      </c>
      <c r="H19" s="33">
        <f t="shared" si="9"/>
        <v>142.52000000000001</v>
      </c>
      <c r="I19" s="2218">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9">
        <f t="shared" si="11"/>
        <v>0</v>
      </c>
      <c r="AW19" s="1799">
        <f t="shared" si="12"/>
        <v>0</v>
      </c>
      <c r="AX19" s="1799">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v>108</v>
      </c>
      <c r="D20" s="2217" t="s">
        <v>3034</v>
      </c>
      <c r="E20" s="35">
        <f t="shared" si="7"/>
        <v>0</v>
      </c>
      <c r="F20" s="36"/>
      <c r="G20" s="37">
        <f t="shared" si="8"/>
        <v>133.59</v>
      </c>
      <c r="H20" s="38">
        <f t="shared" si="9"/>
        <v>133.59</v>
      </c>
      <c r="I20" s="2218">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9">
        <f t="shared" si="11"/>
        <v>0</v>
      </c>
      <c r="AW20" s="1799">
        <f t="shared" si="12"/>
        <v>0</v>
      </c>
      <c r="AX20" s="1799">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v>109</v>
      </c>
      <c r="D21" s="2217" t="s">
        <v>3034</v>
      </c>
      <c r="E21" s="35">
        <f t="shared" si="7"/>
        <v>0</v>
      </c>
      <c r="F21" s="36"/>
      <c r="G21" s="37">
        <f t="shared" si="8"/>
        <v>125.85</v>
      </c>
      <c r="H21" s="38">
        <f t="shared" si="9"/>
        <v>125.85</v>
      </c>
      <c r="I21" s="2218">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9">
        <f t="shared" si="11"/>
        <v>0</v>
      </c>
      <c r="AW21" s="1799">
        <f t="shared" si="12"/>
        <v>0</v>
      </c>
      <c r="AX21" s="1799">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v>110</v>
      </c>
      <c r="D22" s="2217" t="s">
        <v>3034</v>
      </c>
      <c r="E22" s="35">
        <f t="shared" si="7"/>
        <v>0</v>
      </c>
      <c r="F22" s="36"/>
      <c r="G22" s="37">
        <f t="shared" si="8"/>
        <v>28.82</v>
      </c>
      <c r="H22" s="38">
        <f t="shared" si="9"/>
        <v>28.82</v>
      </c>
      <c r="I22" s="2218">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9">
        <f t="shared" si="11"/>
        <v>0</v>
      </c>
      <c r="AW22" s="1799">
        <f t="shared" si="12"/>
        <v>0</v>
      </c>
      <c r="AX22" s="1799">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5">
        <v>111</v>
      </c>
      <c r="D23" s="2217" t="s">
        <v>3034</v>
      </c>
      <c r="E23" s="35">
        <f t="shared" si="7"/>
        <v>0</v>
      </c>
      <c r="F23" s="36"/>
      <c r="G23" s="37">
        <f t="shared" si="8"/>
        <v>95.71</v>
      </c>
      <c r="H23" s="38">
        <f t="shared" si="9"/>
        <v>95.71</v>
      </c>
      <c r="I23" s="2218">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9">
        <f t="shared" si="11"/>
        <v>0</v>
      </c>
      <c r="AW23" s="1799">
        <f t="shared" si="12"/>
        <v>0</v>
      </c>
      <c r="AX23" s="1799">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5">
        <v>112</v>
      </c>
      <c r="D24" s="2217" t="s">
        <v>3034</v>
      </c>
      <c r="E24" s="35">
        <f t="shared" si="7"/>
        <v>0</v>
      </c>
      <c r="F24" s="36"/>
      <c r="G24" s="37">
        <f t="shared" si="8"/>
        <v>28.82</v>
      </c>
      <c r="H24" s="38">
        <f t="shared" si="9"/>
        <v>28.82</v>
      </c>
      <c r="I24" s="2218">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9">
        <f t="shared" si="11"/>
        <v>0</v>
      </c>
      <c r="AW24" s="1799">
        <f t="shared" si="12"/>
        <v>0</v>
      </c>
      <c r="AX24" s="1799">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79" t="s">
        <v>1939</v>
      </c>
      <c r="B2" s="3079"/>
      <c r="C2" s="3079"/>
      <c r="D2" s="970" t="s">
        <v>1915</v>
      </c>
      <c r="E2" s="2231" t="s">
        <v>1916</v>
      </c>
      <c r="F2" s="1395"/>
      <c r="G2" s="2232"/>
      <c r="H2" s="2233"/>
      <c r="I2" s="2234" t="s">
        <v>1940</v>
      </c>
      <c r="J2" s="1395"/>
      <c r="K2" s="1395"/>
      <c r="L2" s="1395"/>
      <c r="M2" s="1395"/>
      <c r="N2" s="1430"/>
      <c r="O2" s="1395"/>
      <c r="P2" s="1395"/>
    </row>
    <row r="3" spans="1:16" ht="15.75" thickBot="1">
      <c r="A3" s="3080" t="s">
        <v>1913</v>
      </c>
      <c r="B3" s="3080"/>
      <c r="C3" s="3080"/>
      <c r="D3" s="46">
        <f>'数据-基础表'!AY6</f>
        <v>0</v>
      </c>
      <c r="E3" s="46">
        <f>'数据-基础表'!AZ5</f>
        <v>1266.6499999999999</v>
      </c>
      <c r="F3" s="1395"/>
      <c r="G3" s="1402"/>
      <c r="H3" s="1250" t="s">
        <v>1914</v>
      </c>
      <c r="I3" s="55" t="e">
        <f>ROUND('数据-基础表'!B3/'数据-基础表'!A3,2)</f>
        <v>#DIV/0!</v>
      </c>
      <c r="J3" s="1395"/>
      <c r="K3" s="1395"/>
      <c r="L3" s="1395"/>
      <c r="M3" s="1395"/>
      <c r="N3" s="1430"/>
      <c r="O3" s="1395"/>
      <c r="P3" s="1395"/>
    </row>
    <row r="4" spans="1:16" ht="15">
      <c r="A4" s="3081"/>
      <c r="B4" s="3082"/>
      <c r="C4" s="3083"/>
      <c r="D4" s="2235" t="s">
        <v>1915</v>
      </c>
      <c r="E4" s="2236" t="s">
        <v>1916</v>
      </c>
      <c r="F4" s="1395"/>
      <c r="G4" s="2237" t="s">
        <v>1941</v>
      </c>
      <c r="H4" s="1250" t="s">
        <v>1921</v>
      </c>
      <c r="I4" s="55" t="e">
        <f>ROUND(SUMIF('数据-基础表'!I9:AS9,"地上",'数据-基础表'!I5:AS5)/'数据-基础表'!A3,2)</f>
        <v>#DIV/0!</v>
      </c>
      <c r="J4" s="1395"/>
      <c r="K4" s="1395"/>
      <c r="L4" s="1395"/>
      <c r="M4" s="1395"/>
      <c r="N4" s="1430"/>
      <c r="O4" s="1395"/>
      <c r="P4" s="1395"/>
    </row>
    <row r="5" spans="1:16">
      <c r="A5" s="47" t="s">
        <v>1917</v>
      </c>
      <c r="B5" s="3084" t="s">
        <v>1918</v>
      </c>
      <c r="C5" s="3084"/>
      <c r="D5" s="48">
        <f>ROUND($D$3*E5/$E$3,2)</f>
        <v>0</v>
      </c>
      <c r="E5" s="49">
        <f>SUMIF('数据-基础表'!$11:$11,"住宅",'数据-基础表'!$5:$5)</f>
        <v>0</v>
      </c>
      <c r="F5" s="1395"/>
      <c r="G5" s="1402"/>
      <c r="H5" s="1250" t="s">
        <v>1914</v>
      </c>
      <c r="I5" s="55" t="e">
        <f>ROUND(E31/D31,2)</f>
        <v>#DIV/0!</v>
      </c>
      <c r="J5" s="1395"/>
      <c r="K5" s="1395"/>
      <c r="L5" s="1395"/>
      <c r="M5" s="1395"/>
      <c r="N5" s="1395"/>
      <c r="O5" s="1395"/>
      <c r="P5" s="1395"/>
    </row>
    <row r="6" spans="1:16" ht="15" thickBot="1">
      <c r="A6" s="2238"/>
      <c r="B6" s="3084" t="s">
        <v>1919</v>
      </c>
      <c r="C6" s="3084"/>
      <c r="D6" s="48">
        <f>ROUND($D$3*E6/$E$3,2)</f>
        <v>0</v>
      </c>
      <c r="E6" s="49">
        <f>E3-E5</f>
        <v>1266.6499999999999</v>
      </c>
      <c r="F6" s="1395"/>
      <c r="G6" s="2239" t="s">
        <v>1920</v>
      </c>
      <c r="H6" s="1402" t="s">
        <v>1921</v>
      </c>
      <c r="I6" s="942" t="e">
        <f>ROUND(F31/D31,2)</f>
        <v>#DIV/0!</v>
      </c>
      <c r="J6" s="1395"/>
      <c r="K6" s="1395"/>
      <c r="L6" s="1395"/>
      <c r="M6" s="1395"/>
      <c r="N6" s="1395"/>
      <c r="O6" s="1395"/>
      <c r="P6" s="1395"/>
    </row>
    <row r="7" spans="1:16" ht="15">
      <c r="A7" s="3076"/>
      <c r="B7" s="3077"/>
      <c r="C7" s="3078"/>
      <c r="D7" s="2235" t="s">
        <v>1915</v>
      </c>
      <c r="E7" s="2240" t="s">
        <v>1922</v>
      </c>
      <c r="F7" s="1395"/>
      <c r="G7" s="2232" t="s">
        <v>1923</v>
      </c>
      <c r="H7" s="64"/>
      <c r="I7" s="420">
        <v>2.5</v>
      </c>
      <c r="J7" s="1395"/>
      <c r="K7" s="1395"/>
      <c r="L7" s="1395"/>
      <c r="M7" s="1395"/>
      <c r="N7" s="1395"/>
      <c r="O7" s="1395"/>
      <c r="P7" s="1395"/>
    </row>
    <row r="8" spans="1:16">
      <c r="A8" s="47" t="s">
        <v>1924</v>
      </c>
      <c r="B8" s="50" t="s">
        <v>1925</v>
      </c>
      <c r="C8" s="48" t="s">
        <v>1926</v>
      </c>
      <c r="D8" s="48">
        <f t="shared" ref="D8:D15" si="0">ROUND($D$3*E8/$E$3,2)</f>
        <v>0</v>
      </c>
      <c r="E8" s="51">
        <f>SUMIF('数据-基础表'!BB10:BK10,"地上",'数据-基础表'!BB5:BK5)</f>
        <v>1266.6499999999999</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1931</v>
      </c>
      <c r="D16" s="50">
        <f>SUM(D8:D15)</f>
        <v>0</v>
      </c>
      <c r="E16" s="53">
        <f>SUM(E8:E15)</f>
        <v>1266.6499999999999</v>
      </c>
      <c r="F16" s="1395"/>
      <c r="G16" s="2241"/>
      <c r="H16" s="2244" t="s">
        <v>1943</v>
      </c>
      <c r="I16" s="2245"/>
      <c r="J16" s="1395"/>
      <c r="K16" s="3073" t="s">
        <v>1943</v>
      </c>
      <c r="L16" s="3074"/>
      <c r="M16" s="3074"/>
      <c r="N16" s="3074"/>
      <c r="O16" s="3074"/>
      <c r="P16" s="3075"/>
    </row>
    <row r="17" spans="1:19" ht="15">
      <c r="A17" s="2246" t="s">
        <v>1944</v>
      </c>
      <c r="B17" s="2247" t="s">
        <v>1945</v>
      </c>
      <c r="C17" s="2248" t="s">
        <v>1946</v>
      </c>
      <c r="D17" s="2249" t="s">
        <v>1934</v>
      </c>
      <c r="E17" s="2250" t="s">
        <v>1935</v>
      </c>
      <c r="F17" s="2251"/>
      <c r="G17" s="2252"/>
      <c r="H17" s="2253" t="s">
        <v>1947</v>
      </c>
      <c r="I17" s="2254" t="s">
        <v>1932</v>
      </c>
      <c r="J17" s="1395"/>
      <c r="K17" s="3070" t="s">
        <v>1948</v>
      </c>
      <c r="L17" s="3071"/>
      <c r="M17" s="3072"/>
      <c r="N17" s="3070" t="s">
        <v>1949</v>
      </c>
      <c r="O17" s="3071"/>
      <c r="P17" s="3072"/>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90" t="s">
        <v>3207</v>
      </c>
      <c r="D19" s="48">
        <f>ROUND($D$3*E19/$E$3,2)</f>
        <v>0</v>
      </c>
      <c r="E19" s="56">
        <f t="shared" ref="E19:E26" si="1">SUM(F19:G19)</f>
        <v>125.74</v>
      </c>
      <c r="F19" s="57">
        <f>'数据-基础表'!I13</f>
        <v>125.74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125.74</v>
      </c>
    </row>
    <row r="20" spans="1:19">
      <c r="A20" s="2267"/>
      <c r="B20" s="50" t="s">
        <v>1961</v>
      </c>
      <c r="C20" s="2990" t="s">
        <v>3208</v>
      </c>
      <c r="D20" s="48">
        <f t="shared" ref="D20:D26" si="6">ROUND($D$3*E20/$E$3,2)</f>
        <v>0</v>
      </c>
      <c r="E20" s="56">
        <f t="shared" si="1"/>
        <v>1140.9100000000001</v>
      </c>
      <c r="F20" s="57">
        <f>SUM('数据-基础表'!I14:I24)</f>
        <v>1140.9100000000001</v>
      </c>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1140.9100000000001</v>
      </c>
    </row>
    <row r="21" spans="1:19">
      <c r="A21" s="2267"/>
      <c r="B21" s="50" t="s">
        <v>1961</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1961</v>
      </c>
      <c r="C22" s="60"/>
      <c r="D22" s="48">
        <f t="shared" si="6"/>
        <v>0</v>
      </c>
      <c r="E22" s="56">
        <f t="shared" si="1"/>
        <v>0</v>
      </c>
      <c r="F22" s="57"/>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1961</v>
      </c>
      <c r="C23" s="60"/>
      <c r="D23" s="48">
        <f>ROUND($D$3*E23/$E$3,2)</f>
        <v>0</v>
      </c>
      <c r="E23" s="56">
        <f>SUM(F23:G23)</f>
        <v>0</v>
      </c>
      <c r="F23" s="57"/>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1961</v>
      </c>
      <c r="C24" s="60"/>
      <c r="D24" s="48">
        <f>ROUND($D$3*E24/$E$3,2)</f>
        <v>0</v>
      </c>
      <c r="E24" s="56">
        <f>SUM(F24:G24)</f>
        <v>0</v>
      </c>
      <c r="F24" s="57"/>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1961</v>
      </c>
      <c r="C25" s="60"/>
      <c r="D25" s="48">
        <f t="shared" si="6"/>
        <v>0</v>
      </c>
      <c r="E25" s="56">
        <f t="shared" si="1"/>
        <v>0</v>
      </c>
      <c r="F25" s="57"/>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1962</v>
      </c>
      <c r="D27" s="1396">
        <f>SUM(D19:D26)</f>
        <v>0</v>
      </c>
      <c r="E27" s="1397">
        <f>IF(SUM(E19:E26)='数据-基础表'!BA5,SUM(E19:E26),IF(F27="地上面积有误","面积有误","地下面积有误"))</f>
        <v>1266.6500000000001</v>
      </c>
      <c r="F27" s="1396">
        <f>IF(SUM(F19:F26)=E8,SUM(F19:F26),"地上面积有误")</f>
        <v>1266.6500000000001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1266.6500000000001</v>
      </c>
    </row>
    <row r="28" spans="1:19">
      <c r="A28" s="2267"/>
      <c r="B28" s="50" t="s">
        <v>1963</v>
      </c>
      <c r="C28" s="1262" t="s">
        <v>1964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1963</v>
      </c>
      <c r="C29" s="2271"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1966</v>
      </c>
      <c r="D31" s="729">
        <f>D27+D30</f>
        <v>0</v>
      </c>
      <c r="E31" s="729">
        <f>E27+E30</f>
        <v>1266.6500000000001</v>
      </c>
      <c r="F31" s="730">
        <f>F27+F30</f>
        <v>1266.6500000000001</v>
      </c>
      <c r="G31" s="731">
        <f>G27+G30</f>
        <v>0</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18" sqref="A18:M23"/>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1968</v>
      </c>
      <c r="B1" s="732"/>
      <c r="C1" s="1585"/>
      <c r="D1" s="2277"/>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80" t="s">
        <v>1969</v>
      </c>
      <c r="B2" s="1269">
        <f>项目基本情况!D3</f>
        <v>43056</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5" customFormat="1" ht="15" thickBot="1">
      <c r="A3" s="2033"/>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5" customFormat="1" ht="15" thickBot="1">
      <c r="A4" s="68" t="s">
        <v>1970</v>
      </c>
      <c r="B4" s="2285"/>
      <c r="C4" s="2286"/>
      <c r="D4" s="2287"/>
      <c r="E4" s="2286" t="s">
        <v>1971</v>
      </c>
      <c r="F4" s="2286"/>
      <c r="G4" s="2286"/>
      <c r="H4" s="2286"/>
      <c r="I4" s="2286"/>
      <c r="J4" s="2288"/>
      <c r="K4" s="2289"/>
      <c r="L4" s="2290"/>
      <c r="M4" s="2286"/>
      <c r="N4" s="2286" t="s">
        <v>1972</v>
      </c>
      <c r="O4" s="2286"/>
      <c r="P4" s="2286"/>
      <c r="Q4" s="2286"/>
      <c r="R4" s="2286"/>
      <c r="S4" s="2288"/>
      <c r="T4" s="2291" t="str">
        <f>'数据-汇总表'!I17</f>
        <v>按面积比例</v>
      </c>
      <c r="U4" s="2285" t="s">
        <v>1973</v>
      </c>
      <c r="V4" s="2286"/>
      <c r="W4" s="2286"/>
      <c r="X4" s="2286"/>
      <c r="Y4" s="2288"/>
      <c r="Z4" s="2248" t="s">
        <v>1974</v>
      </c>
      <c r="AA4" s="2248"/>
      <c r="AB4" s="2248"/>
      <c r="AC4" s="2248"/>
      <c r="AD4" s="2248"/>
      <c r="AE4" s="2246" t="s">
        <v>1975</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6" customFormat="1" ht="42">
      <c r="A5" s="2293" t="s">
        <v>1976</v>
      </c>
      <c r="B5" s="2294" t="s">
        <v>1977</v>
      </c>
      <c r="C5" s="2295" t="s">
        <v>1978</v>
      </c>
      <c r="D5" s="2296" t="s">
        <v>1979</v>
      </c>
      <c r="E5" s="1271" t="s">
        <v>1980</v>
      </c>
      <c r="F5" s="2297" t="s">
        <v>1981</v>
      </c>
      <c r="G5" s="1271" t="s">
        <v>1982</v>
      </c>
      <c r="H5" s="1271" t="s">
        <v>1983</v>
      </c>
      <c r="I5" s="1271" t="s">
        <v>1984</v>
      </c>
      <c r="J5" s="2298" t="s">
        <v>1985</v>
      </c>
      <c r="K5" s="2299" t="s">
        <v>1986</v>
      </c>
      <c r="L5" s="2300" t="s">
        <v>1987</v>
      </c>
      <c r="M5" s="2301" t="s">
        <v>1988</v>
      </c>
      <c r="N5" s="2302" t="s">
        <v>3047</v>
      </c>
      <c r="O5" s="2300" t="s">
        <v>1989</v>
      </c>
      <c r="P5" s="2303" t="s">
        <v>1990</v>
      </c>
      <c r="Q5" s="69" t="s">
        <v>1991</v>
      </c>
      <c r="R5" s="2304" t="s">
        <v>1992</v>
      </c>
      <c r="S5" s="2305" t="s">
        <v>1993</v>
      </c>
      <c r="T5" s="2306" t="s">
        <v>1994</v>
      </c>
      <c r="U5" s="1270" t="s">
        <v>1995</v>
      </c>
      <c r="V5" s="1271" t="s">
        <v>1996</v>
      </c>
      <c r="W5" s="1271" t="s">
        <v>1997</v>
      </c>
      <c r="X5" s="71"/>
      <c r="Y5" s="70" t="s">
        <v>1998</v>
      </c>
      <c r="Z5" s="2307" t="s">
        <v>1995</v>
      </c>
      <c r="AA5" s="1271" t="s">
        <v>1996</v>
      </c>
      <c r="AB5" s="1271" t="s">
        <v>1997</v>
      </c>
      <c r="AC5" s="71"/>
      <c r="AD5" s="71" t="s">
        <v>1998</v>
      </c>
      <c r="AE5" s="1270" t="s">
        <v>1999</v>
      </c>
      <c r="AF5" s="1271" t="s">
        <v>2000</v>
      </c>
      <c r="AG5" s="70" t="s">
        <v>2001</v>
      </c>
      <c r="AH5" s="1270" t="s">
        <v>2002</v>
      </c>
      <c r="AI5" s="2307" t="s">
        <v>2003</v>
      </c>
      <c r="AJ5" s="2307" t="s">
        <v>2004</v>
      </c>
      <c r="AK5" s="1271" t="s">
        <v>2005</v>
      </c>
      <c r="AL5" s="1271" t="s">
        <v>2006</v>
      </c>
      <c r="AM5" s="70" t="s">
        <v>2007</v>
      </c>
      <c r="AN5" s="2308" t="s">
        <v>2008</v>
      </c>
      <c r="AO5" s="2078" t="s">
        <v>2009</v>
      </c>
      <c r="AP5" s="1252" t="s">
        <v>2010</v>
      </c>
      <c r="AQ5" s="2309" t="s">
        <v>2011</v>
      </c>
      <c r="AR5" s="2309" t="s">
        <v>2012</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5" customFormat="1" ht="14.25">
      <c r="A6" s="2310" t="str">
        <f>'数据-汇总表'!C19</f>
        <v>典型办公</v>
      </c>
      <c r="B6" s="2311" t="str">
        <f>IF(A6=0,"","经营性")</f>
        <v>经营性</v>
      </c>
      <c r="C6" s="2312" t="s">
        <v>27</v>
      </c>
      <c r="D6" s="1054">
        <f>SUMIF(项目基本情况!D$12:I$12,C6,项目基本情况!D$14:I$14)</f>
        <v>50</v>
      </c>
      <c r="E6" s="1051">
        <f>IF(B6="","",SUMIF(项目基本情况!D$12:I$12,C6,项目基本情况!D$13:I$13))</f>
        <v>56926</v>
      </c>
      <c r="F6" s="72">
        <f>SUMIF(项目基本情况!D$12:I$12,C6,项目基本情况!D$15:I$15)</f>
        <v>38</v>
      </c>
      <c r="G6" s="73">
        <f>IF(ISERROR(ROUND(POWER(1+H6,D6-F6)*(POWER(1+H6,F6)-1)/(POWER(1+H6,D6)-1),3)),0,ROUND(POWER(1+H6,D6-F6)*(POWER(1+H6,F6)-1)/(POWER(1+H6,D6)-1),3))</f>
        <v>0.92400000000000004</v>
      </c>
      <c r="H6" s="802">
        <v>0.05</v>
      </c>
      <c r="I6" s="802">
        <v>5.5E-2</v>
      </c>
      <c r="J6" s="74">
        <v>8.5000000000000006E-2</v>
      </c>
      <c r="K6" s="1254">
        <f>SUMIF('数据-汇总表'!C$19:C$33,A6,'数据-汇总表'!E$19:E$33)</f>
        <v>125.74</v>
      </c>
      <c r="L6" s="803">
        <v>2800</v>
      </c>
      <c r="M6" s="75">
        <f t="shared" ref="M6:M14" si="0">ROUND(K6*L6/10000,0)</f>
        <v>35</v>
      </c>
      <c r="N6" s="801">
        <f>ROUND(1-(2016-2007)/60,2)</f>
        <v>0.85</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v>5</v>
      </c>
      <c r="V6" s="79">
        <v>2.5000000000000001E-2</v>
      </c>
      <c r="W6" s="79">
        <v>0.1</v>
      </c>
      <c r="X6" s="1264"/>
      <c r="Y6" s="80">
        <f>N6</f>
        <v>0.85</v>
      </c>
      <c r="Z6" s="81"/>
      <c r="AA6" s="74"/>
      <c r="AB6" s="74"/>
      <c r="AC6" s="1264"/>
      <c r="AD6" s="82"/>
      <c r="AE6" s="1265">
        <f ca="1">IF(AN6="",0,SUMIF(INDIRECT("'"&amp;AN6&amp;"'"&amp;"!E:E"),$AE$5,INDIRECT("'"&amp;AN6&amp;"'"&amp;"!F:F")))</f>
        <v>38</v>
      </c>
      <c r="AF6" s="1808"/>
      <c r="AG6" s="147">
        <f>IF(AF6="",0,AE6-AF6)</f>
        <v>0</v>
      </c>
      <c r="AH6" s="83"/>
      <c r="AI6" s="85">
        <v>365</v>
      </c>
      <c r="AJ6" s="86"/>
      <c r="AK6" s="87">
        <v>1.4999999999999999E-2</v>
      </c>
      <c r="AL6" s="88">
        <v>1.5E-3</v>
      </c>
      <c r="AM6" s="89">
        <v>0.01</v>
      </c>
      <c r="AN6" s="2313" t="s">
        <v>3225</v>
      </c>
      <c r="AO6" s="55">
        <f ca="1">SUMIF(INDIRECT("'"&amp;AN6&amp;"'"&amp;"!A:A"),"总价",INDIRECT("'"&amp;AN6&amp;"'"&amp;"!B:B"))</f>
        <v>400</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5" customFormat="1" ht="14.25">
      <c r="A7" s="2310" t="str">
        <f>'数据-汇总表'!C20</f>
        <v>其余</v>
      </c>
      <c r="B7" s="2311" t="str">
        <f t="shared" ref="B7:B13" si="1">IF(A7=0,"","经营性")</f>
        <v>经营性</v>
      </c>
      <c r="C7" s="2312" t="s">
        <v>27</v>
      </c>
      <c r="D7" s="1054">
        <f>SUMIF(项目基本情况!D$12:I$12,C7,项目基本情况!D$14:I$14)</f>
        <v>50</v>
      </c>
      <c r="E7" s="1051">
        <f>IF(B7="","",SUMIF(项目基本情况!D$12:I$12,C7,项目基本情况!D$13:I$13))</f>
        <v>56926</v>
      </c>
      <c r="F7" s="72">
        <f>SUMIF(项目基本情况!D$12:I$12,C7,项目基本情况!D$15:I$15)</f>
        <v>38</v>
      </c>
      <c r="G7" s="73">
        <f t="shared" ref="G7:G11" si="2">IF(ISERROR(ROUND(POWER(1+H7,D7-F7)*(POWER(1+H7,F7)-1)/(POWER(1+H7,D7)-1),3)),0,ROUND(POWER(1+H7,D7-F7)*(POWER(1+H7,F7)-1)/(POWER(1+H7,D7)-1),3))</f>
        <v>0.92400000000000004</v>
      </c>
      <c r="H7" s="802">
        <v>0.05</v>
      </c>
      <c r="I7" s="802">
        <v>5.5E-2</v>
      </c>
      <c r="J7" s="74">
        <v>8.5000000000000006E-2</v>
      </c>
      <c r="K7" s="1254">
        <f>SUMIF('数据-汇总表'!C$19:C$33,A7,'数据-汇总表'!E$19:E$33)</f>
        <v>1140.9100000000001</v>
      </c>
      <c r="L7" s="803">
        <v>2800</v>
      </c>
      <c r="M7" s="75">
        <f t="shared" si="0"/>
        <v>319</v>
      </c>
      <c r="N7" s="801">
        <f>ROUND(1-(2016-2007)/60,2)</f>
        <v>0.85</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v>5</v>
      </c>
      <c r="V7" s="79">
        <v>2.5000000000000001E-2</v>
      </c>
      <c r="W7" s="79">
        <v>0.1</v>
      </c>
      <c r="X7" s="1264"/>
      <c r="Y7" s="80">
        <f>N7</f>
        <v>0.85</v>
      </c>
      <c r="Z7" s="81"/>
      <c r="AA7" s="74"/>
      <c r="AB7" s="74"/>
      <c r="AC7" s="1264"/>
      <c r="AD7" s="82"/>
      <c r="AE7" s="1265">
        <f t="shared" ref="AE7:AE13" ca="1" si="6">IF(AN7="",0,SUMIF(INDIRECT("'"&amp;AN7&amp;"'"&amp;"!E:E"),$AE$5,INDIRECT("'"&amp;AN7&amp;"'"&amp;"!F:F")))</f>
        <v>0</v>
      </c>
      <c r="AF7" s="1808"/>
      <c r="AG7" s="147">
        <f t="shared" ref="AG7:AG13" si="7">IF(AF7="",0,AE7-AF7)</f>
        <v>0</v>
      </c>
      <c r="AH7" s="83"/>
      <c r="AI7" s="85">
        <v>365</v>
      </c>
      <c r="AJ7" s="86"/>
      <c r="AK7" s="87">
        <v>1.4999999999999999E-2</v>
      </c>
      <c r="AL7" s="88">
        <v>1.5E-3</v>
      </c>
      <c r="AM7" s="89">
        <v>0.01</v>
      </c>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5" customFormat="1" ht="14.25" hidden="1">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5" customFormat="1" ht="14.25" hidden="1">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5" customFormat="1" ht="14.25" hidden="1">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5" customFormat="1" ht="14.25" hidden="1">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5" customFormat="1" ht="14.25" hidden="1">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5" customFormat="1" ht="14.25" hidden="1">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5" customFormat="1" ht="14.25">
      <c r="A14" s="2315" t="s">
        <v>2013</v>
      </c>
      <c r="B14" s="2311" t="s">
        <v>2014</v>
      </c>
      <c r="C14" s="2316"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5" customFormat="1" ht="27">
      <c r="A15" s="2315" t="s">
        <v>2015</v>
      </c>
      <c r="B15" s="2311" t="s">
        <v>2014</v>
      </c>
      <c r="C15" s="2316"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5" customFormat="1" ht="15.75" thickBot="1">
      <c r="A16" s="2317" t="s">
        <v>2017</v>
      </c>
      <c r="B16" s="97"/>
      <c r="C16" s="1008"/>
      <c r="D16" s="2318"/>
      <c r="E16" s="97"/>
      <c r="F16" s="97"/>
      <c r="G16" s="98">
        <f>ROUND(SUMPRODUCT(G6:G13,K6:K13)/SUMPRODUCT((G6:G13&gt;0)*(K6:K13)),3)</f>
        <v>0.92400000000000004</v>
      </c>
      <c r="H16" s="99">
        <f>ROUND(SUMPRODUCT(H6:H13,K6:K13)/SUMPRODUCT((H6:H13&gt;0)*(K6:K13)),3)</f>
        <v>0.05</v>
      </c>
      <c r="I16" s="100"/>
      <c r="J16" s="100"/>
      <c r="K16" s="101">
        <f>SUM(K6:K15)</f>
        <v>1266.6500000000001</v>
      </c>
      <c r="L16" s="102">
        <f>ROUND(M16*10000/SUM(K6:K14),0)</f>
        <v>2795</v>
      </c>
      <c r="M16" s="102">
        <f>SUM(M6:M14)</f>
        <v>354</v>
      </c>
      <c r="N16" s="103">
        <f>ROUND(SUMPRODUCT(M6:M14,N6:N14)/M16,3)</f>
        <v>0.85</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5"/>
      <c r="D17" s="2277"/>
      <c r="E17" s="2277"/>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2018</v>
      </c>
      <c r="B18" s="2284"/>
      <c r="C18" s="2281"/>
      <c r="D18" s="2282"/>
      <c r="E18" s="2281"/>
      <c r="F18" s="2281"/>
      <c r="G18" s="2281"/>
      <c r="H18" s="2281"/>
      <c r="I18" s="2281"/>
      <c r="J18" s="2281"/>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20" t="s">
        <v>2019</v>
      </c>
      <c r="B19" s="112">
        <v>0</v>
      </c>
      <c r="C19" s="2281" t="s">
        <v>2020</v>
      </c>
      <c r="D19" s="2282"/>
      <c r="E19" s="2281"/>
      <c r="F19" s="2281"/>
      <c r="G19" s="2281"/>
      <c r="H19" s="2281"/>
      <c r="I19" s="2281"/>
      <c r="J19" s="2281"/>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21" t="s">
        <v>2021</v>
      </c>
      <c r="B20" s="113">
        <v>1.5</v>
      </c>
      <c r="C20" s="2281" t="s">
        <v>2022</v>
      </c>
      <c r="D20" s="2282"/>
      <c r="E20" s="2281"/>
      <c r="F20" s="2281"/>
      <c r="G20" s="2281"/>
      <c r="H20" s="2281"/>
      <c r="I20" s="2281"/>
      <c r="J20" s="2281"/>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2" t="s">
        <v>2023</v>
      </c>
      <c r="B21" s="113">
        <v>1.5</v>
      </c>
      <c r="C21" s="2281"/>
      <c r="D21" s="2282"/>
      <c r="E21" s="2281"/>
      <c r="F21" s="2281"/>
      <c r="G21" s="2281"/>
      <c r="H21" s="2281"/>
      <c r="I21" s="2281"/>
      <c r="J21" s="2281"/>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21" t="s">
        <v>2024</v>
      </c>
      <c r="B22" s="114">
        <f>B19+B20</f>
        <v>1.5</v>
      </c>
      <c r="C22" s="2281"/>
      <c r="D22" s="2282"/>
      <c r="E22" s="2281"/>
      <c r="F22" s="2281"/>
      <c r="G22" s="2281"/>
      <c r="H22" s="2281"/>
      <c r="I22" s="2281"/>
      <c r="J22" s="2281"/>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2" t="s">
        <v>2025</v>
      </c>
      <c r="B23" s="114">
        <f>B19+B21</f>
        <v>1.5</v>
      </c>
      <c r="C23" s="2281"/>
      <c r="D23" s="2282"/>
      <c r="E23" s="2281"/>
      <c r="F23" s="2281"/>
      <c r="G23" s="2281"/>
      <c r="H23" s="2281"/>
      <c r="I23" s="2281"/>
      <c r="J23" s="2281"/>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3" t="s">
        <v>2026</v>
      </c>
      <c r="B24" s="115">
        <f>B20-B21</f>
        <v>0</v>
      </c>
      <c r="C24" s="2281"/>
      <c r="D24" s="2282"/>
      <c r="E24" s="2281"/>
      <c r="F24" s="2281"/>
      <c r="G24" s="2281"/>
      <c r="H24" s="2281"/>
      <c r="I24" s="2281"/>
      <c r="J24" s="2281"/>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4"/>
      <c r="C25" s="2281"/>
      <c r="D25" s="2282"/>
      <c r="E25" s="2281"/>
      <c r="F25" s="2281"/>
      <c r="G25" s="2281"/>
      <c r="H25" s="2281"/>
      <c r="I25" s="2281"/>
      <c r="J25" s="2281"/>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80" t="s">
        <v>2027</v>
      </c>
      <c r="B26" s="2324" t="s">
        <v>2028</v>
      </c>
      <c r="C26" s="2325" t="s">
        <v>2029</v>
      </c>
      <c r="D26" s="2282"/>
      <c r="E26" s="2281"/>
      <c r="F26" s="2281"/>
      <c r="G26" s="2281"/>
      <c r="H26" s="2281"/>
      <c r="I26" s="2281"/>
      <c r="J26" s="2281"/>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8" customFormat="1" ht="27.75">
      <c r="A27" s="2326" t="s">
        <v>2030</v>
      </c>
      <c r="B27" s="116">
        <v>0</v>
      </c>
      <c r="C27" s="2933" t="s">
        <v>3049</v>
      </c>
      <c r="D27" s="2327"/>
      <c r="E27" s="1430"/>
      <c r="F27" s="1430"/>
      <c r="G27" s="2281"/>
      <c r="H27" s="2281"/>
      <c r="I27" s="2281"/>
      <c r="J27" s="2281"/>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2031</v>
      </c>
      <c r="B28" s="119">
        <v>0</v>
      </c>
      <c r="C28" s="2330"/>
      <c r="D28" s="2327"/>
      <c r="E28" s="1430"/>
      <c r="F28" s="1430"/>
      <c r="G28" s="2281"/>
      <c r="H28" s="2281"/>
      <c r="I28" s="2281"/>
      <c r="J28" s="2281"/>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2032</v>
      </c>
      <c r="B29" s="121"/>
      <c r="C29" s="1768" t="s">
        <v>2033</v>
      </c>
      <c r="D29" s="2327"/>
      <c r="E29" s="1430"/>
      <c r="F29" s="1430"/>
      <c r="G29" s="2281"/>
      <c r="H29" s="2281"/>
      <c r="I29" s="2281"/>
      <c r="J29" s="2281"/>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2034</v>
      </c>
      <c r="B30" s="724">
        <v>200</v>
      </c>
      <c r="C30" s="2330"/>
      <c r="D30" s="2327"/>
      <c r="E30" s="1430"/>
      <c r="F30" s="1430"/>
      <c r="G30" s="2281"/>
      <c r="H30" s="2281"/>
      <c r="I30" s="2281"/>
      <c r="J30" s="2281"/>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2035</v>
      </c>
      <c r="B31" s="120">
        <f>B30-B32</f>
        <v>200</v>
      </c>
      <c r="C31" s="1768"/>
      <c r="D31" s="2327"/>
      <c r="E31" s="1430"/>
      <c r="F31" s="1430"/>
      <c r="G31" s="2281"/>
      <c r="H31" s="2281"/>
      <c r="I31" s="2281"/>
      <c r="J31" s="2281"/>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2036</v>
      </c>
      <c r="B32" s="725">
        <v>0</v>
      </c>
      <c r="C32" s="2330"/>
      <c r="D32" s="2282"/>
      <c r="E32" s="2281"/>
      <c r="F32" s="2281"/>
      <c r="G32" s="2281"/>
      <c r="H32" s="2281"/>
      <c r="I32" s="2281"/>
      <c r="J32" s="2281"/>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2037</v>
      </c>
      <c r="B33" s="726">
        <v>0.05</v>
      </c>
      <c r="C33" s="1767" t="s">
        <v>2038</v>
      </c>
      <c r="D33" s="2282"/>
      <c r="E33" s="2281"/>
      <c r="F33" s="2281"/>
      <c r="G33" s="2281"/>
      <c r="H33" s="2281"/>
      <c r="I33" s="2281"/>
      <c r="J33" s="2281"/>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2039</v>
      </c>
      <c r="B34" s="122">
        <v>0</v>
      </c>
      <c r="C34" s="1767" t="s">
        <v>2040</v>
      </c>
      <c r="D34" s="2282" t="s">
        <v>2041</v>
      </c>
      <c r="E34" s="732"/>
      <c r="F34" s="2281"/>
      <c r="G34" s="2281"/>
      <c r="H34" s="2281"/>
      <c r="I34" s="2281"/>
      <c r="J34" s="2281"/>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2042</v>
      </c>
      <c r="B35" s="119">
        <v>200</v>
      </c>
      <c r="C35" s="1767" t="s">
        <v>2043</v>
      </c>
      <c r="D35" s="2327"/>
      <c r="E35" s="1430"/>
      <c r="F35" s="1430"/>
      <c r="G35" s="2281"/>
      <c r="H35" s="2281"/>
      <c r="I35" s="2281"/>
      <c r="J35" s="2281"/>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2044</v>
      </c>
      <c r="B36" s="123">
        <v>1.4999999999999999E-2</v>
      </c>
      <c r="C36" s="1767" t="s">
        <v>2045</v>
      </c>
      <c r="D36" s="2282"/>
      <c r="E36" s="2281"/>
      <c r="F36" s="2281"/>
      <c r="G36" s="2281"/>
      <c r="H36" s="2281"/>
      <c r="I36" s="2281"/>
      <c r="J36" s="2281"/>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2" t="s">
        <v>2046</v>
      </c>
      <c r="B37" s="124">
        <v>0.02</v>
      </c>
      <c r="C37" s="1767" t="s">
        <v>2047</v>
      </c>
      <c r="D37" s="2282"/>
      <c r="E37" s="2281"/>
      <c r="F37" s="2281"/>
      <c r="G37" s="2281"/>
      <c r="H37" s="2281"/>
      <c r="I37" s="2281"/>
      <c r="J37" s="2281"/>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9" t="s">
        <v>2048</v>
      </c>
      <c r="B38" s="122">
        <v>0.02</v>
      </c>
      <c r="C38" s="1767" t="s">
        <v>2047</v>
      </c>
      <c r="D38" s="2282"/>
      <c r="E38" s="2281"/>
      <c r="F38" s="2281"/>
      <c r="G38" s="2281"/>
      <c r="H38" s="2281"/>
      <c r="I38" s="2281"/>
      <c r="J38" s="2281"/>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3" t="s">
        <v>2049</v>
      </c>
      <c r="B39" s="362">
        <f ca="1">存贷款利率!I1</f>
        <v>1.4999999999999999E-2</v>
      </c>
      <c r="C39" s="1767"/>
      <c r="D39" s="2282"/>
      <c r="E39" s="2281"/>
      <c r="F39" s="2281"/>
      <c r="G39" s="2281"/>
      <c r="H39" s="2281"/>
      <c r="I39" s="2281"/>
      <c r="J39" s="2281"/>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3" t="s">
        <v>2050</v>
      </c>
      <c r="B40" s="1303">
        <f ca="1">存贷款利率!G1</f>
        <v>4.7500000000000001E-2</v>
      </c>
      <c r="C40" s="1767" t="s">
        <v>2051</v>
      </c>
      <c r="D40" s="1585"/>
      <c r="E40" s="2282"/>
      <c r="F40" s="2281"/>
      <c r="G40" s="2281"/>
      <c r="H40" s="2281"/>
      <c r="I40" s="2281"/>
      <c r="J40" s="2281"/>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6" t="s">
        <v>2052</v>
      </c>
      <c r="B41" s="125">
        <f>B42+B43</f>
        <v>5.5000000000000007E-2</v>
      </c>
      <c r="C41" s="1768"/>
      <c r="D41" s="1585"/>
      <c r="E41" s="2282"/>
      <c r="F41" s="2281"/>
      <c r="G41" s="2281"/>
      <c r="H41" s="2281"/>
      <c r="I41" s="2281"/>
      <c r="J41" s="2281"/>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4" t="s">
        <v>2053</v>
      </c>
      <c r="B42" s="126">
        <v>0.05</v>
      </c>
      <c r="C42" s="2335">
        <f>IF(B2&lt;DATE(2016,5,1),0,B42)</f>
        <v>0.05</v>
      </c>
      <c r="D42" s="2282"/>
      <c r="E42" s="2281"/>
      <c r="F42" s="2281"/>
      <c r="G42" s="2281"/>
      <c r="H42" s="2281"/>
      <c r="I42" s="2281"/>
      <c r="J42" s="2281"/>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4" t="s">
        <v>2054</v>
      </c>
      <c r="B43" s="127">
        <f>B42*(B44+B45+B46)+B47</f>
        <v>5.000000000000001E-3</v>
      </c>
      <c r="C43" s="1768"/>
      <c r="D43" s="2282"/>
      <c r="E43" s="2281"/>
      <c r="F43" s="2281"/>
      <c r="G43" s="2281"/>
      <c r="H43" s="2281"/>
      <c r="I43" s="2281"/>
      <c r="J43" s="2281"/>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6" t="s">
        <v>2055</v>
      </c>
      <c r="B44" s="128">
        <v>0.05</v>
      </c>
      <c r="C44" s="1767" t="s">
        <v>2056</v>
      </c>
      <c r="D44" s="2282"/>
      <c r="E44" s="2281"/>
      <c r="F44" s="2281"/>
      <c r="G44" s="2281"/>
      <c r="H44" s="2281"/>
      <c r="I44" s="2281"/>
      <c r="J44" s="2281"/>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6" t="s">
        <v>2057</v>
      </c>
      <c r="B45" s="126">
        <v>0.03</v>
      </c>
      <c r="C45" s="1768" t="s">
        <v>2058</v>
      </c>
      <c r="D45" s="2282"/>
      <c r="E45" s="2281"/>
      <c r="F45" s="2281"/>
      <c r="G45" s="2281"/>
      <c r="H45" s="2281"/>
      <c r="I45" s="2281"/>
      <c r="J45" s="2281"/>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6" t="s">
        <v>2059</v>
      </c>
      <c r="B46" s="126">
        <v>0.02</v>
      </c>
      <c r="C46" s="1768" t="s">
        <v>2060</v>
      </c>
      <c r="D46" s="2282"/>
      <c r="E46" s="2281"/>
      <c r="F46" s="2281"/>
      <c r="G46" s="2281"/>
      <c r="H46" s="2281"/>
      <c r="I46" s="2281"/>
      <c r="J46" s="2281"/>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7" t="s">
        <v>2061</v>
      </c>
      <c r="B47" s="129">
        <v>0</v>
      </c>
      <c r="C47" s="1768" t="s">
        <v>2062</v>
      </c>
      <c r="D47" s="2282"/>
      <c r="E47" s="2281"/>
      <c r="F47" s="2281"/>
      <c r="G47" s="2281"/>
      <c r="H47" s="2281"/>
      <c r="I47" s="2281"/>
      <c r="J47" s="2281"/>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8" t="s">
        <v>2063</v>
      </c>
      <c r="B48" s="130">
        <v>0.03</v>
      </c>
      <c r="C48" s="1775" t="s">
        <v>2064</v>
      </c>
      <c r="D48" s="2282"/>
      <c r="E48" s="2281"/>
      <c r="F48" s="2281"/>
      <c r="G48" s="2281"/>
      <c r="H48" s="2281"/>
      <c r="I48" s="2281"/>
      <c r="J48" s="2281"/>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3" t="s">
        <v>2065</v>
      </c>
      <c r="B49" s="126">
        <v>5.0000000000000001E-4</v>
      </c>
      <c r="C49" s="1775" t="s">
        <v>2066</v>
      </c>
      <c r="D49" s="2282"/>
      <c r="E49" s="2281"/>
      <c r="F49" s="2281"/>
      <c r="G49" s="2281"/>
      <c r="H49" s="2281"/>
      <c r="I49" s="2281"/>
      <c r="J49" s="2281"/>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9" t="s">
        <v>2067</v>
      </c>
      <c r="B50" s="131">
        <v>1.2E-2</v>
      </c>
      <c r="C50" s="1430"/>
      <c r="D50" s="2282"/>
      <c r="E50" s="2281"/>
      <c r="F50" s="2281"/>
      <c r="G50" s="2281"/>
      <c r="H50" s="2281"/>
      <c r="I50" s="2281"/>
      <c r="J50" s="2281"/>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31" t="s">
        <v>2068</v>
      </c>
      <c r="B51" s="132">
        <v>0.12</v>
      </c>
      <c r="C51" s="1430"/>
      <c r="D51" s="2282"/>
      <c r="E51" s="2281"/>
      <c r="F51" s="2281"/>
      <c r="G51" s="2281"/>
      <c r="H51" s="2281"/>
      <c r="I51" s="2281"/>
      <c r="J51" s="2281"/>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9" t="s">
        <v>2069</v>
      </c>
      <c r="B52" s="133">
        <f>SUMIF(A54:A63,B53,B54:B63)</f>
        <v>1.5</v>
      </c>
      <c r="C52" s="1430"/>
      <c r="D52" s="2282"/>
      <c r="E52" s="2281"/>
      <c r="F52" s="2281"/>
      <c r="G52" s="2281"/>
      <c r="H52" s="2281"/>
      <c r="I52" s="2281"/>
      <c r="J52" s="2281"/>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9" t="s">
        <v>2070</v>
      </c>
      <c r="B53" s="2340" t="s">
        <v>56</v>
      </c>
      <c r="C53" s="1430" t="s">
        <v>2071</v>
      </c>
      <c r="D53" s="2341" t="s">
        <v>2072</v>
      </c>
      <c r="E53" s="2281"/>
      <c r="F53" s="2281"/>
      <c r="G53" s="2281"/>
      <c r="H53" s="2281"/>
      <c r="I53" s="2281"/>
      <c r="J53" s="2281"/>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2" t="s">
        <v>2073</v>
      </c>
      <c r="B54" s="84">
        <v>30</v>
      </c>
      <c r="C54" s="1430">
        <v>30</v>
      </c>
      <c r="D54" s="2282"/>
      <c r="E54" s="2281"/>
      <c r="F54" s="2281"/>
      <c r="G54" s="2281"/>
      <c r="H54" s="2281"/>
      <c r="I54" s="2281"/>
      <c r="J54" s="2281"/>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2" t="s">
        <v>2074</v>
      </c>
      <c r="B55" s="84">
        <v>24</v>
      </c>
      <c r="C55" s="1430">
        <v>24</v>
      </c>
      <c r="D55" s="2282"/>
      <c r="E55" s="2281"/>
      <c r="F55" s="2281"/>
      <c r="G55" s="2281"/>
      <c r="H55" s="2281"/>
      <c r="I55" s="2343"/>
      <c r="J55" s="2281"/>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2" t="s">
        <v>2075</v>
      </c>
      <c r="B56" s="84">
        <v>18</v>
      </c>
      <c r="C56" s="1430">
        <v>18</v>
      </c>
      <c r="D56" s="2282"/>
      <c r="E56" s="2281"/>
      <c r="F56" s="2281"/>
      <c r="G56" s="2281"/>
      <c r="H56" s="2281"/>
      <c r="I56" s="2281"/>
      <c r="J56" s="2281"/>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2" t="s">
        <v>2076</v>
      </c>
      <c r="B57" s="84">
        <v>12</v>
      </c>
      <c r="C57" s="1430">
        <v>12</v>
      </c>
      <c r="D57" s="2282"/>
      <c r="E57" s="2281"/>
      <c r="F57" s="2281"/>
      <c r="G57" s="2281"/>
      <c r="H57" s="2281"/>
      <c r="I57" s="2281"/>
      <c r="J57" s="2281"/>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2" t="s">
        <v>2077</v>
      </c>
      <c r="B58" s="84">
        <v>3</v>
      </c>
      <c r="C58" s="1430">
        <v>3</v>
      </c>
      <c r="D58" s="2282"/>
      <c r="E58" s="2281"/>
      <c r="F58" s="2281"/>
      <c r="G58" s="2281"/>
      <c r="H58" s="2281"/>
      <c r="I58" s="2281"/>
      <c r="J58" s="2281"/>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2" t="s">
        <v>2078</v>
      </c>
      <c r="B59" s="84">
        <v>1.5</v>
      </c>
      <c r="C59" s="1430">
        <v>1.5</v>
      </c>
      <c r="D59" s="2282"/>
      <c r="E59" s="2281"/>
      <c r="F59" s="2281"/>
      <c r="G59" s="2281"/>
      <c r="H59" s="2281"/>
      <c r="I59" s="2281"/>
      <c r="J59" s="2281"/>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2" t="s">
        <v>2079</v>
      </c>
      <c r="B60" s="84"/>
      <c r="C60" s="2281"/>
      <c r="D60" s="2282"/>
      <c r="E60" s="2281"/>
      <c r="F60" s="2281"/>
      <c r="G60" s="2281"/>
      <c r="H60" s="2281"/>
      <c r="I60" s="2281"/>
      <c r="J60" s="2281"/>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2" t="s">
        <v>2080</v>
      </c>
      <c r="B61" s="84"/>
      <c r="C61" s="2281"/>
      <c r="D61" s="2282"/>
      <c r="E61" s="2281"/>
      <c r="F61" s="2281"/>
      <c r="G61" s="2281"/>
      <c r="H61" s="2281"/>
      <c r="I61" s="2281"/>
      <c r="J61" s="2281"/>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2" t="s">
        <v>2081</v>
      </c>
      <c r="B62" s="84"/>
      <c r="C62" s="2281"/>
      <c r="D62" s="2282"/>
      <c r="E62" s="2281"/>
      <c r="F62" s="2281"/>
      <c r="G62" s="2281"/>
      <c r="H62" s="2281"/>
      <c r="I62" s="2281"/>
      <c r="J62" s="2281"/>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4" t="s">
        <v>2082</v>
      </c>
      <c r="B63" s="134"/>
      <c r="C63" s="2281"/>
      <c r="D63" s="2282"/>
      <c r="E63" s="2281"/>
      <c r="F63" s="2281"/>
      <c r="G63" s="2281"/>
      <c r="H63" s="2281"/>
      <c r="I63" s="2281"/>
      <c r="J63" s="2281"/>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8" activePane="bottomRight" state="frozen"/>
      <selection activeCell="C50" sqref="C50"/>
      <selection pane="topRight" activeCell="C50" sqref="C50"/>
      <selection pane="bottomLeft" activeCell="C50" sqref="C50"/>
      <selection pane="bottomRight" activeCell="I21" sqref="I21"/>
    </sheetView>
  </sheetViews>
  <sheetFormatPr defaultRowHeight="14.25"/>
  <cols>
    <col min="1" max="1" width="9.5" style="2373"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2"/>
    <col min="30" max="16384" width="9" style="2373"/>
  </cols>
  <sheetData>
    <row r="1" spans="1:29" s="2366" customFormat="1" ht="19.5" thickBot="1">
      <c r="A1" s="3085" t="s">
        <v>2083</v>
      </c>
      <c r="B1" s="3086"/>
      <c r="C1" s="3086"/>
      <c r="D1" s="3086"/>
      <c r="E1" s="3086"/>
      <c r="F1" s="3086"/>
      <c r="G1" s="3086"/>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2084</v>
      </c>
      <c r="D2" s="2370"/>
      <c r="E2" s="2371"/>
      <c r="F2" s="2290"/>
      <c r="G2" s="2369" t="s">
        <v>2085</v>
      </c>
      <c r="H2" s="2372"/>
      <c r="I2" s="2372"/>
      <c r="J2" s="2372"/>
      <c r="K2" s="2372"/>
      <c r="L2" s="2372"/>
      <c r="M2" s="2372"/>
      <c r="N2" s="2372"/>
      <c r="O2" s="2372"/>
      <c r="P2" s="2372"/>
      <c r="Q2" s="2372"/>
      <c r="R2" s="2372"/>
    </row>
    <row r="3" spans="1:29" ht="42.75">
      <c r="A3" s="415" t="s">
        <v>2086</v>
      </c>
      <c r="B3" s="1271" t="s">
        <v>2087</v>
      </c>
      <c r="C3" s="2374"/>
      <c r="D3" s="2375"/>
      <c r="E3" s="431" t="s">
        <v>2086</v>
      </c>
      <c r="F3" s="2376" t="s">
        <v>2088</v>
      </c>
      <c r="G3" s="2377" t="s">
        <v>2089</v>
      </c>
      <c r="H3" s="2372"/>
      <c r="I3" s="2372"/>
      <c r="J3" s="2372"/>
      <c r="K3" s="2372"/>
      <c r="L3" s="2372"/>
      <c r="M3" s="2372"/>
      <c r="N3" s="2372"/>
      <c r="O3" s="2372"/>
      <c r="P3" s="2372"/>
      <c r="Q3" s="2372"/>
      <c r="R3" s="2372"/>
    </row>
    <row r="4" spans="1:29" ht="54">
      <c r="A4" s="431"/>
      <c r="B4" s="1799" t="s">
        <v>2090</v>
      </c>
      <c r="C4" s="2992" t="s">
        <v>3217</v>
      </c>
      <c r="D4" s="2375"/>
      <c r="E4" s="2378"/>
      <c r="F4" s="42" t="s">
        <v>2091</v>
      </c>
      <c r="G4" s="2379" t="s">
        <v>2092</v>
      </c>
      <c r="H4" s="2372"/>
      <c r="I4" s="2372"/>
      <c r="J4" s="2372"/>
      <c r="K4" s="2372"/>
      <c r="L4" s="2372"/>
      <c r="M4" s="2372"/>
      <c r="N4" s="2372"/>
      <c r="O4" s="2372"/>
      <c r="P4" s="2372"/>
      <c r="Q4" s="2372"/>
      <c r="R4" s="2372"/>
    </row>
    <row r="5" spans="1:29" ht="54">
      <c r="A5" s="431"/>
      <c r="B5" s="1799" t="s">
        <v>2093</v>
      </c>
      <c r="C5" s="2992" t="s">
        <v>3218</v>
      </c>
      <c r="D5" s="2375"/>
      <c r="E5" s="2378"/>
      <c r="F5" s="1799" t="s">
        <v>2094</v>
      </c>
      <c r="G5" s="2379" t="s">
        <v>2095</v>
      </c>
      <c r="H5" s="2372"/>
      <c r="I5" s="2372"/>
      <c r="J5" s="2372"/>
      <c r="K5" s="2372"/>
      <c r="L5" s="2372"/>
      <c r="M5" s="2372"/>
      <c r="N5" s="2372"/>
      <c r="O5" s="2372"/>
      <c r="P5" s="2372"/>
      <c r="Q5" s="2372"/>
      <c r="R5" s="2372"/>
    </row>
    <row r="6" spans="1:29" ht="108">
      <c r="A6" s="431"/>
      <c r="B6" s="1799" t="s">
        <v>2096</v>
      </c>
      <c r="C6" s="2993" t="s">
        <v>3219</v>
      </c>
      <c r="D6" s="2375"/>
      <c r="E6" s="2378"/>
      <c r="F6" s="1799" t="s">
        <v>2097</v>
      </c>
      <c r="G6" s="2379" t="s">
        <v>2098</v>
      </c>
      <c r="H6" s="2372"/>
      <c r="I6" s="2372"/>
      <c r="J6" s="2372"/>
      <c r="K6" s="2372"/>
      <c r="L6" s="2372"/>
      <c r="M6" s="2372"/>
      <c r="N6" s="2372"/>
      <c r="O6" s="2372"/>
      <c r="P6" s="2372"/>
      <c r="Q6" s="2372"/>
      <c r="R6" s="2372"/>
    </row>
    <row r="7" spans="1:29" ht="135.75" thickBot="1">
      <c r="A7" s="431"/>
      <c r="B7" s="1799" t="s">
        <v>2094</v>
      </c>
      <c r="C7" s="2993" t="s">
        <v>3220</v>
      </c>
      <c r="D7" s="2380"/>
      <c r="E7" s="2381"/>
      <c r="F7" s="2382" t="s">
        <v>2099</v>
      </c>
      <c r="G7" s="2383" t="s">
        <v>2100</v>
      </c>
      <c r="H7" s="2372"/>
      <c r="I7" s="2372"/>
      <c r="J7" s="2372"/>
      <c r="K7" s="2372"/>
      <c r="L7" s="2372"/>
      <c r="M7" s="2372"/>
      <c r="N7" s="2372"/>
      <c r="O7" s="2372"/>
      <c r="P7" s="2372"/>
      <c r="Q7" s="2372"/>
      <c r="R7" s="2372"/>
    </row>
    <row r="8" spans="1:29" ht="27">
      <c r="A8" s="431"/>
      <c r="B8" s="1799" t="s">
        <v>2097</v>
      </c>
      <c r="C8" s="2993" t="s">
        <v>3221</v>
      </c>
      <c r="D8" s="2380"/>
      <c r="E8" s="2380"/>
      <c r="F8" s="1136"/>
      <c r="G8" s="1136"/>
      <c r="H8" s="2372"/>
      <c r="I8" s="2372"/>
      <c r="J8" s="2372"/>
      <c r="K8" s="2372"/>
      <c r="L8" s="2372"/>
      <c r="M8" s="2372"/>
      <c r="N8" s="2372"/>
      <c r="O8" s="2372"/>
      <c r="P8" s="2372"/>
      <c r="Q8" s="2372"/>
      <c r="R8" s="2372"/>
    </row>
    <row r="9" spans="1:29" ht="67.5">
      <c r="A9" s="431"/>
      <c r="B9" s="1799" t="s">
        <v>2101</v>
      </c>
      <c r="C9" s="2992" t="s">
        <v>3222</v>
      </c>
      <c r="D9" s="2375"/>
      <c r="E9" s="2380"/>
      <c r="F9" s="1136"/>
      <c r="G9" s="1136"/>
      <c r="H9" s="2372"/>
      <c r="I9" s="2372"/>
      <c r="J9" s="2372"/>
      <c r="K9" s="2372"/>
      <c r="L9" s="2372"/>
      <c r="M9" s="2372"/>
      <c r="N9" s="2372"/>
      <c r="O9" s="2372"/>
      <c r="P9" s="2372"/>
      <c r="Q9" s="2372"/>
      <c r="R9" s="2372"/>
    </row>
    <row r="10" spans="1:29" s="117" customFormat="1" ht="15.75" thickBot="1">
      <c r="A10" s="2384"/>
      <c r="B10" s="2385" t="s">
        <v>2102</v>
      </c>
      <c r="C10" s="2386"/>
      <c r="D10" s="2375"/>
      <c r="E10" s="2375"/>
      <c r="F10" s="1136"/>
      <c r="G10" s="1136"/>
      <c r="H10" s="2387"/>
      <c r="I10" s="2388"/>
      <c r="J10" s="2389"/>
      <c r="K10" s="2387"/>
      <c r="L10" s="2388"/>
      <c r="M10" s="2389"/>
      <c r="N10" s="2387"/>
      <c r="O10" s="2388"/>
      <c r="P10" s="2389"/>
      <c r="Q10" s="2387"/>
      <c r="R10" s="2388"/>
      <c r="S10" s="2372"/>
      <c r="T10" s="2372"/>
      <c r="U10" s="2372"/>
      <c r="V10" s="2372"/>
      <c r="W10" s="2372"/>
      <c r="X10" s="2372"/>
      <c r="Y10" s="2372"/>
      <c r="Z10" s="2372"/>
      <c r="AA10" s="2372"/>
      <c r="AB10" s="2372"/>
      <c r="AC10" s="2372"/>
    </row>
    <row r="11" spans="1:29" s="117" customFormat="1" ht="15">
      <c r="A11" s="2390"/>
      <c r="B11" s="2380"/>
      <c r="C11" s="2375"/>
      <c r="D11" s="2375"/>
      <c r="E11" s="2375"/>
      <c r="F11" s="2380"/>
      <c r="G11" s="1154"/>
      <c r="H11" s="2387"/>
      <c r="I11" s="2388"/>
      <c r="J11" s="2389"/>
      <c r="K11" s="2387"/>
      <c r="L11" s="2388"/>
      <c r="M11" s="2389"/>
      <c r="N11" s="2387"/>
      <c r="O11" s="2388"/>
      <c r="P11" s="2389"/>
      <c r="Q11" s="2387"/>
      <c r="R11" s="2388"/>
      <c r="S11" s="2372"/>
      <c r="T11" s="2372"/>
      <c r="U11" s="2372"/>
      <c r="V11" s="2372"/>
      <c r="W11" s="2372"/>
      <c r="X11" s="2372"/>
      <c r="Y11" s="2372"/>
      <c r="Z11" s="2372"/>
      <c r="AA11" s="2372"/>
      <c r="AB11" s="2372"/>
      <c r="AC11" s="2372"/>
    </row>
    <row r="12" spans="1:29" s="2366" customFormat="1" ht="18">
      <c r="A12" s="2390"/>
      <c r="B12" s="2380"/>
      <c r="C12" s="2375"/>
      <c r="D12" s="2391"/>
      <c r="E12" s="2375"/>
      <c r="F12" s="2380"/>
      <c r="G12" s="1154"/>
      <c r="H12" s="2392"/>
      <c r="I12" s="2393"/>
      <c r="J12" s="2392"/>
      <c r="K12" s="2392"/>
      <c r="L12" s="2394"/>
      <c r="M12" s="2392"/>
      <c r="N12" s="2395"/>
      <c r="O12" s="2396"/>
      <c r="P12" s="2395"/>
      <c r="Q12" s="2395"/>
      <c r="R12" s="2364"/>
      <c r="S12" s="2365"/>
      <c r="T12" s="2365"/>
      <c r="U12" s="2365"/>
      <c r="V12" s="2365"/>
      <c r="W12" s="2365"/>
      <c r="X12" s="2365"/>
      <c r="Y12" s="2365"/>
      <c r="Z12" s="2365"/>
      <c r="AA12" s="2365"/>
      <c r="AB12" s="2365"/>
      <c r="AC12" s="2365"/>
    </row>
    <row r="13" spans="1:29" ht="19.5" thickBot="1">
      <c r="A13" s="2397" t="s">
        <v>2103</v>
      </c>
      <c r="B13" s="2391"/>
      <c r="C13" s="2391"/>
      <c r="D13" s="2398"/>
      <c r="E13" s="2391"/>
      <c r="F13" s="2391"/>
      <c r="G13" s="2391"/>
    </row>
    <row r="14" spans="1:29" ht="15.75" thickBot="1">
      <c r="A14" s="2402"/>
      <c r="B14" s="2403"/>
      <c r="C14" s="2404" t="s">
        <v>2104</v>
      </c>
      <c r="D14" s="2375"/>
      <c r="E14" s="2405"/>
      <c r="F14" s="2405"/>
      <c r="G14" s="2369" t="s">
        <v>2105</v>
      </c>
    </row>
    <row r="15" spans="1:29" ht="42.75">
      <c r="A15" s="68" t="s">
        <v>2106</v>
      </c>
      <c r="B15" s="1270" t="s">
        <v>2087</v>
      </c>
      <c r="C15" s="2406">
        <f>C3</f>
        <v>0</v>
      </c>
      <c r="D15" s="2375"/>
      <c r="E15" s="2407" t="s">
        <v>2107</v>
      </c>
      <c r="F15" s="1270" t="s">
        <v>2108</v>
      </c>
      <c r="G15" s="135" t="str">
        <f>G3</f>
        <v>估价对象位于XX开发区，园区建设成熟度XX，产业集聚程度XX</v>
      </c>
    </row>
    <row r="16" spans="1:29" ht="57">
      <c r="A16" s="645"/>
      <c r="B16" s="2408" t="s">
        <v>2090</v>
      </c>
      <c r="C16" s="2409" t="str">
        <f>C4</f>
        <v>估价对象位于北京临空经济核心区，周边商业多以住宅底商为主，人流量一般，商业繁华度一般</v>
      </c>
      <c r="D16" s="2375"/>
      <c r="E16" s="2410"/>
      <c r="F16" s="2411" t="s">
        <v>2091</v>
      </c>
      <c r="G16" s="136" t="str">
        <f>G4</f>
        <v>估价对象周边道路状况、公共交通通达情况、停车便捷程度，综合评价交通便捷度较好</v>
      </c>
    </row>
    <row r="17" spans="1:18" ht="57">
      <c r="A17" s="645"/>
      <c r="B17" s="2408" t="s">
        <v>2093</v>
      </c>
      <c r="C17" s="2409" t="str">
        <f>C5</f>
        <v>估价对象位于北京临空经济核心区，周边办公楼项目较少，入驻率高，办公集聚程度一般</v>
      </c>
      <c r="D17" s="2380"/>
      <c r="E17" s="2410"/>
      <c r="F17" s="2411" t="s">
        <v>2109</v>
      </c>
      <c r="G17" s="1573"/>
    </row>
    <row r="18" spans="1:18" ht="114">
      <c r="A18" s="645"/>
      <c r="B18" s="2411" t="s">
        <v>2096</v>
      </c>
      <c r="C18" s="136" t="str">
        <f>C6</f>
        <v>估价对象周边路网密集程度较高，行车出入较为方便。周边1公里范围内有359路、640路、顺22路、空港10路、空港1路等不足十条公交线路，距地铁机场线T3航站楼站约2.2公里，公共交通便捷度一般。</v>
      </c>
      <c r="D18" s="2380"/>
      <c r="E18" s="2410"/>
      <c r="F18" s="2411" t="s">
        <v>2099</v>
      </c>
      <c r="G18" s="136" t="str">
        <f>G7</f>
        <v>该园区内是否有污染型企业，绿化情况，卫生条件，整体环境状况判断</v>
      </c>
    </row>
    <row r="19" spans="1:18" ht="28.5">
      <c r="A19" s="645"/>
      <c r="B19" s="2411" t="s">
        <v>2110</v>
      </c>
      <c r="C19" s="1573"/>
      <c r="D19" s="2375"/>
      <c r="E19" s="2410"/>
      <c r="F19" s="1799" t="s">
        <v>2094</v>
      </c>
      <c r="G19" s="136" t="str">
        <f>G5</f>
        <v>估价对象所在区域公共配套设施齐备情况</v>
      </c>
    </row>
    <row r="20" spans="1:18" ht="71.25">
      <c r="A20" s="645"/>
      <c r="B20" s="2411" t="s">
        <v>2111</v>
      </c>
      <c r="C20" s="2409" t="str">
        <f>C9</f>
        <v>估价对象2公里内有西湖园，自然环境一般，区域内有首都机场体育馆，人文环境一般。综合评价环境状况一般。</v>
      </c>
      <c r="D20" s="2380"/>
      <c r="E20" s="2410"/>
      <c r="F20" s="1799" t="s">
        <v>2112</v>
      </c>
      <c r="G20" s="136" t="str">
        <f>G6</f>
        <v>估价对象所在区域基础设施水平</v>
      </c>
    </row>
    <row r="21" spans="1:18" ht="142.5">
      <c r="A21" s="645"/>
      <c r="B21" s="1799" t="s">
        <v>2094</v>
      </c>
      <c r="C21" s="136" t="str">
        <f>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1" s="2375"/>
      <c r="E21" s="2410"/>
      <c r="F21" s="2411" t="s">
        <v>2113</v>
      </c>
      <c r="G21" s="2412"/>
    </row>
    <row r="22" spans="1:18" ht="13.5" customHeight="1">
      <c r="A22" s="645"/>
      <c r="B22" s="1799" t="s">
        <v>2097</v>
      </c>
      <c r="C22" s="136" t="str">
        <f>C8</f>
        <v>估价对象所在区域基础设施水平——七通</v>
      </c>
      <c r="D22" s="2375"/>
      <c r="E22" s="2410"/>
      <c r="F22" s="2411" t="s">
        <v>2102</v>
      </c>
      <c r="G22" s="1573"/>
    </row>
    <row r="23" spans="1:18" s="2372" customFormat="1" ht="15.75" thickBot="1">
      <c r="A23" s="645"/>
      <c r="B23" s="2411" t="s">
        <v>2113</v>
      </c>
      <c r="C23" s="2412"/>
      <c r="D23" s="2399"/>
      <c r="E23" s="2413"/>
      <c r="F23" s="2414" t="s">
        <v>2114</v>
      </c>
      <c r="G23" s="2415"/>
      <c r="H23" s="2399"/>
      <c r="I23" s="2400"/>
      <c r="J23" s="2399"/>
      <c r="K23" s="2399"/>
      <c r="L23" s="2400"/>
      <c r="M23" s="2399"/>
      <c r="N23" s="2399"/>
      <c r="O23" s="2400"/>
      <c r="P23" s="2399"/>
      <c r="Q23" s="2399"/>
      <c r="R23" s="2401"/>
    </row>
    <row r="24" spans="1:18" s="2372" customFormat="1" ht="15.75" thickBot="1">
      <c r="A24" s="2416"/>
      <c r="B24" s="2414" t="s">
        <v>2115</v>
      </c>
      <c r="C24" s="137">
        <f>C10</f>
        <v>0</v>
      </c>
      <c r="D24" s="2399"/>
      <c r="E24" s="2417"/>
      <c r="F24" s="2417"/>
      <c r="G24" s="2418"/>
      <c r="H24" s="2399"/>
      <c r="I24" s="2400"/>
      <c r="J24" s="2399"/>
      <c r="K24" s="2399"/>
      <c r="L24" s="2400"/>
      <c r="M24" s="2399"/>
      <c r="N24" s="2399"/>
      <c r="O24" s="2400"/>
      <c r="P24" s="2399"/>
      <c r="Q24" s="2399"/>
      <c r="R24" s="2401"/>
    </row>
    <row r="25" spans="1:18" s="2372" customFormat="1">
      <c r="B25" s="2399"/>
      <c r="C25" s="2399"/>
      <c r="D25" s="2399"/>
      <c r="H25" s="2399"/>
      <c r="I25" s="2400"/>
      <c r="J25" s="2399"/>
      <c r="K25" s="2399"/>
      <c r="L25" s="2400"/>
      <c r="M25" s="2399"/>
      <c r="N25" s="2399"/>
      <c r="O25" s="2400"/>
      <c r="P25" s="2399"/>
      <c r="Q25" s="2399"/>
      <c r="R25" s="2401"/>
    </row>
    <row r="26" spans="1:18" s="2372" customFormat="1">
      <c r="B26" s="2399"/>
      <c r="C26" s="2399"/>
      <c r="D26" s="2399"/>
      <c r="H26" s="2399"/>
      <c r="I26" s="2400"/>
      <c r="J26" s="2399"/>
      <c r="K26" s="2399"/>
      <c r="L26" s="2400"/>
      <c r="M26" s="2399"/>
      <c r="N26" s="2399"/>
      <c r="O26" s="2400"/>
      <c r="P26" s="2399"/>
      <c r="Q26" s="2399"/>
      <c r="R26" s="2401"/>
    </row>
    <row r="27" spans="1:18" s="2372" customFormat="1">
      <c r="B27" s="2399"/>
      <c r="C27" s="2399"/>
      <c r="D27" s="2399"/>
      <c r="H27" s="2399"/>
      <c r="I27" s="2400"/>
      <c r="J27" s="2399"/>
      <c r="K27" s="2399"/>
      <c r="L27" s="2400"/>
      <c r="M27" s="2399"/>
      <c r="N27" s="2399"/>
      <c r="O27" s="2400"/>
      <c r="P27" s="2399"/>
      <c r="Q27" s="2399"/>
      <c r="R27" s="2401"/>
    </row>
    <row r="28" spans="1:18" s="2372" customFormat="1">
      <c r="B28" s="2399"/>
      <c r="C28" s="2399"/>
      <c r="D28" s="2399"/>
      <c r="H28" s="2399"/>
      <c r="I28" s="2400"/>
      <c r="J28" s="2399"/>
      <c r="K28" s="2399"/>
      <c r="L28" s="2400"/>
      <c r="M28" s="2399"/>
      <c r="N28" s="2399"/>
      <c r="O28" s="2400"/>
      <c r="P28" s="2399"/>
      <c r="Q28" s="2399"/>
      <c r="R28" s="2401"/>
    </row>
    <row r="29" spans="1:18" s="2372" customFormat="1">
      <c r="B29" s="2399"/>
      <c r="C29" s="2399"/>
      <c r="D29" s="2399"/>
      <c r="H29" s="2399"/>
      <c r="I29" s="2400"/>
      <c r="J29" s="2399"/>
      <c r="K29" s="2399"/>
      <c r="L29" s="2400"/>
      <c r="M29" s="2399"/>
      <c r="N29" s="2399"/>
      <c r="O29" s="2400"/>
      <c r="P29" s="2399"/>
      <c r="Q29" s="2399"/>
      <c r="R29" s="2401"/>
    </row>
    <row r="30" spans="1:18" s="2372" customFormat="1">
      <c r="B30" s="2399"/>
      <c r="C30" s="2399"/>
      <c r="D30" s="2399"/>
      <c r="H30" s="2399"/>
      <c r="I30" s="2400"/>
      <c r="J30" s="2399"/>
      <c r="K30" s="2399"/>
      <c r="L30" s="2400"/>
      <c r="M30" s="2399"/>
      <c r="N30" s="2399"/>
      <c r="O30" s="2400"/>
      <c r="P30" s="2399"/>
      <c r="Q30" s="2399"/>
      <c r="R30" s="2401"/>
    </row>
    <row r="31" spans="1:18" s="2372" customFormat="1">
      <c r="B31" s="2399"/>
      <c r="C31" s="2399"/>
      <c r="D31" s="2399"/>
      <c r="H31" s="2399"/>
      <c r="I31" s="2400"/>
      <c r="J31" s="2399"/>
      <c r="K31" s="2399"/>
      <c r="L31" s="2400"/>
      <c r="M31" s="2399"/>
      <c r="N31" s="2399"/>
      <c r="O31" s="2400"/>
      <c r="P31" s="2399"/>
      <c r="Q31" s="2399"/>
      <c r="R31" s="2401"/>
    </row>
    <row r="32" spans="1:18" s="2372" customFormat="1">
      <c r="B32" s="2399"/>
      <c r="C32" s="2399"/>
      <c r="D32" s="2399"/>
      <c r="H32" s="2399"/>
      <c r="I32" s="2400"/>
      <c r="J32" s="2399"/>
      <c r="K32" s="2399"/>
      <c r="L32" s="2400"/>
      <c r="M32" s="2399"/>
      <c r="N32" s="2399"/>
      <c r="O32" s="2400"/>
      <c r="P32" s="2399"/>
      <c r="Q32" s="2399"/>
      <c r="R32" s="2401"/>
    </row>
    <row r="33" spans="2:18" s="2372" customFormat="1">
      <c r="B33" s="2399"/>
      <c r="C33" s="2399"/>
      <c r="D33" s="2399"/>
      <c r="H33" s="2399"/>
      <c r="I33" s="2400"/>
      <c r="J33" s="2399"/>
      <c r="K33" s="2399"/>
      <c r="L33" s="2400"/>
      <c r="M33" s="2399"/>
      <c r="N33" s="2399"/>
      <c r="O33" s="2400"/>
      <c r="P33" s="2399"/>
      <c r="Q33" s="2399"/>
      <c r="R33" s="2401"/>
    </row>
    <row r="34" spans="2:18" s="2372" customFormat="1">
      <c r="B34" s="2399"/>
      <c r="C34" s="2399"/>
      <c r="D34" s="2399"/>
      <c r="H34" s="2399"/>
      <c r="I34" s="2400"/>
      <c r="J34" s="2399"/>
      <c r="K34" s="2399"/>
      <c r="L34" s="2400"/>
      <c r="M34" s="2399"/>
      <c r="N34" s="2399"/>
      <c r="O34" s="2400"/>
      <c r="P34" s="2399"/>
      <c r="Q34" s="2399"/>
      <c r="R34" s="2401"/>
    </row>
    <row r="35" spans="2:18" s="2372" customFormat="1">
      <c r="B35" s="2399"/>
      <c r="C35" s="2399"/>
      <c r="D35" s="2399"/>
      <c r="H35" s="2399"/>
      <c r="I35" s="2400"/>
      <c r="J35" s="2399"/>
      <c r="K35" s="2399"/>
      <c r="L35" s="2400"/>
      <c r="M35" s="2399"/>
      <c r="N35" s="2399"/>
      <c r="O35" s="2400"/>
      <c r="P35" s="2399"/>
      <c r="Q35" s="2399"/>
      <c r="R35" s="2401"/>
    </row>
    <row r="36" spans="2:18" s="2372" customFormat="1">
      <c r="B36" s="2399"/>
      <c r="C36" s="2399"/>
      <c r="D36" s="2399"/>
      <c r="H36" s="2399"/>
      <c r="I36" s="2400"/>
      <c r="J36" s="2399"/>
      <c r="K36" s="2399"/>
      <c r="L36" s="2400"/>
      <c r="M36" s="2399"/>
      <c r="N36" s="2399"/>
      <c r="O36" s="2400"/>
      <c r="P36" s="2399"/>
      <c r="Q36" s="2399"/>
      <c r="R36" s="2401"/>
    </row>
    <row r="37" spans="2:18" s="2372" customFormat="1">
      <c r="B37" s="2399"/>
      <c r="C37" s="2399"/>
      <c r="D37" s="2399"/>
      <c r="H37" s="2399"/>
      <c r="I37" s="2400"/>
      <c r="J37" s="2399"/>
      <c r="K37" s="2399"/>
      <c r="L37" s="2400"/>
      <c r="M37" s="2399"/>
      <c r="N37" s="2399"/>
      <c r="O37" s="2400"/>
      <c r="P37" s="2399"/>
      <c r="Q37" s="2399"/>
      <c r="R37" s="2401"/>
    </row>
    <row r="38" spans="2:18" s="2372" customFormat="1">
      <c r="B38" s="2399"/>
      <c r="C38" s="2399"/>
      <c r="D38" s="2399"/>
      <c r="E38" s="2399"/>
      <c r="F38" s="2399"/>
      <c r="G38" s="2400"/>
      <c r="H38" s="2399"/>
      <c r="I38" s="2400"/>
      <c r="J38" s="2399"/>
      <c r="K38" s="2399"/>
      <c r="L38" s="2400"/>
      <c r="M38" s="2399"/>
      <c r="N38" s="2399"/>
      <c r="O38" s="2400"/>
      <c r="P38" s="2399"/>
      <c r="Q38" s="2399"/>
      <c r="R38" s="2401"/>
    </row>
    <row r="39" spans="2:18" s="2372" customFormat="1">
      <c r="B39" s="2399"/>
      <c r="C39" s="2399"/>
      <c r="D39" s="2399"/>
      <c r="E39" s="2399"/>
      <c r="F39" s="2399"/>
      <c r="G39" s="2400"/>
      <c r="H39" s="2399"/>
      <c r="I39" s="2400"/>
      <c r="J39" s="2399"/>
      <c r="K39" s="2399"/>
      <c r="L39" s="2400"/>
      <c r="M39" s="2399"/>
      <c r="N39" s="2399"/>
      <c r="O39" s="2400"/>
      <c r="P39" s="2399"/>
      <c r="Q39" s="2399"/>
      <c r="R39" s="2401"/>
    </row>
    <row r="40" spans="2:18" s="2372" customFormat="1">
      <c r="B40" s="2399"/>
      <c r="C40" s="2399"/>
      <c r="D40" s="2399"/>
      <c r="E40" s="2399"/>
      <c r="F40" s="2399"/>
      <c r="G40" s="2400"/>
      <c r="H40" s="2399"/>
      <c r="I40" s="2400"/>
      <c r="J40" s="2399"/>
      <c r="K40" s="2399"/>
      <c r="L40" s="2400"/>
      <c r="M40" s="2399"/>
      <c r="N40" s="2399"/>
      <c r="O40" s="2400"/>
      <c r="P40" s="2399"/>
      <c r="Q40" s="2399"/>
      <c r="R40" s="2401"/>
    </row>
    <row r="41" spans="2:18" s="2372" customFormat="1">
      <c r="B41" s="2399"/>
      <c r="C41" s="2399"/>
      <c r="D41" s="2399"/>
      <c r="E41" s="2399"/>
      <c r="F41" s="2399"/>
      <c r="G41" s="2400"/>
      <c r="H41" s="2399"/>
      <c r="I41" s="2400"/>
      <c r="J41" s="2399"/>
      <c r="K41" s="2399"/>
      <c r="L41" s="2400"/>
      <c r="M41" s="2399"/>
      <c r="N41" s="2399"/>
      <c r="O41" s="2400"/>
      <c r="P41" s="2399"/>
      <c r="Q41" s="2399"/>
      <c r="R41" s="2401"/>
    </row>
    <row r="42" spans="2:18" s="2372" customFormat="1">
      <c r="B42" s="2399"/>
      <c r="C42" s="2399"/>
      <c r="D42" s="2399"/>
      <c r="E42" s="2399"/>
      <c r="F42" s="2399"/>
      <c r="G42" s="2400"/>
      <c r="H42" s="2399"/>
      <c r="I42" s="2400"/>
      <c r="J42" s="2399"/>
      <c r="K42" s="2399"/>
      <c r="L42" s="2400"/>
      <c r="M42" s="2399"/>
      <c r="N42" s="2399"/>
      <c r="O42" s="2400"/>
      <c r="P42" s="2399"/>
      <c r="Q42" s="2399"/>
      <c r="R42" s="2401"/>
    </row>
    <row r="43" spans="2:18" s="2372" customFormat="1">
      <c r="B43" s="2399"/>
      <c r="C43" s="2399"/>
      <c r="D43" s="2399"/>
      <c r="E43" s="2399"/>
      <c r="F43" s="2399"/>
      <c r="G43" s="2400"/>
      <c r="H43" s="2399"/>
      <c r="I43" s="2400"/>
      <c r="J43" s="2399"/>
      <c r="K43" s="2399"/>
      <c r="L43" s="2400"/>
      <c r="M43" s="2399"/>
      <c r="N43" s="2399"/>
      <c r="O43" s="2400"/>
      <c r="P43" s="2399"/>
      <c r="Q43" s="2399"/>
      <c r="R43" s="2401"/>
    </row>
    <row r="44" spans="2:18" s="2372" customFormat="1">
      <c r="B44" s="2399"/>
      <c r="C44" s="2399"/>
      <c r="D44" s="2399"/>
      <c r="E44" s="2399"/>
      <c r="F44" s="2399"/>
      <c r="G44" s="2400"/>
      <c r="H44" s="2399"/>
      <c r="I44" s="2400"/>
      <c r="J44" s="2399"/>
      <c r="K44" s="2399"/>
      <c r="L44" s="2400"/>
      <c r="M44" s="2399"/>
      <c r="N44" s="2399"/>
      <c r="O44" s="2400"/>
      <c r="P44" s="2399"/>
      <c r="Q44" s="2399"/>
      <c r="R44" s="2401"/>
    </row>
    <row r="45" spans="2:18" s="2372" customFormat="1">
      <c r="B45" s="2399"/>
      <c r="C45" s="2399"/>
      <c r="D45" s="2399"/>
      <c r="E45" s="2399"/>
      <c r="F45" s="2399"/>
      <c r="G45" s="2400"/>
      <c r="H45" s="2399"/>
      <c r="I45" s="2400"/>
      <c r="J45" s="2399"/>
      <c r="K45" s="2399"/>
      <c r="L45" s="2400"/>
      <c r="M45" s="2399"/>
      <c r="N45" s="2399"/>
      <c r="O45" s="2400"/>
      <c r="P45" s="2399"/>
      <c r="Q45" s="2399"/>
      <c r="R45" s="2401"/>
    </row>
    <row r="46" spans="2:18" s="2372" customFormat="1">
      <c r="B46" s="2399"/>
      <c r="C46" s="2399"/>
      <c r="D46" s="2399"/>
      <c r="E46" s="2399"/>
      <c r="F46" s="2399"/>
      <c r="G46" s="2400"/>
      <c r="H46" s="2399"/>
      <c r="I46" s="2400"/>
      <c r="J46" s="2399"/>
      <c r="K46" s="2399"/>
      <c r="L46" s="2400"/>
      <c r="M46" s="2399"/>
      <c r="N46" s="2399"/>
      <c r="O46" s="2400"/>
      <c r="P46" s="2399"/>
      <c r="Q46" s="2399"/>
      <c r="R46" s="2401"/>
    </row>
    <row r="47" spans="2:18" s="2372" customFormat="1">
      <c r="B47" s="2399"/>
      <c r="C47" s="2399"/>
      <c r="D47" s="2399"/>
      <c r="E47" s="2399"/>
      <c r="F47" s="2399"/>
      <c r="G47" s="2400"/>
      <c r="H47" s="2399"/>
      <c r="I47" s="2400"/>
      <c r="J47" s="2399"/>
      <c r="K47" s="2399"/>
      <c r="L47" s="2400"/>
      <c r="M47" s="2399"/>
      <c r="N47" s="2399"/>
      <c r="O47" s="2400"/>
      <c r="P47" s="2399"/>
      <c r="Q47" s="2399"/>
      <c r="R47" s="2401"/>
    </row>
    <row r="48" spans="2:18" s="2372" customFormat="1">
      <c r="B48" s="2399"/>
      <c r="C48" s="2399"/>
      <c r="D48" s="2399"/>
      <c r="E48" s="2399"/>
      <c r="F48" s="2399"/>
      <c r="G48" s="2400"/>
      <c r="H48" s="2399"/>
      <c r="I48" s="2400"/>
      <c r="J48" s="2399"/>
      <c r="K48" s="2399"/>
      <c r="L48" s="2400"/>
      <c r="M48" s="2399"/>
      <c r="N48" s="2399"/>
      <c r="O48" s="2400"/>
      <c r="P48" s="2399"/>
      <c r="Q48" s="2399"/>
      <c r="R48" s="2401"/>
    </row>
    <row r="49" spans="2:18" s="2372" customFormat="1">
      <c r="B49" s="2399"/>
      <c r="C49" s="2399"/>
      <c r="D49" s="2399"/>
      <c r="E49" s="2399"/>
      <c r="F49" s="2399"/>
      <c r="G49" s="2400"/>
      <c r="H49" s="2399"/>
      <c r="I49" s="2400"/>
      <c r="J49" s="2399"/>
      <c r="K49" s="2399"/>
      <c r="L49" s="2400"/>
      <c r="M49" s="2399"/>
      <c r="N49" s="2399"/>
      <c r="O49" s="2400"/>
      <c r="P49" s="2399"/>
      <c r="Q49" s="2399"/>
      <c r="R49" s="2401"/>
    </row>
    <row r="50" spans="2:18" s="2372" customFormat="1">
      <c r="B50" s="2399"/>
      <c r="C50" s="2399"/>
      <c r="D50" s="2399"/>
      <c r="E50" s="2399"/>
      <c r="F50" s="2399"/>
      <c r="G50" s="2400"/>
      <c r="H50" s="2399"/>
      <c r="I50" s="2400"/>
      <c r="J50" s="2399"/>
      <c r="K50" s="2399"/>
      <c r="L50" s="2400"/>
      <c r="M50" s="2399"/>
      <c r="N50" s="2399"/>
      <c r="O50" s="2400"/>
      <c r="P50" s="2399"/>
      <c r="Q50" s="2399"/>
      <c r="R50" s="2401"/>
    </row>
    <row r="51" spans="2:18" s="2372" customFormat="1">
      <c r="B51" s="2399"/>
      <c r="C51" s="2399"/>
      <c r="D51" s="2399"/>
      <c r="E51" s="2399"/>
      <c r="F51" s="2399"/>
      <c r="G51" s="2400"/>
      <c r="H51" s="2399"/>
      <c r="I51" s="2400"/>
      <c r="J51" s="2399"/>
      <c r="K51" s="2399"/>
      <c r="L51" s="2400"/>
      <c r="M51" s="2399"/>
      <c r="N51" s="2399"/>
      <c r="O51" s="2400"/>
      <c r="P51" s="2399"/>
      <c r="Q51" s="2399"/>
      <c r="R51" s="2401"/>
    </row>
    <row r="52" spans="2:18" s="2372" customFormat="1">
      <c r="B52" s="2399"/>
      <c r="C52" s="2399"/>
      <c r="D52" s="2399"/>
      <c r="E52" s="2399"/>
      <c r="F52" s="2399"/>
      <c r="G52" s="2400"/>
      <c r="H52" s="2399"/>
      <c r="I52" s="2400"/>
      <c r="J52" s="2399"/>
      <c r="K52" s="2399"/>
      <c r="L52" s="2400"/>
      <c r="M52" s="2399"/>
      <c r="N52" s="2399"/>
      <c r="O52" s="2400"/>
      <c r="P52" s="2399"/>
      <c r="Q52" s="2399"/>
      <c r="R52" s="2401"/>
    </row>
    <row r="53" spans="2:18" s="2372" customFormat="1">
      <c r="B53" s="2399"/>
      <c r="C53" s="2399"/>
      <c r="D53" s="2399"/>
      <c r="E53" s="2399"/>
      <c r="F53" s="2399"/>
      <c r="G53" s="2400"/>
      <c r="H53" s="2399"/>
      <c r="I53" s="2400"/>
      <c r="J53" s="2399"/>
      <c r="K53" s="2399"/>
      <c r="L53" s="2400"/>
      <c r="M53" s="2399"/>
      <c r="N53" s="2399"/>
      <c r="O53" s="2400"/>
      <c r="P53" s="2399"/>
      <c r="Q53" s="2399"/>
      <c r="R53" s="2401"/>
    </row>
    <row r="54" spans="2:18" s="2372" customFormat="1">
      <c r="B54" s="2399"/>
      <c r="C54" s="2399"/>
      <c r="D54" s="2399"/>
      <c r="E54" s="2399"/>
      <c r="F54" s="2399"/>
      <c r="G54" s="2400"/>
      <c r="H54" s="2399"/>
      <c r="I54" s="2400"/>
      <c r="J54" s="2399"/>
      <c r="K54" s="2399"/>
      <c r="L54" s="2400"/>
      <c r="M54" s="2399"/>
      <c r="N54" s="2399"/>
      <c r="O54" s="2400"/>
      <c r="P54" s="2399"/>
      <c r="Q54" s="2399"/>
      <c r="R54" s="2401"/>
    </row>
    <row r="55" spans="2:18" s="2372" customFormat="1">
      <c r="B55" s="2399"/>
      <c r="C55" s="2399"/>
      <c r="D55" s="2399"/>
      <c r="E55" s="2399"/>
      <c r="F55" s="2399"/>
      <c r="G55" s="2400"/>
      <c r="H55" s="2399"/>
      <c r="I55" s="2400"/>
      <c r="J55" s="2399"/>
      <c r="K55" s="2399"/>
      <c r="L55" s="2400"/>
      <c r="M55" s="2399"/>
      <c r="N55" s="2399"/>
      <c r="O55" s="2400"/>
      <c r="P55" s="2399"/>
      <c r="Q55" s="2399"/>
      <c r="R55" s="2401"/>
    </row>
    <row r="56" spans="2:18" s="2372" customFormat="1">
      <c r="B56" s="2399"/>
      <c r="C56" s="2399"/>
      <c r="D56" s="2399"/>
      <c r="E56" s="2399"/>
      <c r="F56" s="2399"/>
      <c r="G56" s="2400"/>
      <c r="H56" s="2399"/>
      <c r="I56" s="2400"/>
      <c r="J56" s="2399"/>
      <c r="K56" s="2399"/>
      <c r="L56" s="2400"/>
      <c r="M56" s="2399"/>
      <c r="N56" s="2399"/>
      <c r="O56" s="2400"/>
      <c r="P56" s="2399"/>
      <c r="Q56" s="2399"/>
      <c r="R56" s="2401"/>
    </row>
    <row r="57" spans="2:18" s="2372" customFormat="1">
      <c r="B57" s="2399"/>
      <c r="C57" s="2399"/>
      <c r="D57" s="2399"/>
      <c r="E57" s="2399"/>
      <c r="F57" s="2399"/>
      <c r="G57" s="2400"/>
      <c r="H57" s="2399"/>
      <c r="I57" s="2400"/>
      <c r="J57" s="2399"/>
      <c r="K57" s="2399"/>
      <c r="L57" s="2400"/>
      <c r="M57" s="2399"/>
      <c r="N57" s="2399"/>
      <c r="O57" s="2400"/>
      <c r="P57" s="2399"/>
      <c r="Q57" s="2399"/>
      <c r="R57" s="2401"/>
    </row>
    <row r="58" spans="2:18" s="2372" customFormat="1">
      <c r="B58" s="2399"/>
      <c r="C58" s="2399"/>
      <c r="D58" s="2399"/>
      <c r="E58" s="2399"/>
      <c r="F58" s="2399"/>
      <c r="G58" s="2400"/>
      <c r="H58" s="2399"/>
      <c r="I58" s="2400"/>
      <c r="J58" s="2399"/>
      <c r="K58" s="2399"/>
      <c r="L58" s="2400"/>
      <c r="M58" s="2399"/>
      <c r="N58" s="2399"/>
      <c r="O58" s="2400"/>
      <c r="P58" s="2399"/>
      <c r="Q58" s="2399"/>
      <c r="R58" s="2401"/>
    </row>
    <row r="59" spans="2:18" s="2372" customFormat="1">
      <c r="B59" s="2399"/>
      <c r="C59" s="2399"/>
      <c r="D59" s="2399"/>
      <c r="E59" s="2399"/>
      <c r="F59" s="2399"/>
      <c r="G59" s="2400"/>
      <c r="H59" s="2399"/>
      <c r="I59" s="2400"/>
      <c r="J59" s="2399"/>
      <c r="K59" s="2399"/>
      <c r="L59" s="2400"/>
      <c r="M59" s="2399"/>
      <c r="N59" s="2399"/>
      <c r="O59" s="2400"/>
      <c r="P59" s="2399"/>
      <c r="Q59" s="2399"/>
      <c r="R59" s="2401"/>
    </row>
    <row r="60" spans="2:18" s="2372" customFormat="1">
      <c r="B60" s="2399"/>
      <c r="C60" s="2399"/>
      <c r="D60" s="2399"/>
      <c r="E60" s="2399"/>
      <c r="F60" s="2399"/>
      <c r="G60" s="2400"/>
      <c r="H60" s="2399"/>
      <c r="I60" s="2400"/>
      <c r="J60" s="2399"/>
      <c r="K60" s="2399"/>
      <c r="L60" s="2400"/>
      <c r="M60" s="2399"/>
      <c r="N60" s="2399"/>
      <c r="O60" s="2400"/>
      <c r="P60" s="2399"/>
      <c r="Q60" s="2399"/>
      <c r="R60" s="2401"/>
    </row>
    <row r="61" spans="2:18" s="2372" customFormat="1">
      <c r="B61" s="2399"/>
      <c r="C61" s="2399"/>
      <c r="D61" s="2399"/>
      <c r="E61" s="2399"/>
      <c r="F61" s="2399"/>
      <c r="G61" s="2400"/>
      <c r="H61" s="2399"/>
      <c r="I61" s="2400"/>
      <c r="J61" s="2399"/>
      <c r="K61" s="2399"/>
      <c r="L61" s="2400"/>
      <c r="M61" s="2399"/>
      <c r="N61" s="2399"/>
      <c r="O61" s="2400"/>
      <c r="P61" s="2399"/>
      <c r="Q61" s="2399"/>
      <c r="R61" s="2401"/>
    </row>
    <row r="62" spans="2:18" s="2372" customFormat="1">
      <c r="B62" s="2399"/>
      <c r="C62" s="2399"/>
      <c r="D62" s="2399"/>
      <c r="E62" s="2399"/>
      <c r="F62" s="2399"/>
      <c r="G62" s="2400"/>
      <c r="H62" s="2399"/>
      <c r="I62" s="2400"/>
      <c r="J62" s="2399"/>
      <c r="K62" s="2399"/>
      <c r="L62" s="2400"/>
      <c r="M62" s="2399"/>
      <c r="N62" s="2399"/>
      <c r="O62" s="2400"/>
      <c r="P62" s="2399"/>
      <c r="Q62" s="2399"/>
      <c r="R62" s="2401"/>
    </row>
    <row r="63" spans="2:18" s="2372" customFormat="1">
      <c r="B63" s="2399"/>
      <c r="C63" s="2399"/>
      <c r="D63" s="2399"/>
      <c r="E63" s="2399"/>
      <c r="F63" s="2399"/>
      <c r="G63" s="2400"/>
      <c r="H63" s="2399"/>
      <c r="I63" s="2400"/>
      <c r="J63" s="2399"/>
      <c r="K63" s="2399"/>
      <c r="L63" s="2400"/>
      <c r="M63" s="2399"/>
      <c r="N63" s="2399"/>
      <c r="O63" s="2400"/>
      <c r="P63" s="2399"/>
      <c r="Q63" s="2399"/>
      <c r="R63" s="2401"/>
    </row>
    <row r="64" spans="2:18" s="2372" customFormat="1">
      <c r="B64" s="2399"/>
      <c r="C64" s="2399"/>
      <c r="D64" s="2399"/>
      <c r="E64" s="2399"/>
      <c r="F64" s="2399"/>
      <c r="G64" s="2400"/>
      <c r="H64" s="2399"/>
      <c r="I64" s="2400"/>
      <c r="J64" s="2399"/>
      <c r="K64" s="2399"/>
      <c r="L64" s="2400"/>
      <c r="M64" s="2399"/>
      <c r="N64" s="2399"/>
      <c r="O64" s="2400"/>
      <c r="P64" s="2399"/>
      <c r="Q64" s="2399"/>
      <c r="R64" s="2401"/>
    </row>
    <row r="65" spans="2:18" s="2372" customFormat="1">
      <c r="B65" s="2399"/>
      <c r="C65" s="2399"/>
      <c r="D65" s="2399"/>
      <c r="E65" s="2399"/>
      <c r="F65" s="2399"/>
      <c r="G65" s="2400"/>
      <c r="H65" s="2399"/>
      <c r="I65" s="2400"/>
      <c r="J65" s="2399"/>
      <c r="K65" s="2399"/>
      <c r="L65" s="2400"/>
      <c r="M65" s="2399"/>
      <c r="N65" s="2399"/>
      <c r="O65" s="2400"/>
      <c r="P65" s="2399"/>
      <c r="Q65" s="2399"/>
      <c r="R65" s="2401"/>
    </row>
    <row r="66" spans="2:18" s="2372" customFormat="1">
      <c r="B66" s="2399"/>
      <c r="C66" s="2399"/>
      <c r="D66" s="2399"/>
      <c r="E66" s="2399"/>
      <c r="F66" s="2399"/>
      <c r="G66" s="2400"/>
      <c r="H66" s="2399"/>
      <c r="I66" s="2400"/>
      <c r="J66" s="2399"/>
      <c r="K66" s="2399"/>
      <c r="L66" s="2400"/>
      <c r="M66" s="2399"/>
      <c r="N66" s="2399"/>
      <c r="O66" s="2400"/>
      <c r="P66" s="2399"/>
      <c r="Q66" s="2399"/>
      <c r="R66" s="2401"/>
    </row>
    <row r="67" spans="2:18" s="2372" customFormat="1">
      <c r="B67" s="2399"/>
      <c r="C67" s="2399"/>
      <c r="D67" s="2399"/>
      <c r="E67" s="2399"/>
      <c r="F67" s="2399"/>
      <c r="G67" s="2400"/>
      <c r="H67" s="2399"/>
      <c r="I67" s="2400"/>
      <c r="J67" s="2399"/>
      <c r="K67" s="2399"/>
      <c r="L67" s="2400"/>
      <c r="M67" s="2399"/>
      <c r="N67" s="2399"/>
      <c r="O67" s="2400"/>
      <c r="P67" s="2399"/>
      <c r="Q67" s="2399"/>
      <c r="R67" s="2401"/>
    </row>
    <row r="68" spans="2:18" s="2372" customFormat="1">
      <c r="B68" s="2399"/>
      <c r="C68" s="2399"/>
      <c r="D68" s="2399"/>
      <c r="E68" s="2399"/>
      <c r="F68" s="2399"/>
      <c r="G68" s="2400"/>
      <c r="H68" s="2399"/>
      <c r="I68" s="2400"/>
      <c r="J68" s="2399"/>
      <c r="K68" s="2399"/>
      <c r="L68" s="2400"/>
      <c r="M68" s="2399"/>
      <c r="N68" s="2399"/>
      <c r="O68" s="2400"/>
      <c r="P68" s="2399"/>
      <c r="Q68" s="2399"/>
      <c r="R68" s="2401"/>
    </row>
    <row r="69" spans="2:18" s="2372" customFormat="1">
      <c r="B69" s="2399"/>
      <c r="C69" s="2399"/>
      <c r="D69" s="2399"/>
      <c r="E69" s="2399"/>
      <c r="F69" s="2399"/>
      <c r="G69" s="2400"/>
      <c r="H69" s="2399"/>
      <c r="I69" s="2400"/>
      <c r="J69" s="2399"/>
      <c r="K69" s="2399"/>
      <c r="L69" s="2400"/>
      <c r="M69" s="2399"/>
      <c r="N69" s="2399"/>
      <c r="O69" s="2400"/>
      <c r="P69" s="2399"/>
      <c r="Q69" s="2399"/>
      <c r="R69" s="2401"/>
    </row>
    <row r="70" spans="2:18" s="2372" customFormat="1">
      <c r="B70" s="2399"/>
      <c r="C70" s="2399"/>
      <c r="D70" s="2399"/>
      <c r="E70" s="2399"/>
      <c r="F70" s="2399"/>
      <c r="G70" s="2400"/>
      <c r="H70" s="2399"/>
      <c r="I70" s="2400"/>
      <c r="J70" s="2399"/>
      <c r="K70" s="2399"/>
      <c r="L70" s="2400"/>
      <c r="M70" s="2399"/>
      <c r="N70" s="2399"/>
      <c r="O70" s="2400"/>
      <c r="P70" s="2399"/>
      <c r="Q70" s="2399"/>
      <c r="R70" s="2401"/>
    </row>
    <row r="71" spans="2:18" s="2372" customFormat="1">
      <c r="B71" s="2399"/>
      <c r="C71" s="2399"/>
      <c r="D71" s="2399"/>
      <c r="E71" s="2399"/>
      <c r="F71" s="2399"/>
      <c r="G71" s="2400"/>
      <c r="H71" s="2399"/>
      <c r="I71" s="2400"/>
      <c r="J71" s="2399"/>
      <c r="K71" s="2399"/>
      <c r="L71" s="2400"/>
      <c r="M71" s="2399"/>
      <c r="N71" s="2399"/>
      <c r="O71" s="2400"/>
      <c r="P71" s="2399"/>
      <c r="Q71" s="2399"/>
      <c r="R71" s="2401"/>
    </row>
    <row r="72" spans="2:18" s="2372" customFormat="1">
      <c r="B72" s="2399"/>
      <c r="C72" s="2399"/>
      <c r="D72" s="2399"/>
      <c r="E72" s="2399"/>
      <c r="F72" s="2399"/>
      <c r="G72" s="2400"/>
      <c r="H72" s="2399"/>
      <c r="I72" s="2400"/>
      <c r="J72" s="2399"/>
      <c r="K72" s="2399"/>
      <c r="L72" s="2400"/>
      <c r="M72" s="2399"/>
      <c r="N72" s="2399"/>
      <c r="O72" s="2400"/>
      <c r="P72" s="2399"/>
      <c r="Q72" s="2399"/>
      <c r="R72" s="2401"/>
    </row>
    <row r="73" spans="2:18" s="2372" customFormat="1">
      <c r="B73" s="2399"/>
      <c r="C73" s="2399"/>
      <c r="D73" s="2399"/>
      <c r="E73" s="2399"/>
      <c r="F73" s="2399"/>
      <c r="G73" s="2400"/>
      <c r="H73" s="2399"/>
      <c r="I73" s="2400"/>
      <c r="J73" s="2399"/>
      <c r="K73" s="2399"/>
      <c r="L73" s="2400"/>
      <c r="M73" s="2399"/>
      <c r="N73" s="2399"/>
      <c r="O73" s="2400"/>
      <c r="P73" s="2399"/>
      <c r="Q73" s="2399"/>
      <c r="R73" s="2401"/>
    </row>
    <row r="74" spans="2:18" s="2372" customFormat="1">
      <c r="B74" s="2399"/>
      <c r="C74" s="2399"/>
      <c r="D74" s="2399"/>
      <c r="E74" s="2399"/>
      <c r="F74" s="2399"/>
      <c r="G74" s="2400"/>
      <c r="H74" s="2399"/>
      <c r="I74" s="2400"/>
      <c r="J74" s="2399"/>
      <c r="K74" s="2399"/>
      <c r="L74" s="2400"/>
      <c r="M74" s="2399"/>
      <c r="N74" s="2399"/>
      <c r="O74" s="2400"/>
      <c r="P74" s="2399"/>
      <c r="Q74" s="2399"/>
      <c r="R74" s="2401"/>
    </row>
    <row r="75" spans="2:18" s="2372" customFormat="1">
      <c r="B75" s="2399"/>
      <c r="C75" s="2399"/>
      <c r="D75" s="2399"/>
      <c r="E75" s="2399"/>
      <c r="F75" s="2399"/>
      <c r="G75" s="2400"/>
      <c r="H75" s="2399"/>
      <c r="I75" s="2400"/>
      <c r="J75" s="2399"/>
      <c r="K75" s="2399"/>
      <c r="L75" s="2400"/>
      <c r="M75" s="2399"/>
      <c r="N75" s="2399"/>
      <c r="O75" s="2400"/>
      <c r="P75" s="2399"/>
      <c r="Q75" s="2399"/>
      <c r="R75" s="2401"/>
    </row>
    <row r="76" spans="2:18" s="2372" customFormat="1">
      <c r="B76" s="2399"/>
      <c r="C76" s="2399"/>
      <c r="D76" s="2399"/>
      <c r="E76" s="2399"/>
      <c r="F76" s="2399"/>
      <c r="G76" s="2400"/>
      <c r="H76" s="2399"/>
      <c r="I76" s="2400"/>
      <c r="J76" s="2399"/>
      <c r="K76" s="2399"/>
      <c r="L76" s="2400"/>
      <c r="M76" s="2399"/>
      <c r="N76" s="2399"/>
      <c r="O76" s="2400"/>
      <c r="P76" s="2399"/>
      <c r="Q76" s="2399"/>
      <c r="R76" s="2401"/>
    </row>
    <row r="77" spans="2:18" s="2372" customFormat="1">
      <c r="B77" s="2399"/>
      <c r="C77" s="2399"/>
      <c r="D77" s="2399"/>
      <c r="E77" s="2399"/>
      <c r="F77" s="2399"/>
      <c r="G77" s="2400"/>
      <c r="H77" s="2399"/>
      <c r="I77" s="2400"/>
      <c r="J77" s="2399"/>
      <c r="K77" s="2399"/>
      <c r="L77" s="2400"/>
      <c r="M77" s="2399"/>
      <c r="N77" s="2399"/>
      <c r="O77" s="2400"/>
      <c r="P77" s="2399"/>
      <c r="Q77" s="2399"/>
      <c r="R77" s="2401"/>
    </row>
    <row r="78" spans="2:18" s="2372" customFormat="1">
      <c r="B78" s="2399"/>
      <c r="C78" s="2399"/>
      <c r="D78" s="2399"/>
      <c r="E78" s="2399"/>
      <c r="F78" s="2399"/>
      <c r="G78" s="2400"/>
      <c r="H78" s="2399"/>
      <c r="I78" s="2400"/>
      <c r="J78" s="2399"/>
      <c r="K78" s="2399"/>
      <c r="L78" s="2400"/>
      <c r="M78" s="2399"/>
      <c r="N78" s="2399"/>
      <c r="O78" s="2400"/>
      <c r="P78" s="2399"/>
      <c r="Q78" s="2399"/>
      <c r="R78" s="2401"/>
    </row>
    <row r="79" spans="2:18" s="2372" customFormat="1">
      <c r="B79" s="2399"/>
      <c r="C79" s="2399"/>
      <c r="D79" s="2399"/>
      <c r="E79" s="2399"/>
      <c r="F79" s="2399"/>
      <c r="G79" s="2400"/>
      <c r="H79" s="2399"/>
      <c r="I79" s="2400"/>
      <c r="J79" s="2399"/>
      <c r="K79" s="2399"/>
      <c r="L79" s="2400"/>
      <c r="M79" s="2399"/>
      <c r="N79" s="2399"/>
      <c r="O79" s="2400"/>
      <c r="P79" s="2399"/>
      <c r="Q79" s="2399"/>
      <c r="R79" s="2401"/>
    </row>
    <row r="80" spans="2:18" s="2372" customFormat="1">
      <c r="B80" s="2399"/>
      <c r="C80" s="2399"/>
      <c r="D80" s="2399"/>
      <c r="E80" s="2399"/>
      <c r="F80" s="2399"/>
      <c r="G80" s="2400"/>
      <c r="H80" s="2399"/>
      <c r="I80" s="2400"/>
      <c r="J80" s="2399"/>
      <c r="K80" s="2399"/>
      <c r="L80" s="2400"/>
      <c r="M80" s="2399"/>
      <c r="N80" s="2399"/>
      <c r="O80" s="2400"/>
      <c r="P80" s="2399"/>
      <c r="Q80" s="2399"/>
      <c r="R80" s="2401"/>
    </row>
    <row r="81" spans="2:18" s="2372" customFormat="1">
      <c r="B81" s="2399"/>
      <c r="C81" s="2399"/>
      <c r="D81" s="2399"/>
      <c r="E81" s="2399"/>
      <c r="F81" s="2399"/>
      <c r="G81" s="2400"/>
      <c r="H81" s="2399"/>
      <c r="I81" s="2400"/>
      <c r="J81" s="2399"/>
      <c r="K81" s="2399"/>
      <c r="L81" s="2400"/>
      <c r="M81" s="2399"/>
      <c r="N81" s="2399"/>
      <c r="O81" s="2400"/>
      <c r="P81" s="2399"/>
      <c r="Q81" s="2399"/>
      <c r="R81" s="2401"/>
    </row>
    <row r="82" spans="2:18" s="2372" customFormat="1">
      <c r="B82" s="2399"/>
      <c r="C82" s="2399"/>
      <c r="D82" s="2399"/>
      <c r="E82" s="2399"/>
      <c r="F82" s="2399"/>
      <c r="G82" s="2400"/>
      <c r="H82" s="2399"/>
      <c r="I82" s="2400"/>
      <c r="J82" s="2399"/>
      <c r="K82" s="2399"/>
      <c r="L82" s="2400"/>
      <c r="M82" s="2399"/>
      <c r="N82" s="2399"/>
      <c r="O82" s="2400"/>
      <c r="P82" s="2399"/>
      <c r="Q82" s="2399"/>
      <c r="R82" s="2401"/>
    </row>
    <row r="83" spans="2:18" s="2372" customFormat="1">
      <c r="B83" s="2399"/>
      <c r="C83" s="2399"/>
      <c r="D83" s="2399"/>
      <c r="E83" s="2399"/>
      <c r="F83" s="2399"/>
      <c r="G83" s="2400"/>
      <c r="H83" s="2399"/>
      <c r="I83" s="2400"/>
      <c r="J83" s="2399"/>
      <c r="K83" s="2399"/>
      <c r="L83" s="2400"/>
      <c r="M83" s="2399"/>
      <c r="N83" s="2399"/>
      <c r="O83" s="2400"/>
      <c r="P83" s="2399"/>
      <c r="Q83" s="2399"/>
      <c r="R83" s="2401"/>
    </row>
    <row r="84" spans="2:18" s="2372" customFormat="1">
      <c r="B84" s="2399"/>
      <c r="C84" s="2399"/>
      <c r="D84" s="2399"/>
      <c r="E84" s="2399"/>
      <c r="F84" s="2399"/>
      <c r="G84" s="2400"/>
      <c r="H84" s="2399"/>
      <c r="I84" s="2400"/>
      <c r="J84" s="2399"/>
      <c r="K84" s="2399"/>
      <c r="L84" s="2400"/>
      <c r="M84" s="2399"/>
      <c r="N84" s="2399"/>
      <c r="O84" s="2400"/>
      <c r="P84" s="2399"/>
      <c r="Q84" s="2399"/>
      <c r="R84" s="2401"/>
    </row>
    <row r="85" spans="2:18" s="2372" customFormat="1">
      <c r="B85" s="2399"/>
      <c r="C85" s="2399"/>
      <c r="D85" s="2399"/>
      <c r="E85" s="2399"/>
      <c r="F85" s="2399"/>
      <c r="G85" s="2400"/>
      <c r="H85" s="2399"/>
      <c r="I85" s="2400"/>
      <c r="J85" s="2399"/>
      <c r="K85" s="2399"/>
      <c r="L85" s="2400"/>
      <c r="M85" s="2399"/>
      <c r="N85" s="2399"/>
      <c r="O85" s="2400"/>
      <c r="P85" s="2399"/>
      <c r="Q85" s="2399"/>
      <c r="R85" s="2401"/>
    </row>
    <row r="86" spans="2:18" s="2372" customFormat="1">
      <c r="B86" s="2399"/>
      <c r="C86" s="2399"/>
      <c r="D86" s="2399"/>
      <c r="E86" s="2399"/>
      <c r="F86" s="2399"/>
      <c r="G86" s="2400"/>
      <c r="H86" s="2399"/>
      <c r="I86" s="2400"/>
      <c r="J86" s="2399"/>
      <c r="K86" s="2399"/>
      <c r="L86" s="2400"/>
      <c r="M86" s="2399"/>
      <c r="N86" s="2399"/>
      <c r="O86" s="2400"/>
      <c r="P86" s="2399"/>
      <c r="Q86" s="2399"/>
      <c r="R86" s="2401"/>
    </row>
    <row r="87" spans="2:18" s="2372" customFormat="1">
      <c r="B87" s="2399"/>
      <c r="C87" s="2399"/>
      <c r="D87" s="2399"/>
      <c r="E87" s="2399"/>
      <c r="F87" s="2399"/>
      <c r="G87" s="2400"/>
      <c r="H87" s="2399"/>
      <c r="I87" s="2400"/>
      <c r="J87" s="2399"/>
      <c r="K87" s="2399"/>
      <c r="L87" s="2400"/>
      <c r="M87" s="2399"/>
      <c r="N87" s="2399"/>
      <c r="O87" s="2400"/>
      <c r="P87" s="2399"/>
      <c r="Q87" s="2399"/>
      <c r="R87" s="2401"/>
    </row>
    <row r="88" spans="2:18" s="2372" customFormat="1">
      <c r="B88" s="2399"/>
      <c r="C88" s="2399"/>
      <c r="D88" s="2399"/>
      <c r="E88" s="2399"/>
      <c r="F88" s="2399"/>
      <c r="G88" s="2400"/>
      <c r="H88" s="2399"/>
      <c r="I88" s="2400"/>
      <c r="J88" s="2399"/>
      <c r="K88" s="2399"/>
      <c r="L88" s="2400"/>
      <c r="M88" s="2399"/>
      <c r="N88" s="2399"/>
      <c r="O88" s="2400"/>
      <c r="P88" s="2399"/>
      <c r="Q88" s="2399"/>
      <c r="R88" s="2401"/>
    </row>
    <row r="89" spans="2:18" s="2372" customFormat="1">
      <c r="B89" s="2399"/>
      <c r="C89" s="2399"/>
      <c r="D89" s="2399"/>
      <c r="E89" s="2399"/>
      <c r="F89" s="2399"/>
      <c r="G89" s="2400"/>
      <c r="H89" s="2399"/>
      <c r="I89" s="2400"/>
      <c r="J89" s="2399"/>
      <c r="K89" s="2399"/>
      <c r="L89" s="2400"/>
      <c r="M89" s="2399"/>
      <c r="N89" s="2399"/>
      <c r="O89" s="2400"/>
      <c r="P89" s="2399"/>
      <c r="Q89" s="2399"/>
      <c r="R89" s="2401"/>
    </row>
    <row r="90" spans="2:18" s="2372" customFormat="1">
      <c r="B90" s="2399"/>
      <c r="C90" s="2399"/>
      <c r="D90" s="2399"/>
      <c r="E90" s="2399"/>
      <c r="F90" s="2399"/>
      <c r="G90" s="2400"/>
      <c r="H90" s="2399"/>
      <c r="I90" s="2400"/>
      <c r="J90" s="2399"/>
      <c r="K90" s="2399"/>
      <c r="L90" s="2400"/>
      <c r="M90" s="2399"/>
      <c r="N90" s="2399"/>
      <c r="O90" s="2400"/>
      <c r="P90" s="2399"/>
      <c r="Q90" s="2399"/>
      <c r="R90" s="2401"/>
    </row>
    <row r="91" spans="2:18" s="2372" customFormat="1">
      <c r="B91" s="2399"/>
      <c r="C91" s="2399"/>
      <c r="D91" s="2399"/>
      <c r="E91" s="2399"/>
      <c r="F91" s="2399"/>
      <c r="G91" s="2400"/>
      <c r="H91" s="2399"/>
      <c r="I91" s="2400"/>
      <c r="J91" s="2399"/>
      <c r="K91" s="2399"/>
      <c r="L91" s="2400"/>
      <c r="M91" s="2399"/>
      <c r="N91" s="2399"/>
      <c r="O91" s="2400"/>
      <c r="P91" s="2399"/>
      <c r="Q91" s="2399"/>
      <c r="R91" s="2401"/>
    </row>
    <row r="92" spans="2:18" s="2372" customFormat="1">
      <c r="B92" s="2399"/>
      <c r="C92" s="2399"/>
      <c r="D92" s="2399"/>
      <c r="E92" s="2399"/>
      <c r="F92" s="2399"/>
      <c r="G92" s="2400"/>
      <c r="H92" s="2399"/>
      <c r="I92" s="2400"/>
      <c r="J92" s="2399"/>
      <c r="K92" s="2399"/>
      <c r="L92" s="2400"/>
      <c r="M92" s="2399"/>
      <c r="N92" s="2399"/>
      <c r="O92" s="2400"/>
      <c r="P92" s="2399"/>
      <c r="Q92" s="2399"/>
      <c r="R92" s="2401"/>
    </row>
    <row r="93" spans="2:18" s="2372" customFormat="1">
      <c r="B93" s="2399"/>
      <c r="C93" s="2399"/>
      <c r="D93" s="2399"/>
      <c r="E93" s="2399"/>
      <c r="F93" s="2399"/>
      <c r="G93" s="2400"/>
      <c r="H93" s="2399"/>
      <c r="I93" s="2400"/>
      <c r="J93" s="2399"/>
      <c r="K93" s="2399"/>
      <c r="L93" s="2400"/>
      <c r="M93" s="2399"/>
      <c r="N93" s="2399"/>
      <c r="O93" s="2400"/>
      <c r="P93" s="2399"/>
      <c r="Q93" s="2399"/>
      <c r="R93" s="2401"/>
    </row>
    <row r="94" spans="2:18" s="2372" customFormat="1">
      <c r="B94" s="2399"/>
      <c r="C94" s="2399"/>
      <c r="D94" s="2399"/>
      <c r="E94" s="2399"/>
      <c r="F94" s="2399"/>
      <c r="G94" s="2400"/>
      <c r="H94" s="2399"/>
      <c r="I94" s="2400"/>
      <c r="J94" s="2399"/>
      <c r="K94" s="2399"/>
      <c r="L94" s="2400"/>
      <c r="M94" s="2399"/>
      <c r="N94" s="2399"/>
      <c r="O94" s="2400"/>
      <c r="P94" s="2399"/>
      <c r="Q94" s="2399"/>
      <c r="R94" s="2401"/>
    </row>
    <row r="95" spans="2:18" s="2372" customFormat="1">
      <c r="B95" s="2399"/>
      <c r="C95" s="2399"/>
      <c r="D95" s="2399"/>
      <c r="E95" s="2399"/>
      <c r="F95" s="2399"/>
      <c r="G95" s="2400"/>
      <c r="H95" s="2399"/>
      <c r="I95" s="2400"/>
      <c r="J95" s="2399"/>
      <c r="K95" s="2399"/>
      <c r="L95" s="2400"/>
      <c r="M95" s="2399"/>
      <c r="N95" s="2399"/>
      <c r="O95" s="2400"/>
      <c r="P95" s="2399"/>
      <c r="Q95" s="2399"/>
      <c r="R95" s="2401"/>
    </row>
    <row r="96" spans="2:18" s="2372" customFormat="1">
      <c r="B96" s="2399"/>
      <c r="C96" s="2399"/>
      <c r="D96" s="2399"/>
      <c r="E96" s="2399"/>
      <c r="F96" s="2399"/>
      <c r="G96" s="2400"/>
      <c r="H96" s="2399"/>
      <c r="I96" s="2400"/>
      <c r="J96" s="2399"/>
      <c r="K96" s="2399"/>
      <c r="L96" s="2400"/>
      <c r="M96" s="2399"/>
      <c r="N96" s="2399"/>
      <c r="O96" s="2400"/>
      <c r="P96" s="2399"/>
      <c r="Q96" s="2399"/>
      <c r="R96" s="2401"/>
    </row>
    <row r="97" spans="2:18" s="2372" customFormat="1">
      <c r="B97" s="2399"/>
      <c r="C97" s="2399"/>
      <c r="D97" s="2399"/>
      <c r="E97" s="2399"/>
      <c r="F97" s="2399"/>
      <c r="G97" s="2400"/>
      <c r="H97" s="2399"/>
      <c r="I97" s="2400"/>
      <c r="J97" s="2399"/>
      <c r="K97" s="2399"/>
      <c r="L97" s="2400"/>
      <c r="M97" s="2399"/>
      <c r="N97" s="2399"/>
      <c r="O97" s="2400"/>
      <c r="P97" s="2399"/>
      <c r="Q97" s="2399"/>
      <c r="R97" s="2401"/>
    </row>
    <row r="98" spans="2:18" s="2372" customFormat="1">
      <c r="B98" s="2399"/>
      <c r="C98" s="2399"/>
      <c r="D98" s="2399"/>
      <c r="E98" s="2399"/>
      <c r="F98" s="2399"/>
      <c r="G98" s="2400"/>
      <c r="H98" s="2399"/>
      <c r="I98" s="2400"/>
      <c r="J98" s="2399"/>
      <c r="K98" s="2399"/>
      <c r="L98" s="2400"/>
      <c r="M98" s="2399"/>
      <c r="N98" s="2399"/>
      <c r="O98" s="2400"/>
      <c r="P98" s="2399"/>
      <c r="Q98" s="2399"/>
      <c r="R98" s="2401"/>
    </row>
    <row r="99" spans="2:18" s="2372" customFormat="1">
      <c r="B99" s="2399"/>
      <c r="C99" s="2399"/>
      <c r="D99" s="2399"/>
      <c r="E99" s="2399"/>
      <c r="F99" s="2399"/>
      <c r="G99" s="2400"/>
      <c r="H99" s="2399"/>
      <c r="I99" s="2400"/>
      <c r="J99" s="2399"/>
      <c r="K99" s="2399"/>
      <c r="L99" s="2400"/>
      <c r="M99" s="2399"/>
      <c r="N99" s="2399"/>
      <c r="O99" s="2400"/>
      <c r="P99" s="2399"/>
      <c r="Q99" s="2399"/>
      <c r="R99" s="2401"/>
    </row>
    <row r="100" spans="2:18" s="2372" customFormat="1">
      <c r="B100" s="2399"/>
      <c r="C100" s="2399"/>
      <c r="D100" s="2399"/>
      <c r="E100" s="2399"/>
      <c r="F100" s="2399"/>
      <c r="G100" s="2400"/>
      <c r="H100" s="2399"/>
      <c r="I100" s="2400"/>
      <c r="J100" s="2399"/>
      <c r="K100" s="2399"/>
      <c r="L100" s="2400"/>
      <c r="M100" s="2399"/>
      <c r="N100" s="2399"/>
      <c r="O100" s="2400"/>
      <c r="P100" s="2399"/>
      <c r="Q100" s="2399"/>
      <c r="R100" s="2401"/>
    </row>
    <row r="101" spans="2:18" s="2372" customFormat="1">
      <c r="B101" s="2399"/>
      <c r="C101" s="2399"/>
      <c r="D101" s="2399"/>
      <c r="E101" s="2399"/>
      <c r="F101" s="2399"/>
      <c r="G101" s="2400"/>
      <c r="H101" s="2399"/>
      <c r="I101" s="2400"/>
      <c r="J101" s="2399"/>
      <c r="K101" s="2399"/>
      <c r="L101" s="2400"/>
      <c r="M101" s="2399"/>
      <c r="N101" s="2399"/>
      <c r="O101" s="2400"/>
      <c r="P101" s="2399"/>
      <c r="Q101" s="2399"/>
      <c r="R101" s="2401"/>
    </row>
    <row r="102" spans="2:18" s="2372" customFormat="1">
      <c r="B102" s="2399"/>
      <c r="C102" s="2399"/>
      <c r="D102" s="2399"/>
      <c r="E102" s="2399"/>
      <c r="F102" s="2399"/>
      <c r="G102" s="2400"/>
      <c r="H102" s="2399"/>
      <c r="I102" s="2400"/>
      <c r="J102" s="2399"/>
      <c r="K102" s="2399"/>
      <c r="L102" s="2400"/>
      <c r="M102" s="2399"/>
      <c r="N102" s="2399"/>
      <c r="O102" s="2400"/>
      <c r="P102" s="2399"/>
      <c r="Q102" s="2399"/>
      <c r="R102" s="2401"/>
    </row>
    <row r="103" spans="2:18" s="2372" customFormat="1">
      <c r="B103" s="2399"/>
      <c r="C103" s="2399"/>
      <c r="D103" s="2399"/>
      <c r="E103" s="2399"/>
      <c r="F103" s="2399"/>
      <c r="G103" s="2400"/>
      <c r="H103" s="2399"/>
      <c r="I103" s="2400"/>
      <c r="J103" s="2399"/>
      <c r="K103" s="2399"/>
      <c r="L103" s="2400"/>
      <c r="M103" s="2399"/>
      <c r="N103" s="2399"/>
      <c r="O103" s="2400"/>
      <c r="P103" s="2399"/>
      <c r="Q103" s="2399"/>
      <c r="R103" s="2401"/>
    </row>
    <row r="104" spans="2:18" s="2372" customFormat="1">
      <c r="B104" s="2399"/>
      <c r="C104" s="2399"/>
      <c r="D104" s="2399"/>
      <c r="E104" s="2399"/>
      <c r="F104" s="2399"/>
      <c r="G104" s="2400"/>
      <c r="H104" s="2399"/>
      <c r="I104" s="2400"/>
      <c r="J104" s="2399"/>
      <c r="K104" s="2399"/>
      <c r="L104" s="2400"/>
      <c r="M104" s="2399"/>
      <c r="N104" s="2399"/>
      <c r="O104" s="2400"/>
      <c r="P104" s="2399"/>
      <c r="Q104" s="2399"/>
      <c r="R104" s="2401"/>
    </row>
    <row r="105" spans="2:18" s="2372" customFormat="1">
      <c r="B105" s="2399"/>
      <c r="C105" s="2399"/>
      <c r="D105" s="2399"/>
      <c r="E105" s="2399"/>
      <c r="F105" s="2399"/>
      <c r="G105" s="2400"/>
      <c r="H105" s="2399"/>
      <c r="I105" s="2400"/>
      <c r="J105" s="2399"/>
      <c r="K105" s="2399"/>
      <c r="L105" s="2400"/>
      <c r="M105" s="2399"/>
      <c r="N105" s="2399"/>
      <c r="O105" s="2400"/>
      <c r="P105" s="2399"/>
      <c r="Q105" s="2399"/>
      <c r="R105" s="2401"/>
    </row>
    <row r="106" spans="2:18" s="2372" customFormat="1">
      <c r="B106" s="2399"/>
      <c r="C106" s="2399"/>
      <c r="D106" s="2399"/>
      <c r="E106" s="2399"/>
      <c r="F106" s="2399"/>
      <c r="G106" s="2400"/>
      <c r="H106" s="2399"/>
      <c r="I106" s="2400"/>
      <c r="J106" s="2399"/>
      <c r="K106" s="2399"/>
      <c r="L106" s="2400"/>
      <c r="M106" s="2399"/>
      <c r="N106" s="2399"/>
      <c r="O106" s="2400"/>
      <c r="P106" s="2399"/>
      <c r="Q106" s="2399"/>
      <c r="R106" s="2401"/>
    </row>
    <row r="107" spans="2:18" s="2372" customFormat="1">
      <c r="B107" s="2399"/>
      <c r="C107" s="2399"/>
      <c r="D107" s="2399"/>
      <c r="E107" s="2399"/>
      <c r="F107" s="2399"/>
      <c r="G107" s="2400"/>
      <c r="H107" s="2399"/>
      <c r="I107" s="2400"/>
      <c r="J107" s="2399"/>
      <c r="K107" s="2399"/>
      <c r="L107" s="2400"/>
      <c r="M107" s="2399"/>
      <c r="N107" s="2399"/>
      <c r="O107" s="2400"/>
      <c r="P107" s="2399"/>
      <c r="Q107" s="2399"/>
      <c r="R107" s="2401"/>
    </row>
    <row r="108" spans="2:18" s="2372" customFormat="1">
      <c r="B108" s="2399"/>
      <c r="C108" s="2399"/>
      <c r="D108" s="2399"/>
      <c r="E108" s="2399"/>
      <c r="F108" s="2399"/>
      <c r="G108" s="2400"/>
      <c r="H108" s="2399"/>
      <c r="I108" s="2400"/>
      <c r="J108" s="2399"/>
      <c r="K108" s="2399"/>
      <c r="L108" s="2400"/>
      <c r="M108" s="2399"/>
      <c r="N108" s="2399"/>
      <c r="O108" s="2400"/>
      <c r="P108" s="2399"/>
      <c r="Q108" s="2399"/>
      <c r="R108" s="2401"/>
    </row>
    <row r="109" spans="2:18" s="2372" customFormat="1">
      <c r="B109" s="2399"/>
      <c r="C109" s="2399"/>
      <c r="D109" s="2399"/>
      <c r="E109" s="2399"/>
      <c r="F109" s="2399"/>
      <c r="G109" s="2400"/>
      <c r="H109" s="2399"/>
      <c r="I109" s="2400"/>
      <c r="J109" s="2399"/>
      <c r="K109" s="2399"/>
      <c r="L109" s="2400"/>
      <c r="M109" s="2399"/>
      <c r="N109" s="2399"/>
      <c r="O109" s="2400"/>
      <c r="P109" s="2399"/>
      <c r="Q109" s="2399"/>
      <c r="R109" s="2401"/>
    </row>
    <row r="110" spans="2:18" s="2372" customFormat="1">
      <c r="B110" s="2399"/>
      <c r="C110" s="2399"/>
      <c r="D110" s="2399"/>
      <c r="E110" s="2399"/>
      <c r="F110" s="2399"/>
      <c r="G110" s="2400"/>
      <c r="H110" s="2399"/>
      <c r="I110" s="2400"/>
      <c r="J110" s="2399"/>
      <c r="K110" s="2399"/>
      <c r="L110" s="2400"/>
      <c r="M110" s="2399"/>
      <c r="N110" s="2399"/>
      <c r="O110" s="2400"/>
      <c r="P110" s="2399"/>
      <c r="Q110" s="2399"/>
      <c r="R110" s="2401"/>
    </row>
    <row r="111" spans="2:18" s="2372" customFormat="1">
      <c r="B111" s="2399"/>
      <c r="C111" s="2399"/>
      <c r="D111" s="2399"/>
      <c r="E111" s="2399"/>
      <c r="F111" s="2399"/>
      <c r="G111" s="2400"/>
      <c r="H111" s="2399"/>
      <c r="I111" s="2400"/>
      <c r="J111" s="2399"/>
      <c r="K111" s="2399"/>
      <c r="L111" s="2400"/>
      <c r="M111" s="2399"/>
      <c r="N111" s="2399"/>
      <c r="O111" s="2400"/>
      <c r="P111" s="2399"/>
      <c r="Q111" s="2399"/>
      <c r="R111" s="2401"/>
    </row>
    <row r="112" spans="2:18" s="2372" customFormat="1">
      <c r="B112" s="2399"/>
      <c r="C112" s="2399"/>
      <c r="D112" s="2399"/>
      <c r="E112" s="2399"/>
      <c r="F112" s="2399"/>
      <c r="G112" s="2400"/>
      <c r="H112" s="2399"/>
      <c r="I112" s="2400"/>
      <c r="J112" s="2399"/>
      <c r="K112" s="2399"/>
      <c r="L112" s="2400"/>
      <c r="M112" s="2399"/>
      <c r="N112" s="2399"/>
      <c r="O112" s="2400"/>
      <c r="P112" s="2399"/>
      <c r="Q112" s="2399"/>
      <c r="R112" s="2401"/>
    </row>
    <row r="113" spans="2:18" s="2372" customFormat="1">
      <c r="B113" s="2399"/>
      <c r="C113" s="2399"/>
      <c r="D113" s="2399"/>
      <c r="E113" s="2399"/>
      <c r="F113" s="2399"/>
      <c r="G113" s="2400"/>
      <c r="H113" s="2399"/>
      <c r="I113" s="2400"/>
      <c r="J113" s="2399"/>
      <c r="K113" s="2399"/>
      <c r="L113" s="2400"/>
      <c r="M113" s="2399"/>
      <c r="N113" s="2399"/>
      <c r="O113" s="2400"/>
      <c r="P113" s="2399"/>
      <c r="Q113" s="2399"/>
      <c r="R113" s="2401"/>
    </row>
    <row r="114" spans="2:18" s="2372" customFormat="1">
      <c r="B114" s="2399"/>
      <c r="C114" s="2399"/>
      <c r="D114" s="2399"/>
      <c r="E114" s="2399"/>
      <c r="F114" s="2399"/>
      <c r="G114" s="2400"/>
      <c r="H114" s="2399"/>
      <c r="I114" s="2400"/>
      <c r="J114" s="2399"/>
      <c r="K114" s="2399"/>
      <c r="L114" s="2400"/>
      <c r="M114" s="2399"/>
      <c r="N114" s="2399"/>
      <c r="O114" s="2400"/>
      <c r="P114" s="2399"/>
      <c r="Q114" s="2399"/>
      <c r="R114" s="2401"/>
    </row>
    <row r="115" spans="2:18" s="2372" customFormat="1">
      <c r="B115" s="2399"/>
      <c r="C115" s="2399"/>
      <c r="D115" s="2399"/>
      <c r="E115" s="2399"/>
      <c r="F115" s="2399"/>
      <c r="G115" s="2400"/>
      <c r="H115" s="2399"/>
      <c r="I115" s="2400"/>
      <c r="J115" s="2399"/>
      <c r="K115" s="2399"/>
      <c r="L115" s="2400"/>
      <c r="M115" s="2399"/>
      <c r="N115" s="2399"/>
      <c r="O115" s="2400"/>
      <c r="P115" s="2399"/>
      <c r="Q115" s="2399"/>
      <c r="R115" s="2401"/>
    </row>
    <row r="116" spans="2:18" s="2372" customFormat="1">
      <c r="B116" s="2399"/>
      <c r="C116" s="2399"/>
      <c r="D116" s="2399"/>
      <c r="E116" s="2399"/>
      <c r="F116" s="2399"/>
      <c r="G116" s="2400"/>
      <c r="H116" s="2399"/>
      <c r="I116" s="2400"/>
      <c r="J116" s="2399"/>
      <c r="K116" s="2399"/>
      <c r="L116" s="2400"/>
      <c r="M116" s="2399"/>
      <c r="N116" s="2399"/>
      <c r="O116" s="2400"/>
      <c r="P116" s="2399"/>
      <c r="Q116" s="2399"/>
      <c r="R116" s="2401"/>
    </row>
    <row r="117" spans="2:18" s="2372" customFormat="1">
      <c r="B117" s="2399"/>
      <c r="C117" s="2399"/>
      <c r="D117" s="2399"/>
      <c r="E117" s="2399"/>
      <c r="F117" s="2399"/>
      <c r="G117" s="2400"/>
      <c r="H117" s="2399"/>
      <c r="I117" s="2400"/>
      <c r="J117" s="2399"/>
      <c r="K117" s="2399"/>
      <c r="L117" s="2400"/>
      <c r="M117" s="2399"/>
      <c r="N117" s="2399"/>
      <c r="O117" s="2400"/>
      <c r="P117" s="2399"/>
      <c r="Q117" s="2399"/>
      <c r="R117" s="2401"/>
    </row>
    <row r="118" spans="2:18" s="2372" customFormat="1">
      <c r="B118" s="2399"/>
      <c r="C118" s="2399"/>
      <c r="D118" s="2399"/>
      <c r="E118" s="2399"/>
      <c r="F118" s="2399"/>
      <c r="G118" s="2400"/>
      <c r="H118" s="2399"/>
      <c r="I118" s="2400"/>
      <c r="J118" s="2399"/>
      <c r="K118" s="2399"/>
      <c r="L118" s="2400"/>
      <c r="M118" s="2399"/>
      <c r="N118" s="2399"/>
      <c r="O118" s="2400"/>
      <c r="P118" s="2399"/>
      <c r="Q118" s="2399"/>
      <c r="R118" s="2401"/>
    </row>
    <row r="119" spans="2:18" s="2372" customFormat="1">
      <c r="B119" s="2399"/>
      <c r="C119" s="2399"/>
      <c r="D119" s="2399"/>
      <c r="E119" s="2399"/>
      <c r="F119" s="2399"/>
      <c r="G119" s="2400"/>
      <c r="H119" s="2399"/>
      <c r="I119" s="2400"/>
      <c r="J119" s="2399"/>
      <c r="K119" s="2399"/>
      <c r="L119" s="2400"/>
      <c r="M119" s="2399"/>
      <c r="N119" s="2399"/>
      <c r="O119" s="2400"/>
      <c r="P119" s="2399"/>
      <c r="Q119" s="2399"/>
      <c r="R119" s="2401"/>
    </row>
    <row r="120" spans="2:18" s="2372" customFormat="1">
      <c r="B120" s="2399"/>
      <c r="C120" s="2399"/>
      <c r="D120" s="2399"/>
      <c r="E120" s="2399"/>
      <c r="F120" s="2399"/>
      <c r="G120" s="2400"/>
      <c r="H120" s="2399"/>
      <c r="I120" s="2400"/>
      <c r="J120" s="2399"/>
      <c r="K120" s="2399"/>
      <c r="L120" s="2400"/>
      <c r="M120" s="2399"/>
      <c r="N120" s="2399"/>
      <c r="O120" s="2400"/>
      <c r="P120" s="2399"/>
      <c r="Q120" s="2399"/>
      <c r="R120" s="2401"/>
    </row>
    <row r="121" spans="2:18" s="2372" customFormat="1">
      <c r="B121" s="2399"/>
      <c r="C121" s="2399"/>
      <c r="D121" s="2399"/>
      <c r="E121" s="2399"/>
      <c r="F121" s="2399"/>
      <c r="G121" s="2400"/>
      <c r="H121" s="2399"/>
      <c r="I121" s="2400"/>
      <c r="J121" s="2399"/>
      <c r="K121" s="2399"/>
      <c r="L121" s="2400"/>
      <c r="M121" s="2399"/>
      <c r="N121" s="2399"/>
      <c r="O121" s="2400"/>
      <c r="P121" s="2399"/>
      <c r="Q121" s="2399"/>
      <c r="R121" s="2401"/>
    </row>
    <row r="122" spans="2:18" s="2372" customFormat="1">
      <c r="B122" s="2399"/>
      <c r="C122" s="2399"/>
      <c r="D122" s="2399"/>
      <c r="E122" s="2399"/>
      <c r="F122" s="2399"/>
      <c r="G122" s="2400"/>
      <c r="H122" s="2399"/>
      <c r="I122" s="2400"/>
      <c r="J122" s="2399"/>
      <c r="K122" s="2399"/>
      <c r="L122" s="2400"/>
      <c r="M122" s="2399"/>
      <c r="N122" s="2399"/>
      <c r="O122" s="2400"/>
      <c r="P122" s="2399"/>
      <c r="Q122" s="2399"/>
      <c r="R122" s="2401"/>
    </row>
    <row r="123" spans="2:18" s="2372" customFormat="1">
      <c r="B123" s="2399"/>
      <c r="C123" s="2399"/>
      <c r="D123" s="2399"/>
      <c r="E123" s="2399"/>
      <c r="F123" s="2399"/>
      <c r="G123" s="2400"/>
      <c r="H123" s="2399"/>
      <c r="I123" s="2400"/>
      <c r="J123" s="2399"/>
      <c r="K123" s="2399"/>
      <c r="L123" s="2400"/>
      <c r="M123" s="2399"/>
      <c r="N123" s="2399"/>
      <c r="O123" s="2400"/>
      <c r="P123" s="2399"/>
      <c r="Q123" s="2399"/>
      <c r="R123" s="2401"/>
    </row>
    <row r="124" spans="2:18" s="2372" customFormat="1">
      <c r="B124" s="2399"/>
      <c r="C124" s="2399"/>
      <c r="D124" s="2399"/>
      <c r="E124" s="2399"/>
      <c r="F124" s="2399"/>
      <c r="G124" s="2400"/>
      <c r="H124" s="2399"/>
      <c r="I124" s="2400"/>
      <c r="J124" s="2399"/>
      <c r="K124" s="2399"/>
      <c r="L124" s="2400"/>
      <c r="M124" s="2399"/>
      <c r="N124" s="2399"/>
      <c r="O124" s="2400"/>
      <c r="P124" s="2399"/>
      <c r="Q124" s="2399"/>
      <c r="R124" s="2401"/>
    </row>
    <row r="125" spans="2:18" s="2372" customFormat="1">
      <c r="B125" s="2399"/>
      <c r="C125" s="2399"/>
      <c r="D125" s="2399"/>
      <c r="E125" s="2399"/>
      <c r="F125" s="2399"/>
      <c r="G125" s="2400"/>
      <c r="H125" s="2399"/>
      <c r="I125" s="2400"/>
      <c r="J125" s="2399"/>
      <c r="K125" s="2399"/>
      <c r="L125" s="2400"/>
      <c r="M125" s="2399"/>
      <c r="N125" s="2399"/>
      <c r="O125" s="2400"/>
      <c r="P125" s="2399"/>
      <c r="Q125" s="2399"/>
      <c r="R125" s="2401"/>
    </row>
    <row r="126" spans="2:18" s="2372" customFormat="1">
      <c r="B126" s="2399"/>
      <c r="C126" s="2399"/>
      <c r="D126" s="2399"/>
      <c r="E126" s="2399"/>
      <c r="F126" s="2399"/>
      <c r="G126" s="2400"/>
      <c r="H126" s="2399"/>
      <c r="I126" s="2400"/>
      <c r="J126" s="2399"/>
      <c r="K126" s="2399"/>
      <c r="L126" s="2400"/>
      <c r="M126" s="2399"/>
      <c r="N126" s="2399"/>
      <c r="O126" s="2400"/>
      <c r="P126" s="2399"/>
      <c r="Q126" s="2399"/>
      <c r="R126" s="2401"/>
    </row>
    <row r="127" spans="2:18" s="2372" customFormat="1">
      <c r="B127" s="2399"/>
      <c r="C127" s="2399"/>
      <c r="D127" s="2399"/>
      <c r="E127" s="2399"/>
      <c r="F127" s="2399"/>
      <c r="G127" s="2400"/>
      <c r="H127" s="2399"/>
      <c r="I127" s="2400"/>
      <c r="J127" s="2399"/>
      <c r="K127" s="2399"/>
      <c r="L127" s="2400"/>
      <c r="M127" s="2399"/>
      <c r="N127" s="2399"/>
      <c r="O127" s="2400"/>
      <c r="P127" s="2399"/>
      <c r="Q127" s="2399"/>
      <c r="R127" s="2401"/>
    </row>
    <row r="128" spans="2:18" s="2372" customFormat="1">
      <c r="B128" s="2399"/>
      <c r="C128" s="2399"/>
      <c r="D128" s="2399"/>
      <c r="E128" s="2399"/>
      <c r="F128" s="2399"/>
      <c r="G128" s="2400"/>
      <c r="H128" s="2399"/>
      <c r="I128" s="2400"/>
      <c r="J128" s="2399"/>
      <c r="K128" s="2399"/>
      <c r="L128" s="2400"/>
      <c r="M128" s="2399"/>
      <c r="N128" s="2399"/>
      <c r="O128" s="2400"/>
      <c r="P128" s="2399"/>
      <c r="Q128" s="2399"/>
      <c r="R128" s="2401"/>
    </row>
    <row r="129" spans="2:18" s="2372" customFormat="1">
      <c r="B129" s="2399"/>
      <c r="C129" s="2399"/>
      <c r="D129" s="2399"/>
      <c r="E129" s="2399"/>
      <c r="F129" s="2399"/>
      <c r="G129" s="2400"/>
      <c r="H129" s="2399"/>
      <c r="I129" s="2400"/>
      <c r="J129" s="2399"/>
      <c r="K129" s="2399"/>
      <c r="L129" s="2400"/>
      <c r="M129" s="2399"/>
      <c r="N129" s="2399"/>
      <c r="O129" s="2400"/>
      <c r="P129" s="2399"/>
      <c r="Q129" s="2399"/>
      <c r="R129" s="2401"/>
    </row>
    <row r="130" spans="2:18" s="2372" customFormat="1">
      <c r="B130" s="2399"/>
      <c r="C130" s="2399"/>
      <c r="D130" s="2399"/>
      <c r="E130" s="2399"/>
      <c r="F130" s="2399"/>
      <c r="G130" s="2400"/>
      <c r="H130" s="2399"/>
      <c r="I130" s="2400"/>
      <c r="J130" s="2399"/>
      <c r="K130" s="2399"/>
      <c r="L130" s="2400"/>
      <c r="M130" s="2399"/>
      <c r="N130" s="2399"/>
      <c r="O130" s="2400"/>
      <c r="P130" s="2399"/>
      <c r="Q130" s="2399"/>
      <c r="R130" s="2401"/>
    </row>
    <row r="131" spans="2:18" s="2372" customFormat="1">
      <c r="B131" s="2399"/>
      <c r="C131" s="2399"/>
      <c r="D131" s="2399"/>
      <c r="E131" s="2399"/>
      <c r="F131" s="2399"/>
      <c r="G131" s="2400"/>
      <c r="H131" s="2399"/>
      <c r="I131" s="2400"/>
      <c r="J131" s="2399"/>
      <c r="K131" s="2399"/>
      <c r="L131" s="2400"/>
      <c r="M131" s="2399"/>
      <c r="N131" s="2399"/>
      <c r="O131" s="2400"/>
      <c r="P131" s="2399"/>
      <c r="Q131" s="2399"/>
      <c r="R131" s="2401"/>
    </row>
    <row r="132" spans="2:18" s="2372" customFormat="1">
      <c r="B132" s="2399"/>
      <c r="C132" s="2399"/>
      <c r="D132" s="2399"/>
      <c r="E132" s="2399"/>
      <c r="F132" s="2399"/>
      <c r="G132" s="2400"/>
      <c r="H132" s="2399"/>
      <c r="I132" s="2400"/>
      <c r="J132" s="2399"/>
      <c r="K132" s="2399"/>
      <c r="L132" s="2400"/>
      <c r="M132" s="2399"/>
      <c r="N132" s="2399"/>
      <c r="O132" s="2400"/>
      <c r="P132" s="2399"/>
      <c r="Q132" s="2399"/>
      <c r="R132" s="2401"/>
    </row>
    <row r="133" spans="2:18" s="2372" customFormat="1">
      <c r="B133" s="2399"/>
      <c r="C133" s="2399"/>
      <c r="D133" s="2399"/>
      <c r="E133" s="2399"/>
      <c r="F133" s="2399"/>
      <c r="G133" s="2400"/>
      <c r="H133" s="2399"/>
      <c r="I133" s="2400"/>
      <c r="J133" s="2399"/>
      <c r="K133" s="2399"/>
      <c r="L133" s="2400"/>
      <c r="M133" s="2399"/>
      <c r="N133" s="2399"/>
      <c r="O133" s="2400"/>
      <c r="P133" s="2399"/>
      <c r="Q133" s="2399"/>
      <c r="R133" s="2401"/>
    </row>
    <row r="134" spans="2:18" s="2372" customFormat="1">
      <c r="B134" s="2399"/>
      <c r="C134" s="2399"/>
      <c r="D134" s="2399"/>
      <c r="E134" s="2399"/>
      <c r="F134" s="2399"/>
      <c r="G134" s="2400"/>
      <c r="H134" s="2399"/>
      <c r="I134" s="2400"/>
      <c r="J134" s="2399"/>
      <c r="K134" s="2399"/>
      <c r="L134" s="2400"/>
      <c r="M134" s="2399"/>
      <c r="N134" s="2399"/>
      <c r="O134" s="2400"/>
      <c r="P134" s="2399"/>
      <c r="Q134" s="2399"/>
      <c r="R134" s="2401"/>
    </row>
    <row r="135" spans="2:18" s="2372" customFormat="1">
      <c r="B135" s="2399"/>
      <c r="C135" s="2399"/>
      <c r="D135" s="2399"/>
      <c r="E135" s="2399"/>
      <c r="F135" s="2399"/>
      <c r="G135" s="2400"/>
      <c r="H135" s="2399"/>
      <c r="I135" s="2400"/>
      <c r="J135" s="2399"/>
      <c r="K135" s="2399"/>
      <c r="L135" s="2400"/>
      <c r="M135" s="2399"/>
      <c r="N135" s="2399"/>
      <c r="O135" s="2400"/>
      <c r="P135" s="2399"/>
      <c r="Q135" s="2399"/>
      <c r="R135" s="2401"/>
    </row>
    <row r="136" spans="2:18" s="2372" customFormat="1">
      <c r="B136" s="2399"/>
      <c r="C136" s="2399"/>
      <c r="D136" s="2399"/>
      <c r="E136" s="2399"/>
      <c r="F136" s="2399"/>
      <c r="G136" s="2400"/>
      <c r="H136" s="2399"/>
      <c r="I136" s="2400"/>
      <c r="J136" s="2399"/>
      <c r="K136" s="2399"/>
      <c r="L136" s="2400"/>
      <c r="M136" s="2399"/>
      <c r="N136" s="2399"/>
      <c r="O136" s="2400"/>
      <c r="P136" s="2399"/>
      <c r="Q136" s="2399"/>
      <c r="R136" s="2401"/>
    </row>
    <row r="137" spans="2:18" s="2372" customFormat="1">
      <c r="B137" s="2399"/>
      <c r="C137" s="2399"/>
      <c r="D137" s="2399"/>
      <c r="E137" s="2399"/>
      <c r="F137" s="2399"/>
      <c r="G137" s="2400"/>
      <c r="H137" s="2399"/>
      <c r="I137" s="2400"/>
      <c r="J137" s="2399"/>
      <c r="K137" s="2399"/>
      <c r="L137" s="2400"/>
      <c r="M137" s="2399"/>
      <c r="N137" s="2399"/>
      <c r="O137" s="2400"/>
      <c r="P137" s="2399"/>
      <c r="Q137" s="2399"/>
      <c r="R137" s="2401"/>
    </row>
    <row r="138" spans="2:18" s="2372" customFormat="1">
      <c r="B138" s="2399"/>
      <c r="C138" s="2399"/>
      <c r="D138" s="2399"/>
      <c r="E138" s="2399"/>
      <c r="F138" s="2399"/>
      <c r="G138" s="2400"/>
      <c r="H138" s="2399"/>
      <c r="I138" s="2400"/>
      <c r="J138" s="2399"/>
      <c r="K138" s="2399"/>
      <c r="L138" s="2400"/>
      <c r="M138" s="2399"/>
      <c r="N138" s="2399"/>
      <c r="O138" s="2400"/>
      <c r="P138" s="2399"/>
      <c r="Q138" s="2399"/>
      <c r="R138" s="2401"/>
    </row>
    <row r="139" spans="2:18" s="2372" customFormat="1">
      <c r="B139" s="2399"/>
      <c r="C139" s="2399"/>
      <c r="D139" s="2399"/>
      <c r="E139" s="2399"/>
      <c r="F139" s="2399"/>
      <c r="G139" s="2400"/>
      <c r="H139" s="2399"/>
      <c r="I139" s="2400"/>
      <c r="J139" s="2399"/>
      <c r="K139" s="2399"/>
      <c r="L139" s="2400"/>
      <c r="M139" s="2399"/>
      <c r="N139" s="2399"/>
      <c r="O139" s="2400"/>
      <c r="P139" s="2399"/>
      <c r="Q139" s="2399"/>
      <c r="R139" s="2401"/>
    </row>
    <row r="140" spans="2:18" s="2372" customFormat="1">
      <c r="B140" s="2399"/>
      <c r="C140" s="2399"/>
      <c r="D140" s="2399"/>
      <c r="E140" s="2399"/>
      <c r="F140" s="2399"/>
      <c r="G140" s="2400"/>
      <c r="H140" s="2399"/>
      <c r="I140" s="2400"/>
      <c r="J140" s="2399"/>
      <c r="K140" s="2399"/>
      <c r="L140" s="2400"/>
      <c r="M140" s="2399"/>
      <c r="N140" s="2399"/>
      <c r="O140" s="2400"/>
      <c r="P140" s="2399"/>
      <c r="Q140" s="2399"/>
      <c r="R140" s="2401"/>
    </row>
    <row r="141" spans="2:18" s="2372" customFormat="1">
      <c r="B141" s="2399"/>
      <c r="C141" s="2399"/>
      <c r="D141" s="2399"/>
      <c r="E141" s="2399"/>
      <c r="F141" s="2399"/>
      <c r="G141" s="2400"/>
      <c r="H141" s="2399"/>
      <c r="I141" s="2400"/>
      <c r="J141" s="2399"/>
      <c r="K141" s="2399"/>
      <c r="L141" s="2400"/>
      <c r="M141" s="2399"/>
      <c r="N141" s="2399"/>
      <c r="O141" s="2400"/>
      <c r="P141" s="2399"/>
      <c r="Q141" s="2399"/>
      <c r="R141" s="2401"/>
    </row>
    <row r="142" spans="2:18" s="2372" customFormat="1">
      <c r="B142" s="2399"/>
      <c r="C142" s="2399"/>
      <c r="D142" s="2399"/>
      <c r="E142" s="2399"/>
      <c r="F142" s="2399"/>
      <c r="G142" s="2400"/>
      <c r="H142" s="2399"/>
      <c r="I142" s="2400"/>
      <c r="J142" s="2399"/>
      <c r="K142" s="2399"/>
      <c r="L142" s="2400"/>
      <c r="M142" s="2399"/>
      <c r="N142" s="2399"/>
      <c r="O142" s="2400"/>
      <c r="P142" s="2399"/>
      <c r="Q142" s="2399"/>
      <c r="R142" s="2401"/>
    </row>
    <row r="143" spans="2:18" s="2372" customFormat="1">
      <c r="B143" s="2399"/>
      <c r="C143" s="2399"/>
      <c r="D143" s="2399"/>
      <c r="E143" s="2399"/>
      <c r="F143" s="2399"/>
      <c r="G143" s="2400"/>
      <c r="H143" s="2399"/>
      <c r="I143" s="2400"/>
      <c r="J143" s="2399"/>
      <c r="K143" s="2399"/>
      <c r="L143" s="2400"/>
      <c r="M143" s="2399"/>
      <c r="N143" s="2399"/>
      <c r="O143" s="2400"/>
      <c r="P143" s="2399"/>
      <c r="Q143" s="2399"/>
      <c r="R143" s="2401"/>
    </row>
    <row r="144" spans="2:18" s="2372" customFormat="1">
      <c r="B144" s="2399"/>
      <c r="C144" s="2399"/>
      <c r="D144" s="2399"/>
      <c r="E144" s="2399"/>
      <c r="F144" s="2399"/>
      <c r="G144" s="2400"/>
      <c r="H144" s="2399"/>
      <c r="I144" s="2400"/>
      <c r="J144" s="2399"/>
      <c r="K144" s="2399"/>
      <c r="L144" s="2400"/>
      <c r="M144" s="2399"/>
      <c r="N144" s="2399"/>
      <c r="O144" s="2400"/>
      <c r="P144" s="2399"/>
      <c r="Q144" s="2399"/>
      <c r="R144" s="2401"/>
    </row>
    <row r="145" spans="2:18" s="2372" customFormat="1">
      <c r="B145" s="2399"/>
      <c r="C145" s="2399"/>
      <c r="D145" s="2399"/>
      <c r="E145" s="2399"/>
      <c r="F145" s="2399"/>
      <c r="G145" s="2400"/>
      <c r="H145" s="2399"/>
      <c r="I145" s="2400"/>
      <c r="J145" s="2399"/>
      <c r="K145" s="2399"/>
      <c r="L145" s="2400"/>
      <c r="M145" s="2399"/>
      <c r="N145" s="2399"/>
      <c r="O145" s="2400"/>
      <c r="P145" s="2399"/>
      <c r="Q145" s="2399"/>
      <c r="R145" s="2401"/>
    </row>
    <row r="146" spans="2:18" s="2372" customFormat="1">
      <c r="B146" s="2399"/>
      <c r="C146" s="2399"/>
      <c r="D146" s="2399"/>
      <c r="E146" s="2399"/>
      <c r="F146" s="2399"/>
      <c r="G146" s="2400"/>
      <c r="H146" s="2399"/>
      <c r="I146" s="2400"/>
      <c r="J146" s="2399"/>
      <c r="K146" s="2399"/>
      <c r="L146" s="2400"/>
      <c r="M146" s="2399"/>
      <c r="N146" s="2399"/>
      <c r="O146" s="2400"/>
      <c r="P146" s="2399"/>
      <c r="Q146" s="2399"/>
      <c r="R146" s="2401"/>
    </row>
    <row r="147" spans="2:18" s="2372" customFormat="1">
      <c r="B147" s="2399"/>
      <c r="C147" s="2399"/>
      <c r="D147" s="2399"/>
      <c r="E147" s="2399"/>
      <c r="F147" s="2399"/>
      <c r="G147" s="2400"/>
      <c r="H147" s="2399"/>
      <c r="I147" s="2400"/>
      <c r="J147" s="2399"/>
      <c r="K147" s="2399"/>
      <c r="L147" s="2400"/>
      <c r="M147" s="2399"/>
      <c r="N147" s="2399"/>
      <c r="O147" s="2400"/>
      <c r="P147" s="2399"/>
      <c r="Q147" s="2399"/>
      <c r="R147" s="2401"/>
    </row>
    <row r="148" spans="2:18" s="2372" customFormat="1">
      <c r="B148" s="2399"/>
      <c r="C148" s="2399"/>
      <c r="D148" s="2399"/>
      <c r="E148" s="2399"/>
      <c r="F148" s="2399"/>
      <c r="G148" s="2400"/>
      <c r="H148" s="2399"/>
      <c r="I148" s="2400"/>
      <c r="J148" s="2399"/>
      <c r="K148" s="2399"/>
      <c r="L148" s="2400"/>
      <c r="M148" s="2399"/>
      <c r="N148" s="2399"/>
      <c r="O148" s="2400"/>
      <c r="P148" s="2399"/>
      <c r="Q148" s="2399"/>
      <c r="R148" s="2401"/>
    </row>
    <row r="149" spans="2:18" s="2372" customFormat="1">
      <c r="B149" s="2399"/>
      <c r="C149" s="2399"/>
      <c r="D149" s="2399"/>
      <c r="E149" s="2399"/>
      <c r="F149" s="2399"/>
      <c r="G149" s="2400"/>
      <c r="H149" s="2399"/>
      <c r="I149" s="2400"/>
      <c r="J149" s="2399"/>
      <c r="K149" s="2399"/>
      <c r="L149" s="2400"/>
      <c r="M149" s="2399"/>
      <c r="N149" s="2399"/>
      <c r="O149" s="2400"/>
      <c r="P149" s="2399"/>
      <c r="Q149" s="2399"/>
      <c r="R149" s="2401"/>
    </row>
    <row r="150" spans="2:18" s="2372" customFormat="1">
      <c r="B150" s="2399"/>
      <c r="C150" s="2399"/>
      <c r="D150" s="2399"/>
      <c r="E150" s="2399"/>
      <c r="F150" s="2399"/>
      <c r="G150" s="2400"/>
      <c r="H150" s="2399"/>
      <c r="I150" s="2400"/>
      <c r="J150" s="2399"/>
      <c r="K150" s="2399"/>
      <c r="L150" s="2400"/>
      <c r="M150" s="2399"/>
      <c r="N150" s="2399"/>
      <c r="O150" s="2400"/>
      <c r="P150" s="2399"/>
      <c r="Q150" s="2399"/>
      <c r="R150" s="2401"/>
    </row>
    <row r="151" spans="2:18" s="2372" customFormat="1">
      <c r="B151" s="2399"/>
      <c r="C151" s="2399"/>
      <c r="D151" s="2399"/>
      <c r="E151" s="2399"/>
      <c r="F151" s="2399"/>
      <c r="G151" s="2400"/>
      <c r="H151" s="2399"/>
      <c r="I151" s="2400"/>
      <c r="J151" s="2399"/>
      <c r="K151" s="2399"/>
      <c r="L151" s="2400"/>
      <c r="M151" s="2399"/>
      <c r="N151" s="2399"/>
      <c r="O151" s="2400"/>
      <c r="P151" s="2399"/>
      <c r="Q151" s="2399"/>
      <c r="R151" s="2401"/>
    </row>
    <row r="152" spans="2:18" s="2372" customFormat="1">
      <c r="B152" s="2399"/>
      <c r="C152" s="2399"/>
      <c r="D152" s="2399"/>
      <c r="E152" s="2399"/>
      <c r="F152" s="2399"/>
      <c r="G152" s="2400"/>
      <c r="H152" s="2399"/>
      <c r="I152" s="2400"/>
      <c r="J152" s="2399"/>
      <c r="K152" s="2399"/>
      <c r="L152" s="2400"/>
      <c r="M152" s="2399"/>
      <c r="N152" s="2399"/>
      <c r="O152" s="2400"/>
      <c r="P152" s="2399"/>
      <c r="Q152" s="2399"/>
      <c r="R152" s="2401"/>
    </row>
    <row r="153" spans="2:18" s="2372" customFormat="1">
      <c r="B153" s="2399"/>
      <c r="C153" s="2399"/>
      <c r="D153" s="2399"/>
      <c r="E153" s="2399"/>
      <c r="F153" s="2399"/>
      <c r="G153" s="2400"/>
      <c r="H153" s="2399"/>
      <c r="I153" s="2400"/>
      <c r="J153" s="2399"/>
      <c r="K153" s="2399"/>
      <c r="L153" s="2400"/>
      <c r="M153" s="2399"/>
      <c r="N153" s="2399"/>
      <c r="O153" s="2400"/>
      <c r="P153" s="2399"/>
      <c r="Q153" s="2399"/>
      <c r="R153" s="2401"/>
    </row>
    <row r="154" spans="2:18" s="2372" customFormat="1">
      <c r="B154" s="2399"/>
      <c r="C154" s="2399"/>
      <c r="D154" s="2399"/>
      <c r="E154" s="2399"/>
      <c r="F154" s="2399"/>
      <c r="G154" s="2400"/>
      <c r="H154" s="2399"/>
      <c r="I154" s="2400"/>
      <c r="J154" s="2399"/>
      <c r="K154" s="2399"/>
      <c r="L154" s="2400"/>
      <c r="M154" s="2399"/>
      <c r="N154" s="2399"/>
      <c r="O154" s="2400"/>
      <c r="P154" s="2399"/>
      <c r="Q154" s="2399"/>
      <c r="R154" s="2401"/>
    </row>
    <row r="155" spans="2:18" s="2372" customFormat="1">
      <c r="B155" s="2399"/>
      <c r="C155" s="2399"/>
      <c r="D155" s="2399"/>
      <c r="E155" s="2399"/>
      <c r="F155" s="2399"/>
      <c r="G155" s="2400"/>
      <c r="H155" s="2399"/>
      <c r="I155" s="2400"/>
      <c r="J155" s="2399"/>
      <c r="K155" s="2399"/>
      <c r="L155" s="2400"/>
      <c r="M155" s="2399"/>
      <c r="N155" s="2399"/>
      <c r="O155" s="2400"/>
      <c r="P155" s="2399"/>
      <c r="Q155" s="2399"/>
      <c r="R155" s="2401"/>
    </row>
    <row r="156" spans="2:18" s="2372" customFormat="1">
      <c r="B156" s="2399"/>
      <c r="C156" s="2399"/>
      <c r="D156" s="2399"/>
      <c r="E156" s="2399"/>
      <c r="F156" s="2399"/>
      <c r="G156" s="2400"/>
      <c r="H156" s="2399"/>
      <c r="I156" s="2400"/>
      <c r="J156" s="2399"/>
      <c r="K156" s="2399"/>
      <c r="L156" s="2400"/>
      <c r="M156" s="2399"/>
      <c r="N156" s="2399"/>
      <c r="O156" s="2400"/>
      <c r="P156" s="2399"/>
      <c r="Q156" s="2399"/>
      <c r="R156" s="2401"/>
    </row>
    <row r="157" spans="2:18" s="2372" customFormat="1">
      <c r="B157" s="2399"/>
      <c r="C157" s="2399"/>
      <c r="D157" s="2399"/>
      <c r="E157" s="2399"/>
      <c r="F157" s="2399"/>
      <c r="G157" s="2400"/>
      <c r="H157" s="2399"/>
      <c r="I157" s="2400"/>
      <c r="J157" s="2399"/>
      <c r="K157" s="2399"/>
      <c r="L157" s="2400"/>
      <c r="M157" s="2399"/>
      <c r="N157" s="2399"/>
      <c r="O157" s="2400"/>
      <c r="P157" s="2399"/>
      <c r="Q157" s="2399"/>
      <c r="R157" s="2401"/>
    </row>
    <row r="158" spans="2:18" s="2372" customFormat="1">
      <c r="B158" s="2399"/>
      <c r="C158" s="2399"/>
      <c r="D158" s="2399"/>
      <c r="E158" s="2399"/>
      <c r="F158" s="2399"/>
      <c r="G158" s="2400"/>
      <c r="H158" s="2399"/>
      <c r="I158" s="2400"/>
      <c r="J158" s="2399"/>
      <c r="K158" s="2399"/>
      <c r="L158" s="2400"/>
      <c r="M158" s="2399"/>
      <c r="N158" s="2399"/>
      <c r="O158" s="2400"/>
      <c r="P158" s="2399"/>
      <c r="Q158" s="2399"/>
      <c r="R158" s="2401"/>
    </row>
    <row r="159" spans="2:18" s="2372" customFormat="1">
      <c r="B159" s="2399"/>
      <c r="C159" s="2399"/>
      <c r="D159" s="2399"/>
      <c r="E159" s="2399"/>
      <c r="F159" s="2399"/>
      <c r="G159" s="2400"/>
      <c r="H159" s="2399"/>
      <c r="I159" s="2400"/>
      <c r="J159" s="2399"/>
      <c r="K159" s="2399"/>
      <c r="L159" s="2400"/>
      <c r="M159" s="2399"/>
      <c r="N159" s="2399"/>
      <c r="O159" s="2400"/>
      <c r="P159" s="2399"/>
      <c r="Q159" s="2399"/>
      <c r="R159" s="2401"/>
    </row>
    <row r="160" spans="2:18" s="2372" customFormat="1">
      <c r="B160" s="2399"/>
      <c r="C160" s="2399"/>
      <c r="D160" s="2399"/>
      <c r="E160" s="2399"/>
      <c r="F160" s="2399"/>
      <c r="G160" s="2400"/>
      <c r="H160" s="2399"/>
      <c r="I160" s="2400"/>
      <c r="J160" s="2399"/>
      <c r="K160" s="2399"/>
      <c r="L160" s="2400"/>
      <c r="M160" s="2399"/>
      <c r="N160" s="2399"/>
      <c r="O160" s="2400"/>
      <c r="P160" s="2399"/>
      <c r="Q160" s="2399"/>
      <c r="R160" s="2401"/>
    </row>
    <row r="161" spans="2:18" s="2372" customFormat="1">
      <c r="B161" s="2399"/>
      <c r="C161" s="2399"/>
      <c r="D161" s="2399"/>
      <c r="E161" s="2399"/>
      <c r="F161" s="2399"/>
      <c r="G161" s="2400"/>
      <c r="H161" s="2399"/>
      <c r="I161" s="2400"/>
      <c r="J161" s="2399"/>
      <c r="K161" s="2399"/>
      <c r="L161" s="2400"/>
      <c r="M161" s="2399"/>
      <c r="N161" s="2399"/>
      <c r="O161" s="2400"/>
      <c r="P161" s="2399"/>
      <c r="Q161" s="2399"/>
      <c r="R161" s="2401"/>
    </row>
    <row r="162" spans="2:18" s="2372" customFormat="1">
      <c r="B162" s="2399"/>
      <c r="C162" s="2399"/>
      <c r="D162" s="2399"/>
      <c r="E162" s="2399"/>
      <c r="F162" s="2399"/>
      <c r="G162" s="2400"/>
      <c r="H162" s="2399"/>
      <c r="I162" s="2400"/>
      <c r="J162" s="2399"/>
      <c r="K162" s="2399"/>
      <c r="L162" s="2400"/>
      <c r="M162" s="2399"/>
      <c r="N162" s="2399"/>
      <c r="O162" s="2400"/>
      <c r="P162" s="2399"/>
      <c r="Q162" s="2399"/>
      <c r="R162" s="2401"/>
    </row>
    <row r="163" spans="2:18" s="2372" customFormat="1">
      <c r="B163" s="2399"/>
      <c r="C163" s="2399"/>
      <c r="D163" s="2399"/>
      <c r="E163" s="2399"/>
      <c r="F163" s="2399"/>
      <c r="G163" s="2400"/>
      <c r="H163" s="2399"/>
      <c r="I163" s="2400"/>
      <c r="J163" s="2399"/>
      <c r="K163" s="2399"/>
      <c r="L163" s="2400"/>
      <c r="M163" s="2399"/>
      <c r="N163" s="2399"/>
      <c r="O163" s="2400"/>
      <c r="P163" s="2399"/>
      <c r="Q163" s="2399"/>
      <c r="R163" s="2401"/>
    </row>
    <row r="164" spans="2:18" s="2372" customFormat="1">
      <c r="B164" s="2399"/>
      <c r="C164" s="2399"/>
      <c r="D164" s="2399"/>
      <c r="E164" s="2399"/>
      <c r="F164" s="2399"/>
      <c r="G164" s="2400"/>
      <c r="H164" s="2399"/>
      <c r="I164" s="2400"/>
      <c r="J164" s="2399"/>
      <c r="K164" s="2399"/>
      <c r="L164" s="2400"/>
      <c r="M164" s="2399"/>
      <c r="N164" s="2399"/>
      <c r="O164" s="2400"/>
      <c r="P164" s="2399"/>
      <c r="Q164" s="2399"/>
      <c r="R164" s="2401"/>
    </row>
    <row r="165" spans="2:18" s="2372" customFormat="1">
      <c r="B165" s="2399"/>
      <c r="C165" s="2399"/>
      <c r="D165" s="2399"/>
      <c r="E165" s="2399"/>
      <c r="F165" s="2399"/>
      <c r="G165" s="2400"/>
      <c r="H165" s="2399"/>
      <c r="I165" s="2400"/>
      <c r="J165" s="2399"/>
      <c r="K165" s="2399"/>
      <c r="L165" s="2400"/>
      <c r="M165" s="2399"/>
      <c r="N165" s="2399"/>
      <c r="O165" s="2400"/>
      <c r="P165" s="2399"/>
      <c r="Q165" s="2399"/>
      <c r="R165" s="2401"/>
    </row>
    <row r="166" spans="2:18" s="2372" customFormat="1">
      <c r="B166" s="2399"/>
      <c r="C166" s="2399"/>
      <c r="D166" s="2399"/>
      <c r="E166" s="2399"/>
      <c r="F166" s="2399"/>
      <c r="G166" s="2400"/>
      <c r="H166" s="2399"/>
      <c r="I166" s="2400"/>
      <c r="J166" s="2399"/>
      <c r="K166" s="2399"/>
      <c r="L166" s="2400"/>
      <c r="M166" s="2399"/>
      <c r="N166" s="2399"/>
      <c r="O166" s="2400"/>
      <c r="P166" s="2399"/>
      <c r="Q166" s="2399"/>
      <c r="R166" s="2401"/>
    </row>
    <row r="167" spans="2:18" s="2372" customFormat="1">
      <c r="B167" s="2399"/>
      <c r="C167" s="2399"/>
      <c r="D167" s="2399"/>
      <c r="E167" s="2399"/>
      <c r="F167" s="2399"/>
      <c r="G167" s="2400"/>
      <c r="H167" s="2399"/>
      <c r="I167" s="2400"/>
      <c r="J167" s="2399"/>
      <c r="K167" s="2399"/>
      <c r="L167" s="2400"/>
      <c r="M167" s="2399"/>
      <c r="N167" s="2399"/>
      <c r="O167" s="2400"/>
      <c r="P167" s="2399"/>
      <c r="Q167" s="2399"/>
      <c r="R167" s="2401"/>
    </row>
    <row r="168" spans="2:18" s="2372" customFormat="1">
      <c r="B168" s="2399"/>
      <c r="C168" s="2399"/>
      <c r="D168" s="2399"/>
      <c r="E168" s="2399"/>
      <c r="F168" s="2399"/>
      <c r="G168" s="2400"/>
      <c r="H168" s="2399"/>
      <c r="I168" s="2400"/>
      <c r="J168" s="2399"/>
      <c r="K168" s="2399"/>
      <c r="L168" s="2400"/>
      <c r="M168" s="2399"/>
      <c r="N168" s="2399"/>
      <c r="O168" s="2400"/>
      <c r="P168" s="2399"/>
      <c r="Q168" s="2399"/>
      <c r="R168" s="2401"/>
    </row>
    <row r="169" spans="2:18" s="2372" customFormat="1">
      <c r="B169" s="2399"/>
      <c r="C169" s="2399"/>
      <c r="D169" s="2399"/>
      <c r="E169" s="2399"/>
      <c r="F169" s="2399"/>
      <c r="G169" s="2400"/>
      <c r="H169" s="2399"/>
      <c r="I169" s="2400"/>
      <c r="J169" s="2399"/>
      <c r="K169" s="2399"/>
      <c r="L169" s="2400"/>
      <c r="M169" s="2399"/>
      <c r="N169" s="2399"/>
      <c r="O169" s="2400"/>
      <c r="P169" s="2399"/>
      <c r="Q169" s="2399"/>
      <c r="R169" s="2401"/>
    </row>
    <row r="170" spans="2:18" s="2372" customFormat="1">
      <c r="B170" s="2399"/>
      <c r="C170" s="2399"/>
      <c r="D170" s="2399"/>
      <c r="E170" s="2399"/>
      <c r="F170" s="2399"/>
      <c r="G170" s="2400"/>
      <c r="H170" s="2399"/>
      <c r="I170" s="2400"/>
      <c r="J170" s="2399"/>
      <c r="K170" s="2399"/>
      <c r="L170" s="2400"/>
      <c r="M170" s="2399"/>
      <c r="N170" s="2399"/>
      <c r="O170" s="2400"/>
      <c r="P170" s="2399"/>
      <c r="Q170" s="2399"/>
      <c r="R170" s="2401"/>
    </row>
    <row r="171" spans="2:18" s="2372" customFormat="1">
      <c r="B171" s="2399"/>
      <c r="C171" s="2399"/>
      <c r="D171" s="2399"/>
      <c r="E171" s="2399"/>
      <c r="F171" s="2399"/>
      <c r="G171" s="2400"/>
      <c r="H171" s="2399"/>
      <c r="I171" s="2400"/>
      <c r="J171" s="2399"/>
      <c r="K171" s="2399"/>
      <c r="L171" s="2400"/>
      <c r="M171" s="2399"/>
      <c r="N171" s="2399"/>
      <c r="O171" s="2400"/>
      <c r="P171" s="2399"/>
      <c r="Q171" s="2399"/>
      <c r="R171" s="2401"/>
    </row>
    <row r="172" spans="2:18" s="2372" customFormat="1">
      <c r="B172" s="2399"/>
      <c r="C172" s="2399"/>
      <c r="D172" s="2399"/>
      <c r="E172" s="2399"/>
      <c r="F172" s="2399"/>
      <c r="G172" s="2400"/>
      <c r="H172" s="2399"/>
      <c r="I172" s="2400"/>
      <c r="J172" s="2399"/>
      <c r="K172" s="2399"/>
      <c r="L172" s="2400"/>
      <c r="M172" s="2399"/>
      <c r="N172" s="2399"/>
      <c r="O172" s="2400"/>
      <c r="P172" s="2399"/>
      <c r="Q172" s="2399"/>
      <c r="R172" s="2401"/>
    </row>
    <row r="173" spans="2:18" s="2372" customFormat="1">
      <c r="B173" s="2399"/>
      <c r="C173" s="2399"/>
      <c r="D173" s="2399"/>
      <c r="E173" s="2399"/>
      <c r="F173" s="2399"/>
      <c r="G173" s="2400"/>
      <c r="H173" s="2399"/>
      <c r="I173" s="2400"/>
      <c r="J173" s="2399"/>
      <c r="K173" s="2399"/>
      <c r="L173" s="2400"/>
      <c r="M173" s="2399"/>
      <c r="N173" s="2399"/>
      <c r="O173" s="2400"/>
      <c r="P173" s="2399"/>
      <c r="Q173" s="2399"/>
      <c r="R173" s="2401"/>
    </row>
    <row r="174" spans="2:18" s="2372" customFormat="1">
      <c r="B174" s="2399"/>
      <c r="C174" s="2399"/>
      <c r="D174" s="2399"/>
      <c r="E174" s="2399"/>
      <c r="F174" s="2399"/>
      <c r="G174" s="2400"/>
      <c r="H174" s="2399"/>
      <c r="I174" s="2400"/>
      <c r="J174" s="2399"/>
      <c r="K174" s="2399"/>
      <c r="L174" s="2400"/>
      <c r="M174" s="2399"/>
      <c r="N174" s="2399"/>
      <c r="O174" s="2400"/>
      <c r="P174" s="2399"/>
      <c r="Q174" s="2399"/>
      <c r="R174" s="2401"/>
    </row>
    <row r="175" spans="2:18" s="2372" customFormat="1">
      <c r="B175" s="2399"/>
      <c r="C175" s="2399"/>
      <c r="D175" s="2399"/>
      <c r="E175" s="2399"/>
      <c r="F175" s="2399"/>
      <c r="G175" s="2400"/>
      <c r="H175" s="2399"/>
      <c r="I175" s="2400"/>
      <c r="J175" s="2399"/>
      <c r="K175" s="2399"/>
      <c r="L175" s="2400"/>
      <c r="M175" s="2399"/>
      <c r="N175" s="2399"/>
      <c r="O175" s="2400"/>
      <c r="P175" s="2399"/>
      <c r="Q175" s="2399"/>
      <c r="R175" s="2401"/>
    </row>
    <row r="176" spans="2:18" s="2372" customFormat="1">
      <c r="B176" s="2399"/>
      <c r="C176" s="2399"/>
      <c r="D176" s="2399"/>
      <c r="E176" s="2399"/>
      <c r="F176" s="2399"/>
      <c r="G176" s="2400"/>
      <c r="H176" s="2399"/>
      <c r="I176" s="2400"/>
      <c r="J176" s="2399"/>
      <c r="K176" s="2399"/>
      <c r="L176" s="2400"/>
      <c r="M176" s="2399"/>
      <c r="N176" s="2399"/>
      <c r="O176" s="2400"/>
      <c r="P176" s="2399"/>
      <c r="Q176" s="2399"/>
      <c r="R176" s="2401"/>
    </row>
    <row r="177" spans="1:18" s="2372" customFormat="1">
      <c r="B177" s="2399"/>
      <c r="C177" s="2399"/>
      <c r="D177" s="2399"/>
      <c r="E177" s="2399"/>
      <c r="F177" s="2399"/>
      <c r="G177" s="2400"/>
      <c r="H177" s="2399"/>
      <c r="I177" s="2400"/>
      <c r="J177" s="2399"/>
      <c r="K177" s="2399"/>
      <c r="L177" s="2400"/>
      <c r="M177" s="2399"/>
      <c r="N177" s="2399"/>
      <c r="O177" s="2400"/>
      <c r="P177" s="2399"/>
      <c r="Q177" s="2399"/>
      <c r="R177" s="2401"/>
    </row>
    <row r="178" spans="1:18" s="2372" customFormat="1">
      <c r="B178" s="2399"/>
      <c r="C178" s="2399"/>
      <c r="D178" s="2399"/>
      <c r="E178" s="2399"/>
      <c r="F178" s="2399"/>
      <c r="G178" s="2400"/>
      <c r="H178" s="2399"/>
      <c r="I178" s="2400"/>
      <c r="J178" s="2399"/>
      <c r="K178" s="2399"/>
      <c r="L178" s="2400"/>
      <c r="M178" s="2399"/>
      <c r="N178" s="2399"/>
      <c r="O178" s="2400"/>
      <c r="P178" s="2399"/>
      <c r="Q178" s="2399"/>
      <c r="R178" s="2401"/>
    </row>
    <row r="179" spans="1:18" s="2372" customFormat="1">
      <c r="B179" s="2399"/>
      <c r="C179" s="2399"/>
      <c r="D179" s="2399"/>
      <c r="E179" s="2399"/>
      <c r="F179" s="2399"/>
      <c r="G179" s="2400"/>
      <c r="H179" s="2399"/>
      <c r="I179" s="2400"/>
      <c r="J179" s="2399"/>
      <c r="K179" s="2399"/>
      <c r="L179" s="2400"/>
      <c r="M179" s="2399"/>
      <c r="N179" s="2399"/>
      <c r="O179" s="2400"/>
      <c r="P179" s="2399"/>
      <c r="Q179" s="2399"/>
      <c r="R179" s="2401"/>
    </row>
    <row r="180" spans="1:18" s="2372" customFormat="1">
      <c r="B180" s="2399"/>
      <c r="C180" s="2399"/>
      <c r="D180" s="2399"/>
      <c r="E180" s="2399"/>
      <c r="F180" s="2399"/>
      <c r="G180" s="2400"/>
      <c r="H180" s="2399"/>
      <c r="I180" s="2400"/>
      <c r="J180" s="2399"/>
      <c r="K180" s="2399"/>
      <c r="L180" s="2400"/>
      <c r="M180" s="2399"/>
      <c r="N180" s="2399"/>
      <c r="O180" s="2400"/>
      <c r="P180" s="2399"/>
      <c r="Q180" s="2399"/>
      <c r="R180" s="2401"/>
    </row>
    <row r="181" spans="1:18" s="2372" customFormat="1">
      <c r="B181" s="2399"/>
      <c r="C181" s="2399"/>
      <c r="D181" s="2399"/>
      <c r="E181" s="2399"/>
      <c r="F181" s="2399"/>
      <c r="G181" s="2400"/>
      <c r="H181" s="2399"/>
      <c r="I181" s="2400"/>
      <c r="J181" s="2399"/>
      <c r="K181" s="2399"/>
      <c r="L181" s="2400"/>
      <c r="M181" s="2399"/>
      <c r="N181" s="2399"/>
      <c r="O181" s="2400"/>
      <c r="P181" s="2399"/>
      <c r="Q181" s="2399"/>
      <c r="R181" s="2401"/>
    </row>
    <row r="182" spans="1:18" s="2372" customFormat="1">
      <c r="B182" s="2399"/>
      <c r="C182" s="2399"/>
      <c r="D182" s="2399"/>
      <c r="E182" s="2399"/>
      <c r="F182" s="2399"/>
      <c r="G182" s="2400"/>
      <c r="H182" s="2399"/>
      <c r="I182" s="2400"/>
      <c r="J182" s="2399"/>
      <c r="K182" s="2399"/>
      <c r="L182" s="2400"/>
      <c r="M182" s="2399"/>
      <c r="N182" s="2399"/>
      <c r="O182" s="2400"/>
      <c r="P182" s="2399"/>
      <c r="Q182" s="2399"/>
      <c r="R182" s="2401"/>
    </row>
    <row r="183" spans="1:18" s="2372" customFormat="1">
      <c r="B183" s="2399"/>
      <c r="C183" s="2399"/>
      <c r="D183" s="2399"/>
      <c r="E183" s="2399"/>
      <c r="F183" s="2399"/>
      <c r="G183" s="2400"/>
      <c r="H183" s="2399"/>
      <c r="I183" s="2400"/>
      <c r="J183" s="2399"/>
      <c r="K183" s="2399"/>
      <c r="L183" s="2400"/>
      <c r="M183" s="2399"/>
      <c r="N183" s="2399"/>
      <c r="O183" s="2400"/>
      <c r="P183" s="2399"/>
      <c r="Q183" s="2399"/>
      <c r="R183" s="2401"/>
    </row>
    <row r="184" spans="1:18" s="2372" customFormat="1">
      <c r="B184" s="2399"/>
      <c r="C184" s="2399"/>
      <c r="D184" s="2399"/>
      <c r="E184" s="2399"/>
      <c r="F184" s="2399"/>
      <c r="G184" s="2400"/>
      <c r="H184" s="2399"/>
      <c r="I184" s="2400"/>
      <c r="J184" s="2399"/>
      <c r="K184" s="2399"/>
      <c r="L184" s="2400"/>
      <c r="M184" s="2399"/>
      <c r="N184" s="2399"/>
      <c r="O184" s="2400"/>
      <c r="P184" s="2399"/>
      <c r="Q184" s="2399"/>
      <c r="R184" s="2401"/>
    </row>
    <row r="185" spans="1:18" s="2372"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2"/>
      <c r="B186" s="2399"/>
      <c r="C186" s="2399"/>
      <c r="E186" s="2399"/>
      <c r="F186" s="2399"/>
      <c r="G186" s="2400"/>
    </row>
    <row r="187" spans="1:18">
      <c r="A187" s="2372"/>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125.74</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43056</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419</v>
      </c>
      <c r="C5" s="1747">
        <f ca="1">ROUND(B5*10000/$B$1,0)</f>
        <v>33323</v>
      </c>
      <c r="D5" s="1747" t="e">
        <f ca="1">ROUND(B5*10000/$B$2,0)</f>
        <v>#DIV/0!</v>
      </c>
      <c r="E5" s="1746"/>
      <c r="F5" s="1744"/>
      <c r="G5" s="1744"/>
    </row>
    <row r="6" spans="1:10" ht="16.5">
      <c r="A6" s="1747" t="s">
        <v>1357</v>
      </c>
      <c r="B6" s="1747">
        <f ca="1">SUM(G14:G23)</f>
        <v>419</v>
      </c>
      <c r="C6" s="1747">
        <f ca="1">ROUND(B6*10000/$B$1,0)</f>
        <v>33323</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 ca="1">SUM(I14:I23)</f>
        <v>-213</v>
      </c>
      <c r="C8" s="1747">
        <f ca="1">ROUND(B8*10000/$B$1,0)</f>
        <v>-16940</v>
      </c>
      <c r="D8" s="1747" t="e">
        <f ca="1">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125.74</v>
      </c>
      <c r="C14" s="1745">
        <f>结果表!C118</f>
        <v>0</v>
      </c>
      <c r="D14" s="1745">
        <f ca="1">结果表!H118</f>
        <v>419</v>
      </c>
      <c r="E14" s="1745">
        <f ca="1">ROUND(D14*10000/B14,0)</f>
        <v>33323</v>
      </c>
      <c r="F14" s="1745" t="e">
        <f ca="1">ROUND(D14*10000/C14,0)</f>
        <v>#DIV/0!</v>
      </c>
      <c r="G14" s="1745">
        <f ca="1">结果表!D122</f>
        <v>419</v>
      </c>
      <c r="H14" s="1745" t="str">
        <f>结果表!D124</f>
        <v>——</v>
      </c>
      <c r="I14" s="1745">
        <f ca="1">结果表!D126</f>
        <v>-213</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2" zoomScaleNormal="100" zoomScaleSheetLayoutView="100" zoomScalePageLayoutView="80" workbookViewId="0">
      <selection activeCell="I88" sqref="I8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2116</v>
      </c>
      <c r="B1" s="2422"/>
      <c r="C1" s="2423" t="s">
        <v>3206</v>
      </c>
      <c r="D1" s="2422"/>
      <c r="E1" s="2422"/>
      <c r="F1" s="2424" t="s">
        <v>2117</v>
      </c>
      <c r="G1" s="2074" t="s">
        <v>3038</v>
      </c>
      <c r="H1" s="2425" t="str">
        <f>IF(G1="现房","——","估价对象范围")</f>
        <v>——</v>
      </c>
      <c r="I1" s="2426" t="s">
        <v>3131</v>
      </c>
    </row>
    <row r="2" spans="1:12" ht="21.75" customHeight="1" thickBot="1">
      <c r="A2" s="3159" t="str">
        <f>项目基本情况!S2</f>
        <v>北京市顺义区天竺地区小天竺路一号院1号楼101-112号办公用房房地产</v>
      </c>
      <c r="B2" s="3160"/>
      <c r="C2" s="3160"/>
      <c r="D2" s="3160"/>
      <c r="E2" s="3160"/>
      <c r="F2" s="3160"/>
      <c r="G2" s="3160"/>
      <c r="H2" s="3160"/>
      <c r="I2" s="3161"/>
    </row>
    <row r="3" spans="1:12" ht="12.75">
      <c r="A3" s="3162" t="s">
        <v>2118</v>
      </c>
      <c r="B3" s="3163"/>
      <c r="C3" s="3163"/>
      <c r="D3" s="3163"/>
      <c r="E3" s="3163"/>
      <c r="F3" s="3163"/>
      <c r="G3" s="3163"/>
      <c r="H3" s="3163"/>
      <c r="I3" s="3163"/>
    </row>
    <row r="4" spans="1:12" ht="14.25">
      <c r="A4" s="2429" t="s">
        <v>2119</v>
      </c>
      <c r="B4" s="2430" t="s">
        <v>2120</v>
      </c>
      <c r="C4" s="2431" t="s">
        <v>3050</v>
      </c>
      <c r="D4" s="2431" t="s">
        <v>3225</v>
      </c>
      <c r="E4" s="3143" t="s">
        <v>2121</v>
      </c>
      <c r="F4" s="3156"/>
      <c r="G4" s="3156"/>
      <c r="H4" s="3156"/>
      <c r="I4" s="3144"/>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34" t="s">
        <v>2122</v>
      </c>
      <c r="B5" s="3060">
        <v>25</v>
      </c>
      <c r="C5" s="3164">
        <v>24</v>
      </c>
      <c r="D5" s="3152">
        <v>24</v>
      </c>
      <c r="E5" s="140" t="s">
        <v>2123</v>
      </c>
      <c r="F5" s="2433"/>
      <c r="G5" s="2433"/>
      <c r="H5" s="2433"/>
      <c r="I5" s="1835"/>
    </row>
    <row r="6" spans="1:12" ht="12.75">
      <c r="A6" s="3134"/>
      <c r="B6" s="3060"/>
      <c r="C6" s="3166"/>
      <c r="D6" s="3152"/>
      <c r="E6" s="140" t="s">
        <v>2124</v>
      </c>
      <c r="F6" s="2433"/>
      <c r="G6" s="2433"/>
      <c r="H6" s="2433"/>
      <c r="I6" s="1835"/>
    </row>
    <row r="7" spans="1:12" ht="12.75">
      <c r="A7" s="3134"/>
      <c r="B7" s="3060"/>
      <c r="C7" s="3165"/>
      <c r="D7" s="3152"/>
      <c r="E7" s="140" t="s">
        <v>2125</v>
      </c>
      <c r="F7" s="2433"/>
      <c r="G7" s="2433"/>
      <c r="H7" s="2433"/>
      <c r="I7" s="1835"/>
    </row>
    <row r="8" spans="1:12" ht="12.75">
      <c r="A8" s="3134" t="s">
        <v>2126</v>
      </c>
      <c r="B8" s="3060">
        <v>15</v>
      </c>
      <c r="C8" s="3164">
        <v>14</v>
      </c>
      <c r="D8" s="3152">
        <v>14</v>
      </c>
      <c r="E8" s="140" t="s">
        <v>2127</v>
      </c>
      <c r="F8" s="2433"/>
      <c r="G8" s="2433"/>
      <c r="H8" s="2433"/>
      <c r="I8" s="1835"/>
    </row>
    <row r="9" spans="1:12" ht="12.75">
      <c r="A9" s="3134"/>
      <c r="B9" s="3060"/>
      <c r="C9" s="3165"/>
      <c r="D9" s="3152"/>
      <c r="E9" s="140" t="s">
        <v>2128</v>
      </c>
      <c r="F9" s="2433"/>
      <c r="G9" s="2433"/>
      <c r="H9" s="2433"/>
      <c r="I9" s="1835"/>
    </row>
    <row r="10" spans="1:12" ht="12.75">
      <c r="A10" s="3134" t="s">
        <v>2129</v>
      </c>
      <c r="B10" s="3060">
        <v>15</v>
      </c>
      <c r="C10" s="3164">
        <v>14</v>
      </c>
      <c r="D10" s="3152">
        <v>14</v>
      </c>
      <c r="E10" s="140" t="s">
        <v>2130</v>
      </c>
      <c r="F10" s="2433"/>
      <c r="G10" s="2433"/>
      <c r="H10" s="2433"/>
      <c r="I10" s="1835"/>
    </row>
    <row r="11" spans="1:12" ht="12.75">
      <c r="A11" s="3134"/>
      <c r="B11" s="3060"/>
      <c r="C11" s="3165"/>
      <c r="D11" s="3152"/>
      <c r="E11" s="140" t="s">
        <v>2131</v>
      </c>
      <c r="F11" s="2433"/>
      <c r="G11" s="2433"/>
      <c r="H11" s="2433"/>
      <c r="I11" s="1835"/>
    </row>
    <row r="12" spans="1:12" ht="12.75">
      <c r="A12" s="3134" t="s">
        <v>2132</v>
      </c>
      <c r="B12" s="3060">
        <v>15</v>
      </c>
      <c r="C12" s="3164">
        <v>14</v>
      </c>
      <c r="D12" s="3152">
        <v>14</v>
      </c>
      <c r="E12" s="140" t="s">
        <v>2133</v>
      </c>
      <c r="F12" s="2433"/>
      <c r="G12" s="2433"/>
      <c r="H12" s="2433"/>
      <c r="I12" s="1835"/>
    </row>
    <row r="13" spans="1:12" ht="12.75">
      <c r="A13" s="3134"/>
      <c r="B13" s="3060"/>
      <c r="C13" s="3165"/>
      <c r="D13" s="3152"/>
      <c r="E13" s="140" t="s">
        <v>2134</v>
      </c>
      <c r="F13" s="2433"/>
      <c r="G13" s="2433"/>
      <c r="H13" s="2433"/>
      <c r="I13" s="1835"/>
    </row>
    <row r="14" spans="1:12" ht="12.75">
      <c r="A14" s="3134" t="s">
        <v>2135</v>
      </c>
      <c r="B14" s="3060">
        <v>30</v>
      </c>
      <c r="C14" s="3164">
        <v>25</v>
      </c>
      <c r="D14" s="3152">
        <v>25</v>
      </c>
      <c r="E14" s="140" t="s">
        <v>2136</v>
      </c>
      <c r="F14" s="2433"/>
      <c r="G14" s="2433"/>
      <c r="H14" s="2433"/>
      <c r="I14" s="1835"/>
    </row>
    <row r="15" spans="1:12" ht="12.75">
      <c r="A15" s="3134"/>
      <c r="B15" s="3060"/>
      <c r="C15" s="3166"/>
      <c r="D15" s="3152"/>
      <c r="E15" s="140" t="s">
        <v>2137</v>
      </c>
      <c r="F15" s="2433"/>
      <c r="G15" s="2433"/>
      <c r="H15" s="2433"/>
      <c r="I15" s="1835"/>
    </row>
    <row r="16" spans="1:12" ht="12.75">
      <c r="A16" s="3134"/>
      <c r="B16" s="3060"/>
      <c r="C16" s="3165"/>
      <c r="D16" s="3152"/>
      <c r="E16" s="140" t="s">
        <v>2138</v>
      </c>
      <c r="F16" s="2433"/>
      <c r="G16" s="2433"/>
      <c r="H16" s="2433"/>
      <c r="I16" s="1835"/>
    </row>
    <row r="17" spans="1:35" ht="15">
      <c r="A17" s="2434" t="s">
        <v>2139</v>
      </c>
      <c r="B17" s="64"/>
      <c r="C17" s="141">
        <f>SUM(C5:C16)</f>
        <v>91</v>
      </c>
      <c r="D17" s="141">
        <f>SUM(D5:D16)</f>
        <v>91</v>
      </c>
      <c r="E17" s="138"/>
      <c r="F17" s="138"/>
      <c r="G17" s="138"/>
      <c r="H17" s="138"/>
      <c r="I17" s="138"/>
      <c r="K17" s="2432"/>
      <c r="L17" s="2435" t="s">
        <v>2140</v>
      </c>
      <c r="M17" s="2435" t="s">
        <v>2141</v>
      </c>
    </row>
    <row r="18" spans="1:35" ht="15.75" thickBot="1">
      <c r="A18" s="2436" t="s">
        <v>2142</v>
      </c>
      <c r="B18" s="2437"/>
      <c r="C18" s="142">
        <f>ROUND(C17/SUM(C17:D17),2)</f>
        <v>0.5</v>
      </c>
      <c r="D18" s="142">
        <f>1-C18</f>
        <v>0.5</v>
      </c>
      <c r="E18" s="138"/>
      <c r="F18" s="138"/>
      <c r="G18" s="138"/>
      <c r="H18" s="138"/>
      <c r="I18" s="138"/>
      <c r="K18" s="2432" t="s">
        <v>2143</v>
      </c>
      <c r="L18" s="2432">
        <f>IF(C1="",'数据-汇总表'!E3,SUMIF(项目类型,C1,'数据-汇总表'!E17:E26)+SUMIF(项目类型,C1,'数据-汇总表'!I17:I26))</f>
        <v>125.74</v>
      </c>
      <c r="M18" s="2432">
        <f>IF(C1="",'数据-汇总表'!E3,SUMIF(项目类型,C1,'数据-汇总表'!E17:E26))</f>
        <v>125.74</v>
      </c>
    </row>
    <row r="19" spans="1:35" ht="15">
      <c r="A19" s="2438" t="s">
        <v>2144</v>
      </c>
      <c r="B19" s="2439" t="s">
        <v>2145</v>
      </c>
      <c r="C19" s="143">
        <f ca="1">SUMIF(INDIRECT("'"&amp;C4&amp;"'"&amp;"!A:A"),结果表!B19,INDIRECT("'"&amp;C4&amp;"'"&amp;"!B:B"))</f>
        <v>438</v>
      </c>
      <c r="D19" s="144">
        <f ca="1">SUMIF(INDIRECT("'"&amp;D4&amp;"'"&amp;"!A:A"),结果表!B19,INDIRECT("'"&amp;D4&amp;"'"&amp;"!B:B"))</f>
        <v>400</v>
      </c>
      <c r="E19" s="2438" t="s">
        <v>2146</v>
      </c>
      <c r="F19" s="2439" t="s">
        <v>2145</v>
      </c>
      <c r="G19" s="145">
        <f ca="1">ROUND(C19*$C$18+D19*$D$18,0)</f>
        <v>419</v>
      </c>
      <c r="H19" s="2440" t="s">
        <v>2147</v>
      </c>
      <c r="I19" s="138"/>
      <c r="K19" s="2432" t="s">
        <v>2148</v>
      </c>
      <c r="L19" s="2432">
        <f>IF(C1="",'数据-汇总表'!D3,SUMIF(项目类型,C1,'数据-汇总表'!D17:D26)+SUMIF(项目类型,C1,'数据-汇总表'!H17:H27))</f>
        <v>0</v>
      </c>
      <c r="M19" s="2432">
        <f>IF(C1="",'数据-汇总表'!D3,SUMIF(项目类型,C1,'数据-汇总表'!D17:D26))</f>
        <v>0</v>
      </c>
    </row>
    <row r="20" spans="1:35" ht="15.75" thickBot="1">
      <c r="A20" s="2441"/>
      <c r="B20" s="1250" t="s">
        <v>2149</v>
      </c>
      <c r="C20" s="146">
        <f ca="1">SUMIF(INDIRECT("'"&amp;C4&amp;"'"&amp;"!A:A"),结果表!B20,INDIRECT("'"&amp;C4&amp;"'"&amp;"!B:B"))</f>
        <v>34832</v>
      </c>
      <c r="D20" s="147">
        <f ca="1">SUMIF(INDIRECT("'"&amp;D4&amp;"'"&amp;"!A:A"),结果表!B20,INDIRECT("'"&amp;D4&amp;"'"&amp;"!B:B"))</f>
        <v>31820</v>
      </c>
      <c r="E20" s="2441"/>
      <c r="F20" s="1250" t="s">
        <v>2149</v>
      </c>
      <c r="G20" s="148">
        <f ca="1">ROUND(C20*$C$18+D20*$D$18,0)</f>
        <v>33326</v>
      </c>
      <c r="H20" s="983" t="s">
        <v>2150</v>
      </c>
      <c r="I20" s="138"/>
    </row>
    <row r="21" spans="1:35" ht="15" hidden="1" customHeight="1" thickBot="1">
      <c r="A21" s="1003"/>
      <c r="B21" s="2442" t="s">
        <v>2151</v>
      </c>
      <c r="C21" s="789" t="e">
        <f ca="1">ROUND(C19*10000/L19,0)</f>
        <v>#DIV/0!</v>
      </c>
      <c r="D21" s="790" t="e">
        <f ca="1">ROUND(D19*10000/L19,0)</f>
        <v>#DIV/0!</v>
      </c>
      <c r="E21" s="1003"/>
      <c r="F21" s="2442" t="s">
        <v>2151</v>
      </c>
      <c r="G21" s="149" t="e">
        <f ca="1">ROUND(G19*10000/L19,0)</f>
        <v>#DIV/0!</v>
      </c>
      <c r="H21" s="2443" t="s">
        <v>2150</v>
      </c>
      <c r="I21" s="138"/>
    </row>
    <row r="22" spans="1:35" ht="15" thickBot="1">
      <c r="A22" s="2285" t="s">
        <v>2152</v>
      </c>
      <c r="B22" s="2444"/>
      <c r="C22" s="2445"/>
      <c r="D22" s="791">
        <f ca="1">IF(C19&lt;D19,D19/C19-1,C19/D19-1)</f>
        <v>9.4999999999999973E-2</v>
      </c>
      <c r="E22" s="138"/>
      <c r="F22" s="138"/>
      <c r="G22" s="138"/>
      <c r="H22" s="138"/>
      <c r="I22" s="138"/>
    </row>
    <row r="23" spans="1:35" ht="13.5" thickBot="1">
      <c r="A23" s="2422"/>
      <c r="B23" s="2422"/>
      <c r="C23" s="2422"/>
      <c r="D23" s="2422"/>
      <c r="E23" s="138"/>
      <c r="F23" s="138"/>
      <c r="G23" s="138"/>
      <c r="H23" s="138"/>
      <c r="I23" s="138"/>
    </row>
    <row r="24" spans="1:35" ht="14.25">
      <c r="A24" s="3173" t="s">
        <v>2153</v>
      </c>
      <c r="B24" s="2439" t="s">
        <v>2145</v>
      </c>
      <c r="C24" s="145">
        <f>IF(B30=0,0,D30)</f>
        <v>0</v>
      </c>
      <c r="D24" s="2446"/>
      <c r="E24" s="138"/>
      <c r="F24" s="138"/>
      <c r="G24" s="138"/>
      <c r="H24" s="138"/>
      <c r="I24" s="138"/>
    </row>
    <row r="25" spans="1:35" ht="14.25">
      <c r="A25" s="3174"/>
      <c r="B25" s="1250" t="s">
        <v>2149</v>
      </c>
      <c r="C25" s="150">
        <f>IF(B30=0,0,C30)</f>
        <v>0</v>
      </c>
      <c r="D25" s="2447"/>
      <c r="E25" s="138"/>
      <c r="F25" s="138"/>
      <c r="G25" s="138"/>
      <c r="H25" s="138"/>
      <c r="I25" s="138"/>
    </row>
    <row r="26" spans="1:35" ht="13.5" customHeight="1">
      <c r="A26" s="2448" t="s">
        <v>2154</v>
      </c>
      <c r="B26" s="151" t="s">
        <v>2155</v>
      </c>
      <c r="C26" s="151" t="s">
        <v>2156</v>
      </c>
      <c r="D26" s="152" t="s">
        <v>2157</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2158</v>
      </c>
      <c r="B30" s="151"/>
      <c r="C30" s="151"/>
      <c r="D30" s="151"/>
      <c r="E30" s="2931" t="s">
        <v>3132</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2159</v>
      </c>
      <c r="B32" s="2452"/>
      <c r="C32" s="153">
        <f ca="1">IF(D32="总价",G19-C24,G20-C25)</f>
        <v>419</v>
      </c>
      <c r="D32" s="2453" t="s">
        <v>2160</v>
      </c>
      <c r="E32" s="138"/>
      <c r="F32" s="138"/>
      <c r="G32" s="138"/>
      <c r="H32" s="138"/>
      <c r="I32" s="138"/>
    </row>
    <row r="33" spans="1:15" ht="15">
      <c r="A33" s="960" t="s">
        <v>2161</v>
      </c>
      <c r="B33" s="2454"/>
      <c r="C33" s="2455" t="s">
        <v>3116</v>
      </c>
      <c r="D33" s="2456" t="s">
        <v>3048</v>
      </c>
      <c r="E33" s="2457" t="s">
        <v>2162</v>
      </c>
      <c r="F33" s="2458" t="str">
        <f>IF(D32="楼面单价","取值（单价）","取值（总价）")</f>
        <v>取值（总价）</v>
      </c>
      <c r="G33" s="138"/>
      <c r="H33" s="138"/>
      <c r="I33" s="138"/>
    </row>
    <row r="34" spans="1:15" ht="15">
      <c r="A34" s="2459"/>
      <c r="B34" s="2460" t="s">
        <v>2163</v>
      </c>
      <c r="C34" s="157">
        <f ca="1">IF(C33="自定义",F34,C32-C35)</f>
        <v>326</v>
      </c>
      <c r="D34" s="1058">
        <f ca="1">IF(C33="自定义",ROUND(C34/C32,3),IF(C33="收益比率",SUMIF(INDIRECT("'"&amp;D33&amp;"'"&amp;"!b:b"),"土地收益比率",INDIRECT("'"&amp;D33&amp;"'"&amp;"!c:c")),SUMIF(INDIRECT("'"&amp;D33&amp;"'"&amp;"!b:b"),"土地成本比率",INDIRECT("'"&amp;D33&amp;"'"&amp;"!c:c"))))</f>
        <v>0.77800000000000002</v>
      </c>
      <c r="E34" s="2461" t="s">
        <v>2164</v>
      </c>
      <c r="F34" s="1740"/>
      <c r="G34" s="138"/>
      <c r="H34" s="138"/>
      <c r="I34" s="138"/>
    </row>
    <row r="35" spans="1:15" ht="15.75" thickBot="1">
      <c r="A35" s="2462"/>
      <c r="B35" s="2463" t="s">
        <v>2165</v>
      </c>
      <c r="C35" s="1444">
        <f ca="1">IF(C33="自定义",F35,ROUND(C32*D35,0))</f>
        <v>93</v>
      </c>
      <c r="D35" s="1445">
        <f ca="1">IF(C33="自定义",ROUND(C35/C32,3),IF(C33="收益比率",SUMIF(INDIRECT("'"&amp;D33&amp;"'"&amp;"!b:b"),"建筑物收益比率",INDIRECT("'"&amp;D33&amp;"'"&amp;"!c:c")),SUMIF(INDIRECT("'"&amp;D33&amp;"'"&amp;"!b:b"),"建筑物成本比率",INDIRECT("'"&amp;D33&amp;"'"&amp;"!c:c"))))</f>
        <v>0.222</v>
      </c>
      <c r="E35" s="2464" t="s">
        <v>2166</v>
      </c>
      <c r="F35" s="163"/>
      <c r="G35" s="138"/>
      <c r="H35" s="138"/>
      <c r="I35" s="138"/>
    </row>
    <row r="36" spans="1:15" ht="15.75" thickBot="1">
      <c r="A36" s="3153" t="s">
        <v>2167</v>
      </c>
      <c r="B36" s="2465" t="s">
        <v>2168</v>
      </c>
      <c r="C36" s="154">
        <v>1000</v>
      </c>
      <c r="D36" s="2466" t="s">
        <v>3209</v>
      </c>
      <c r="E36" s="2467"/>
      <c r="F36" s="2468"/>
      <c r="G36" s="138"/>
      <c r="H36" s="138"/>
      <c r="I36" s="138"/>
    </row>
    <row r="37" spans="1:15" ht="15.75" thickBot="1">
      <c r="A37" s="3154"/>
      <c r="B37" s="2271" t="s">
        <v>2169</v>
      </c>
      <c r="C37" s="156"/>
      <c r="D37" s="1395"/>
      <c r="E37" s="1395"/>
      <c r="F37" s="2468"/>
      <c r="G37" s="138"/>
      <c r="H37" s="138"/>
      <c r="I37" s="138"/>
    </row>
    <row r="38" spans="1:15" ht="15.75" thickBot="1">
      <c r="A38" s="3155"/>
      <c r="B38" s="2469" t="s">
        <v>2170</v>
      </c>
      <c r="C38" s="727"/>
      <c r="D38" s="2470" t="s">
        <v>2171</v>
      </c>
      <c r="E38" s="1395"/>
      <c r="F38" s="2468"/>
      <c r="G38" s="138"/>
      <c r="H38" s="138"/>
      <c r="I38" s="138"/>
    </row>
    <row r="39" spans="1:15" ht="15">
      <c r="A39" s="2441" t="s">
        <v>2172</v>
      </c>
      <c r="B39" s="2471" t="s">
        <v>2173</v>
      </c>
      <c r="C39" s="2472" t="s">
        <v>2174</v>
      </c>
      <c r="D39" s="2472" t="s">
        <v>2175</v>
      </c>
      <c r="E39" s="2473" t="s">
        <v>2176</v>
      </c>
      <c r="F39" s="2468"/>
      <c r="G39" s="138"/>
      <c r="H39" s="138"/>
      <c r="I39" s="138"/>
    </row>
    <row r="40" spans="1:15" ht="14.25">
      <c r="A40" s="2474" t="s">
        <v>2177</v>
      </c>
      <c r="B40" s="158"/>
      <c r="C40" s="159"/>
      <c r="D40" s="159"/>
      <c r="E40" s="160"/>
      <c r="F40" s="2468"/>
      <c r="G40" s="138"/>
      <c r="H40" s="138"/>
      <c r="I40" s="138"/>
    </row>
    <row r="41" spans="1:15" ht="14.25">
      <c r="A41" s="2474" t="s">
        <v>2178</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2179</v>
      </c>
      <c r="B44" s="2479"/>
      <c r="C44" s="2479"/>
      <c r="D44" s="2480"/>
      <c r="E44" s="2480"/>
      <c r="F44" s="2481"/>
      <c r="G44" s="2481"/>
      <c r="H44" s="2481"/>
      <c r="I44" s="2481"/>
      <c r="J44" s="2482" t="s">
        <v>2180</v>
      </c>
      <c r="K44" s="2483"/>
      <c r="L44" s="2483"/>
      <c r="M44" s="2483"/>
      <c r="N44" s="2483"/>
      <c r="O44" s="2483"/>
    </row>
    <row r="45" spans="1:15" ht="14.25" customHeight="1" thickBot="1">
      <c r="A45" s="3170" t="s">
        <v>2181</v>
      </c>
      <c r="B45" s="3171"/>
      <c r="C45" s="3172"/>
      <c r="D45" s="2991">
        <f ca="1">ROUND(典型户型修正!S22*F45,0)</f>
        <v>2528</v>
      </c>
      <c r="E45" s="165" t="s">
        <v>2182</v>
      </c>
      <c r="F45" s="166">
        <v>0.6</v>
      </c>
      <c r="G45" s="167" t="s">
        <v>2183</v>
      </c>
      <c r="H45" s="138"/>
      <c r="I45" s="138"/>
      <c r="J45" s="3089" t="s">
        <v>2184</v>
      </c>
      <c r="K45" s="3089"/>
      <c r="L45" s="3089"/>
      <c r="M45" s="3089"/>
      <c r="N45" s="3089"/>
      <c r="O45" s="3089"/>
    </row>
    <row r="46" spans="1:15" ht="14.25" customHeight="1">
      <c r="A46" s="3167" t="s">
        <v>2185</v>
      </c>
      <c r="B46" s="3168"/>
      <c r="C46" s="3168"/>
      <c r="D46" s="3168"/>
      <c r="E46" s="3168"/>
      <c r="F46" s="3168"/>
      <c r="G46" s="3169"/>
      <c r="H46" s="2484"/>
      <c r="I46" s="168"/>
      <c r="J46" s="1813">
        <v>1</v>
      </c>
      <c r="K46" s="3089" t="s">
        <v>2186</v>
      </c>
      <c r="L46" s="3089"/>
      <c r="M46" s="3090"/>
      <c r="N46" s="3090"/>
      <c r="O46" s="3090"/>
    </row>
    <row r="47" spans="1:15" ht="12" customHeight="1">
      <c r="A47" s="169" t="s">
        <v>2187</v>
      </c>
      <c r="B47" s="170"/>
      <c r="C47" s="171"/>
      <c r="D47" s="172" t="s">
        <v>2188</v>
      </c>
      <c r="E47" s="24" t="s">
        <v>2189</v>
      </c>
      <c r="F47" s="173" t="s">
        <v>2190</v>
      </c>
      <c r="G47" s="174" t="s">
        <v>2191</v>
      </c>
      <c r="H47" s="2484"/>
      <c r="I47" s="168"/>
      <c r="J47" s="1813">
        <v>2</v>
      </c>
      <c r="K47" s="3089" t="s">
        <v>2192</v>
      </c>
      <c r="L47" s="3089"/>
      <c r="M47" s="3091">
        <f>'数据-取费表'!B2</f>
        <v>43056</v>
      </c>
      <c r="N47" s="3091"/>
      <c r="O47" s="3091"/>
    </row>
    <row r="48" spans="1:15" ht="25.5">
      <c r="A48" s="3157" t="s">
        <v>2193</v>
      </c>
      <c r="B48" s="3158"/>
      <c r="C48" s="3158"/>
      <c r="D48" s="140">
        <f ca="1">IF(H48="情况1",0,IF(H48="情况2",D52,IF(H48="情况3",D53,IF(H48="情况4",D54))))</f>
        <v>75</v>
      </c>
      <c r="E48" s="1802" t="str">
        <f>IF(H48="情况4","(销售额-原购置价)×税（费）率","销售额×税（费）率")</f>
        <v>(销售额-原购置价)×税（费）率</v>
      </c>
      <c r="F48" s="175">
        <f>IF(H48="情况1","免征",'数据-取费表'!B41)</f>
        <v>5.5000000000000007E-2</v>
      </c>
      <c r="G48" s="2945">
        <v>41665</v>
      </c>
      <c r="H48" s="2485" t="s">
        <v>3117</v>
      </c>
      <c r="I48" s="2484"/>
      <c r="J48" s="1813">
        <v>3</v>
      </c>
      <c r="K48" s="3089" t="s">
        <v>2194</v>
      </c>
      <c r="L48" s="3089"/>
      <c r="M48" s="3092">
        <f ca="1">H101</f>
        <v>419</v>
      </c>
      <c r="N48" s="3092"/>
      <c r="O48" s="3092"/>
    </row>
    <row r="49" spans="1:35" ht="25.5" customHeight="1">
      <c r="A49" s="176" t="s">
        <v>2195</v>
      </c>
      <c r="B49" s="3137" t="s">
        <v>2196</v>
      </c>
      <c r="C49" s="3137"/>
      <c r="D49" s="177">
        <v>0</v>
      </c>
      <c r="E49" s="23" t="s">
        <v>2197</v>
      </c>
      <c r="F49" s="28" t="s">
        <v>34</v>
      </c>
      <c r="G49" s="3118"/>
      <c r="H49" s="138"/>
      <c r="I49" s="2486"/>
      <c r="J49" s="1813">
        <v>4</v>
      </c>
      <c r="K49" s="3089" t="str">
        <f>IF(项目基本情况!E8="房地产抵押价值","房地产抵押价值","抵押担保权已注销时的房地产抵押价值")</f>
        <v>房地产抵押价值</v>
      </c>
      <c r="L49" s="3089"/>
      <c r="M49" s="3092">
        <f ca="1">IF(项目基本情况!E8="房地产抵押价值",H107,H109)</f>
        <v>419</v>
      </c>
      <c r="N49" s="3092"/>
      <c r="O49" s="3092"/>
    </row>
    <row r="50" spans="1:35" ht="25.5" customHeight="1">
      <c r="A50" s="178"/>
      <c r="B50" s="3137" t="s">
        <v>2198</v>
      </c>
      <c r="C50" s="3137"/>
      <c r="D50" s="179"/>
      <c r="E50" s="31"/>
      <c r="F50" s="180"/>
      <c r="G50" s="3119"/>
      <c r="H50" s="138"/>
      <c r="I50" s="2486"/>
      <c r="J50" s="3089" t="s">
        <v>2199</v>
      </c>
      <c r="K50" s="3089"/>
      <c r="L50" s="3089"/>
      <c r="M50" s="3089"/>
      <c r="N50" s="3089"/>
      <c r="O50" s="3089"/>
    </row>
    <row r="51" spans="1:35" ht="12" customHeight="1">
      <c r="A51" s="181"/>
      <c r="B51" s="3137" t="s">
        <v>2200</v>
      </c>
      <c r="C51" s="3137"/>
      <c r="D51" s="182"/>
      <c r="E51" s="30"/>
      <c r="F51" s="180"/>
      <c r="G51" s="3120"/>
      <c r="H51" s="138"/>
      <c r="I51" s="2486"/>
      <c r="J51" s="2487" t="s">
        <v>2201</v>
      </c>
      <c r="K51" s="3089" t="s">
        <v>2202</v>
      </c>
      <c r="L51" s="3089"/>
      <c r="M51" s="2487" t="s">
        <v>2203</v>
      </c>
      <c r="N51" s="2487" t="s">
        <v>2204</v>
      </c>
      <c r="O51" s="2487" t="s">
        <v>2205</v>
      </c>
    </row>
    <row r="52" spans="1:35" ht="24" customHeight="1">
      <c r="A52" s="183" t="s">
        <v>2206</v>
      </c>
      <c r="B52" s="3137" t="s">
        <v>2207</v>
      </c>
      <c r="C52" s="3137"/>
      <c r="D52" s="182">
        <f ca="1">ROUND(D45*'数据-取费表'!B41/(1+'数据-取费表'!C42),0)</f>
        <v>132</v>
      </c>
      <c r="E52" s="11" t="s">
        <v>2208</v>
      </c>
      <c r="F52" s="184">
        <f>'数据-取费表'!B41</f>
        <v>5.5000000000000007E-2</v>
      </c>
      <c r="G52" s="2488"/>
      <c r="H52" s="138"/>
      <c r="I52" s="2486"/>
      <c r="J52" s="1813">
        <v>1</v>
      </c>
      <c r="K52" s="3112" t="s">
        <v>2209</v>
      </c>
      <c r="L52" s="3112"/>
      <c r="M52" s="1755">
        <f ca="1">D48</f>
        <v>75</v>
      </c>
      <c r="N52" s="1813" t="str">
        <f>E48</f>
        <v>(销售额-原购置价)×税（费）率</v>
      </c>
      <c r="O52" s="1756">
        <f>F48</f>
        <v>5.5000000000000007E-2</v>
      </c>
    </row>
    <row r="53" spans="1:35" ht="12" customHeight="1">
      <c r="A53" s="183" t="s">
        <v>2210</v>
      </c>
      <c r="B53" s="3138" t="s">
        <v>2211</v>
      </c>
      <c r="C53" s="3139"/>
      <c r="D53" s="182">
        <f ca="1">ROUND(D45*'数据-取费表'!B41/(1+'数据-取费表'!C42),0)</f>
        <v>132</v>
      </c>
      <c r="E53" s="11" t="s">
        <v>2208</v>
      </c>
      <c r="F53" s="184">
        <f>'数据-取费表'!B41</f>
        <v>5.5000000000000007E-2</v>
      </c>
      <c r="G53" s="2488"/>
      <c r="H53" s="138"/>
      <c r="I53" s="2486"/>
      <c r="J53" s="1813">
        <v>2</v>
      </c>
      <c r="K53" s="3112" t="s">
        <v>2212</v>
      </c>
      <c r="L53" s="3112"/>
      <c r="M53" s="1755">
        <f t="shared" ref="M53:O54" ca="1" si="0">D55</f>
        <v>1</v>
      </c>
      <c r="N53" s="1813" t="str">
        <f t="shared" si="0"/>
        <v>销售额×税（费）率</v>
      </c>
      <c r="O53" s="1756">
        <f t="shared" si="0"/>
        <v>5.0000000000000001E-4</v>
      </c>
    </row>
    <row r="54" spans="1:35" ht="12" customHeight="1">
      <c r="A54" s="183" t="s">
        <v>2213</v>
      </c>
      <c r="B54" s="3138" t="s">
        <v>2214</v>
      </c>
      <c r="C54" s="3139"/>
      <c r="D54" s="182">
        <f ca="1">C68</f>
        <v>75</v>
      </c>
      <c r="E54" s="30" t="s">
        <v>2215</v>
      </c>
      <c r="F54" s="184">
        <f>'数据-取费表'!B41</f>
        <v>5.5000000000000007E-2</v>
      </c>
      <c r="G54" s="2488"/>
      <c r="H54" s="2489"/>
      <c r="I54" s="2486"/>
      <c r="J54" s="1813">
        <v>3</v>
      </c>
      <c r="K54" s="3112" t="s">
        <v>2216</v>
      </c>
      <c r="L54" s="3112"/>
      <c r="M54" s="1755">
        <f t="shared" ca="1" si="0"/>
        <v>531</v>
      </c>
      <c r="N54" s="1813" t="str">
        <f t="shared" si="0"/>
        <v>增值额×税（费）率</v>
      </c>
      <c r="O54" s="1757" t="str">
        <f t="shared" si="0"/>
        <v>——</v>
      </c>
    </row>
    <row r="55" spans="1:35" ht="24" customHeight="1">
      <c r="A55" s="3176" t="s">
        <v>2217</v>
      </c>
      <c r="B55" s="3158"/>
      <c r="C55" s="3158"/>
      <c r="D55" s="185">
        <f ca="1">IF(H55="个人住宅",0,ROUND(D45*I55,0))</f>
        <v>1</v>
      </c>
      <c r="E55" s="11" t="s">
        <v>2218</v>
      </c>
      <c r="F55" s="184">
        <f>IF(H55="正常",I55,"免征")</f>
        <v>5.0000000000000001E-4</v>
      </c>
      <c r="G55" s="2488"/>
      <c r="H55" s="2485" t="s">
        <v>2219</v>
      </c>
      <c r="I55" s="186">
        <f>'数据-取费表'!B49</f>
        <v>5.0000000000000001E-4</v>
      </c>
      <c r="J55" s="1813">
        <f>IF(H59="非个人房产","",4)</f>
        <v>4</v>
      </c>
      <c r="K55" s="3112" t="str">
        <f>IF(H59="非个人房产","——","个人所得税")</f>
        <v>个人所得税</v>
      </c>
      <c r="L55" s="3112"/>
      <c r="M55" s="1758">
        <f ca="1">D59</f>
        <v>25</v>
      </c>
      <c r="N55" s="1811" t="str">
        <f>E59</f>
        <v>销售额×税（费）率</v>
      </c>
      <c r="O55" s="1759">
        <f>F59</f>
        <v>0.01</v>
      </c>
    </row>
    <row r="56" spans="1:35" ht="24.75">
      <c r="A56" s="3176" t="s">
        <v>2220</v>
      </c>
      <c r="B56" s="3158"/>
      <c r="C56" s="3158"/>
      <c r="D56" s="185">
        <f ca="1">IF(H56="个人住宅",D57,D58)</f>
        <v>531</v>
      </c>
      <c r="E56" s="11" t="s">
        <v>2221</v>
      </c>
      <c r="F56" s="184" t="str">
        <f>IF(H56="正常",F58,"免征")</f>
        <v>——</v>
      </c>
      <c r="G56" s="2490" t="s">
        <v>2222</v>
      </c>
      <c r="H56" s="2491" t="s">
        <v>2219</v>
      </c>
      <c r="I56" s="2492"/>
      <c r="J56" s="1813" t="str">
        <f>IF(项目基本情况!K6="上海银行",IF(J55="",4,J55+1),"")</f>
        <v/>
      </c>
      <c r="K56" s="3095" t="str">
        <f>IF(项目基本情况!K6="上海银行","其他处置费用","")</f>
        <v/>
      </c>
      <c r="L56" s="3096"/>
      <c r="M56" s="1755" t="str">
        <f>IF(项目基本情况!K6="上海银行",M69,"")</f>
        <v/>
      </c>
      <c r="N56" s="3098" t="str">
        <f>IF(项目基本情况!K6="上海银行","包含处置中涉及的律师、诉讼、拍卖、评估等费用","")</f>
        <v/>
      </c>
      <c r="O56" s="3099"/>
    </row>
    <row r="57" spans="1:35" ht="12.75">
      <c r="A57" s="183" t="s">
        <v>2195</v>
      </c>
      <c r="B57" s="3143" t="s">
        <v>2223</v>
      </c>
      <c r="C57" s="3144"/>
      <c r="D57" s="187">
        <v>0</v>
      </c>
      <c r="E57" s="23" t="s">
        <v>2197</v>
      </c>
      <c r="F57" s="155"/>
      <c r="G57" s="2488"/>
      <c r="H57" s="2492"/>
      <c r="I57" s="2492"/>
      <c r="J57" s="3112">
        <f>IF(AND(J55="",J56=""),4,IF(项目基本情况!K6="上海银行",结果表!J56+1,结果表!J55+1))</f>
        <v>5</v>
      </c>
      <c r="K57" s="3112" t="s">
        <v>2224</v>
      </c>
      <c r="L57" s="2493" t="s">
        <v>2225</v>
      </c>
      <c r="M57" s="1760"/>
      <c r="N57" s="1761">
        <f ca="1">SUMIF(M52:M56,"&lt;9e307")</f>
        <v>632</v>
      </c>
      <c r="O57" s="2494"/>
      <c r="P57" s="1754">
        <f ca="1">N57/M49</f>
        <v>1.5083532219570406</v>
      </c>
    </row>
    <row r="58" spans="1:35" ht="24.75">
      <c r="A58" s="183" t="s">
        <v>2206</v>
      </c>
      <c r="B58" s="3143" t="s">
        <v>2226</v>
      </c>
      <c r="C58" s="3156"/>
      <c r="D58" s="185">
        <f ca="1">IF(H58="转让取得",C81,C97)</f>
        <v>531</v>
      </c>
      <c r="E58" s="11" t="s">
        <v>2221</v>
      </c>
      <c r="F58" s="24" t="s">
        <v>34</v>
      </c>
      <c r="G58" s="2488"/>
      <c r="H58" s="2491" t="s">
        <v>3118</v>
      </c>
      <c r="I58" s="2492"/>
      <c r="J58" s="3112"/>
      <c r="K58" s="3112"/>
      <c r="L58" s="2493" t="s">
        <v>2227</v>
      </c>
      <c r="M58" s="1762"/>
      <c r="N58" s="2495" t="str">
        <f ca="1">NUMBERSTRING(INT(N57*10000),2)&amp;"元整"</f>
        <v>陆佰叁拾贰万元整</v>
      </c>
      <c r="O58" s="2496"/>
    </row>
    <row r="59" spans="1:35" ht="26.25" thickBot="1">
      <c r="A59" s="3116" t="s">
        <v>2228</v>
      </c>
      <c r="B59" s="3117"/>
      <c r="C59" s="3117"/>
      <c r="D59" s="188">
        <f ca="1">IF(H59="非个人房产","——",IF(H59="个人住宅",0,ROUND(D45*I59,0)))</f>
        <v>25</v>
      </c>
      <c r="E59" s="189" t="str">
        <f>IF(H59="非个人房产","——","销售额×税（费）率")</f>
        <v>销售额×税（费）率</v>
      </c>
      <c r="F59" s="190">
        <f>IF(H59="非个人房产","——",IF(H59="个人住宅","免征",I59))</f>
        <v>0.01</v>
      </c>
      <c r="G59" s="2497" t="s">
        <v>2222</v>
      </c>
      <c r="H59" s="2491" t="s">
        <v>3119</v>
      </c>
      <c r="I59" s="191">
        <v>0.01</v>
      </c>
      <c r="J59" s="3114">
        <f>J57+1</f>
        <v>6</v>
      </c>
      <c r="K59" s="3112" t="s">
        <v>2229</v>
      </c>
      <c r="L59" s="1813" t="s">
        <v>2225</v>
      </c>
      <c r="M59" s="1763"/>
      <c r="N59" s="1764">
        <f ca="1">M49-N57</f>
        <v>-213</v>
      </c>
      <c r="O59" s="2498"/>
    </row>
    <row r="60" spans="1:35" ht="12" customHeight="1">
      <c r="A60" s="2499"/>
      <c r="B60" s="2422"/>
      <c r="C60" s="2422"/>
      <c r="D60" s="2422"/>
      <c r="E60" s="2170"/>
      <c r="F60" s="2492"/>
      <c r="G60" s="2492"/>
      <c r="H60" s="2500"/>
      <c r="I60" s="138"/>
      <c r="J60" s="3115"/>
      <c r="K60" s="3112"/>
      <c r="L60" s="2493" t="s">
        <v>2227</v>
      </c>
      <c r="M60" s="1762"/>
      <c r="N60" s="2495" t="e">
        <f ca="1">NUMBERSTRING(INT(N59*10000),2)&amp;"元整"</f>
        <v>#NUM!</v>
      </c>
      <c r="O60" s="2496"/>
    </row>
    <row r="61" spans="1:35" ht="13.5" thickBot="1">
      <c r="A61" s="3175" t="s">
        <v>2230</v>
      </c>
      <c r="B61" s="3175"/>
      <c r="C61" s="3175"/>
      <c r="D61" s="3175"/>
      <c r="E61" s="3175"/>
      <c r="F61" s="2492"/>
      <c r="G61" s="2492"/>
      <c r="H61" s="2500"/>
      <c r="I61" s="138"/>
      <c r="J61" s="1813">
        <f>J59+1</f>
        <v>7</v>
      </c>
      <c r="K61" s="3112" t="s">
        <v>2231</v>
      </c>
      <c r="L61" s="3112"/>
      <c r="M61" s="1765"/>
      <c r="N61" s="1766">
        <f ca="1">ROUND(N59*10000/'数据-汇总表'!E3,0)</f>
        <v>-1682</v>
      </c>
      <c r="O61" s="2501"/>
    </row>
    <row r="62" spans="1:35" ht="12.75">
      <c r="A62" s="3132" t="s">
        <v>2232</v>
      </c>
      <c r="B62" s="3133"/>
      <c r="C62" s="1805"/>
      <c r="D62" s="1805" t="s">
        <v>2233</v>
      </c>
      <c r="E62" s="192" t="s">
        <v>2234</v>
      </c>
      <c r="F62" s="2492"/>
      <c r="G62" s="2492"/>
      <c r="H62" s="2500"/>
      <c r="I62" s="138"/>
    </row>
    <row r="63" spans="1:35" ht="12.75">
      <c r="A63" s="203" t="s">
        <v>775</v>
      </c>
      <c r="B63" s="193" t="s">
        <v>2235</v>
      </c>
      <c r="C63" s="194">
        <f ca="1">ROUND((C64+C65)/(1+'数据-取费表'!C42),0)</f>
        <v>2408</v>
      </c>
      <c r="D63" s="195"/>
      <c r="E63" s="196"/>
      <c r="F63" s="2492"/>
      <c r="G63" s="2492"/>
      <c r="H63" s="2500"/>
      <c r="I63" s="138"/>
      <c r="J63" s="3097" t="s">
        <v>2236</v>
      </c>
      <c r="K63" s="2502" t="s">
        <v>2237</v>
      </c>
      <c r="L63" s="1753">
        <f ca="1">IF(M49&gt;10000,M49*0.5%,IF(AND(M49&gt;1000,M49&lt;=10000),M49*1%,IF(AND(M49&gt;100,M49&lt;=1000),M49*3%,IF(AND(M49&gt;10,M49&lt;=100),M49*5%,M49*8%))))</f>
        <v>12.57</v>
      </c>
      <c r="M63" s="24">
        <f ca="1">ROUND(L63,1)</f>
        <v>12.6</v>
      </c>
      <c r="Z63" s="2427"/>
      <c r="AI63" s="2428"/>
    </row>
    <row r="64" spans="1:35" ht="14.25" customHeight="1">
      <c r="A64" s="197" t="s">
        <v>770</v>
      </c>
      <c r="B64" s="198" t="s">
        <v>2238</v>
      </c>
      <c r="C64" s="199">
        <f ca="1">D45</f>
        <v>2528</v>
      </c>
      <c r="D64" s="200" t="s">
        <v>32</v>
      </c>
      <c r="E64" s="201"/>
      <c r="F64" s="2492"/>
      <c r="G64" s="2492"/>
      <c r="H64" s="2500"/>
      <c r="I64" s="138"/>
      <c r="J64" s="3097"/>
      <c r="K64" s="2502" t="s">
        <v>2239</v>
      </c>
      <c r="L64" s="1753">
        <f ca="1">IF(M49&gt;2000,M49*0.5%,IF(AND(M49&gt;1000,M49&lt;=2000),M49*0.6%,IF(AND(M49&gt;500,M49&lt;=1000),M49*0.7%,IF(AND(M49&gt;200,M49&lt;=500),M49*0.8%,IF(AND(M49&gt;100,M49&lt;=200),M49*0.9%,IF(AND(M49&gt;50,M49&lt;=100),M49*1%,IF(AND(M49&gt;20,M49&lt;=50),M49*1.5%,IF(AND(M49&gt;10,M49&lt;=20),M49*2%,IF(AND(M49&gt;1,M49&lt;=10),M49*2.5%)))))))))</f>
        <v>3.3519999999999999</v>
      </c>
      <c r="M64" s="24">
        <f t="shared" ref="M64:M65" ca="1" si="1">ROUND(L64,1)</f>
        <v>3.4</v>
      </c>
      <c r="N64" s="138" t="s">
        <v>2240</v>
      </c>
      <c r="Z64" s="2427"/>
      <c r="AI64" s="2428"/>
    </row>
    <row r="65" spans="1:35" ht="14.25" customHeight="1">
      <c r="A65" s="197" t="s">
        <v>771</v>
      </c>
      <c r="B65" s="198" t="s">
        <v>2241</v>
      </c>
      <c r="C65" s="202"/>
      <c r="D65" s="200"/>
      <c r="E65" s="201"/>
      <c r="F65" s="2492"/>
      <c r="G65" s="2492"/>
      <c r="H65" s="2500"/>
      <c r="I65" s="138"/>
      <c r="J65" s="3097"/>
      <c r="K65" s="2502" t="s">
        <v>2242</v>
      </c>
      <c r="L65" s="1753">
        <f ca="1">IF(M49&gt;1000,M49*0.1%,IF(AND(M49&gt;500,M49&lt;=1000),M49*0.5%,IF(AND(M49&gt;50,M49&lt;=500),M49*1%,IF(AND(M49&gt;1,M49&lt;=50),M49*1.5%))))</f>
        <v>4.1900000000000004</v>
      </c>
      <c r="M65" s="24">
        <f t="shared" ca="1" si="1"/>
        <v>4.2</v>
      </c>
      <c r="N65" s="138" t="s">
        <v>2240</v>
      </c>
      <c r="Z65" s="2427"/>
      <c r="AI65" s="2428"/>
    </row>
    <row r="66" spans="1:35" ht="14.25" customHeight="1">
      <c r="A66" s="203" t="s">
        <v>772</v>
      </c>
      <c r="B66" s="204" t="s">
        <v>2243</v>
      </c>
      <c r="C66" s="205">
        <f ca="1">土增税估算!C30</f>
        <v>1044</v>
      </c>
      <c r="D66" s="206" t="s">
        <v>32</v>
      </c>
      <c r="E66" s="1777" t="s">
        <v>1372</v>
      </c>
      <c r="F66" s="2492"/>
      <c r="G66" s="2492"/>
      <c r="H66" s="2500"/>
      <c r="I66" s="138"/>
      <c r="J66" s="3097"/>
      <c r="K66" s="2502" t="s">
        <v>2244</v>
      </c>
      <c r="L66" s="1753">
        <f ca="1">M49*0.5%</f>
        <v>2.0950000000000002</v>
      </c>
      <c r="M66" s="24">
        <f ca="1">IF(L66&gt;0.5,0.5,ROUND(L66,0))</f>
        <v>0.5</v>
      </c>
      <c r="N66" s="138" t="s">
        <v>2245</v>
      </c>
      <c r="Z66" s="2427"/>
      <c r="AI66" s="2428"/>
    </row>
    <row r="67" spans="1:35" ht="14.25" customHeight="1">
      <c r="A67" s="203" t="s">
        <v>773</v>
      </c>
      <c r="B67" s="204" t="s">
        <v>2246</v>
      </c>
      <c r="C67" s="207">
        <f ca="1">C63-C66</f>
        <v>1364</v>
      </c>
      <c r="D67" s="200" t="s">
        <v>32</v>
      </c>
      <c r="E67" s="201"/>
      <c r="F67" s="2492"/>
      <c r="G67" s="2492"/>
      <c r="H67" s="2500"/>
      <c r="I67" s="138"/>
      <c r="J67" s="3097"/>
      <c r="K67" s="2502" t="s">
        <v>2247</v>
      </c>
      <c r="L67" s="1753">
        <f ca="1">IF(M49&gt;=10000,(8.25+(M49-10000)*0.01%),IF(AND(M49&gt;=8000,M49&lt;10000),(7.85+(M49-8000)*0.02%),IF(AND(M49&gt;=5000,M49&lt;8000),(6.65+(M49-5000)*0.04%),IF(AND(M49&gt;=2000,M49&lt;5000),(4.25+(PM49-2000)*0.08%),IF(AND(M49&gt;=1000,M49&lt;2000),(2.75+(M49-1000)*0.15%),IF(AND(M49&gt;=100,M49&lt;1000),(0.5+(M49-100)*0.25%),IF(AND(M49&gt;0,M49&lt;100),M49*0.5%)))))))</f>
        <v>1.2974999999999999</v>
      </c>
      <c r="M67" s="24">
        <f ca="1">ROUND(L67*0.9,1)</f>
        <v>1.2</v>
      </c>
      <c r="Z67" s="2427"/>
      <c r="AI67" s="2428"/>
    </row>
    <row r="68" spans="1:35" ht="14.25" customHeight="1" thickBot="1">
      <c r="A68" s="208" t="s">
        <v>774</v>
      </c>
      <c r="B68" s="209" t="s">
        <v>2248</v>
      </c>
      <c r="C68" s="210">
        <f ca="1">IF(C67&lt;=0,0,ROUND(C67*D68,0))</f>
        <v>75</v>
      </c>
      <c r="D68" s="211">
        <f>'数据-取费表'!B41</f>
        <v>5.5000000000000007E-2</v>
      </c>
      <c r="E68" s="212"/>
      <c r="F68" s="2492"/>
      <c r="G68" s="2492"/>
      <c r="H68" s="2500"/>
      <c r="I68" s="138"/>
      <c r="J68" s="3097"/>
      <c r="K68" s="2502" t="s">
        <v>2249</v>
      </c>
      <c r="L68" s="1753">
        <f ca="1">IF(M49&gt;10000,M49*0.5%,IF(AND(M49&gt;5000,M49&lt;=10000),M49*1%,IF(AND(M49&gt;1000,M49&lt;=5000),M49*2%,IF(AND(M49&gt;200,M49&lt;=1000),M49*3%,M49*5%))))</f>
        <v>12.57</v>
      </c>
      <c r="M68" s="24">
        <f ca="1">ROUND(L68,1)</f>
        <v>12.6</v>
      </c>
      <c r="Z68" s="2427"/>
      <c r="AI68" s="2428"/>
    </row>
    <row r="69" spans="1:35" s="2450" customFormat="1" ht="16.5" customHeight="1">
      <c r="A69" s="2503"/>
      <c r="B69" s="2504"/>
      <c r="C69" s="2505"/>
      <c r="D69" s="2506"/>
      <c r="E69" s="2507"/>
      <c r="F69" s="2170"/>
      <c r="G69" s="2170"/>
      <c r="H69" s="2169"/>
      <c r="I69" s="2422"/>
      <c r="J69" s="3097"/>
      <c r="K69" s="2502" t="s">
        <v>2250</v>
      </c>
      <c r="L69" s="2508"/>
      <c r="M69" s="24">
        <f ca="1">ROUND(SUM(M63:M68),0)</f>
        <v>35</v>
      </c>
      <c r="N69" s="1754">
        <f ca="1">M69/M49</f>
        <v>8.3532219570405727E-2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0" customFormat="1" ht="15" thickBot="1">
      <c r="A70" s="3141" t="s">
        <v>2251</v>
      </c>
      <c r="B70" s="3142"/>
      <c r="C70" s="3142"/>
      <c r="D70" s="3142"/>
      <c r="E70" s="3142"/>
      <c r="F70" s="3142"/>
      <c r="G70" s="3142"/>
      <c r="H70" s="3142"/>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32" t="s">
        <v>2232</v>
      </c>
      <c r="B71" s="3133"/>
      <c r="C71" s="1805"/>
      <c r="D71" s="1805" t="s">
        <v>2233</v>
      </c>
      <c r="E71" s="213" t="s">
        <v>2234</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2252</v>
      </c>
      <c r="C72" s="207">
        <f ca="1">ROUND(D45/(1+'数据-取费表'!C42),0)</f>
        <v>2408</v>
      </c>
      <c r="D72" s="200" t="s">
        <v>32</v>
      </c>
      <c r="E72" s="1804"/>
      <c r="F72" s="1798"/>
      <c r="G72" s="1798"/>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2253</v>
      </c>
      <c r="C73" s="207">
        <f ca="1">C74+C78</f>
        <v>1036</v>
      </c>
      <c r="D73" s="200" t="s">
        <v>32</v>
      </c>
      <c r="E73" s="1804"/>
      <c r="F73" s="1798"/>
      <c r="G73" s="1798"/>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2254</v>
      </c>
      <c r="C74" s="200">
        <f ca="1">ROUND(IF(G77="2016年5月1日后购买",C75/(1+'数据-取费表'!C42)+C76+C77,C75+C76+C77),0)</f>
        <v>1024</v>
      </c>
      <c r="D74" s="200" t="s">
        <v>32</v>
      </c>
      <c r="E74" s="1804"/>
      <c r="F74" s="1798"/>
      <c r="G74" s="1798"/>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2255</v>
      </c>
      <c r="C75" s="218">
        <f ca="1">土增税估算!C30</f>
        <v>1044</v>
      </c>
      <c r="D75" s="200" t="s">
        <v>32</v>
      </c>
      <c r="E75" s="219" t="s">
        <v>2256</v>
      </c>
      <c r="F75" s="2514" t="s">
        <v>2257</v>
      </c>
      <c r="G75" s="219" t="s">
        <v>2258</v>
      </c>
      <c r="H75" s="220">
        <v>10</v>
      </c>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2259</v>
      </c>
      <c r="C76" s="200">
        <f>IF(F75="购房发票",ROUND(C75*H75*D76,0),0)</f>
        <v>0</v>
      </c>
      <c r="D76" s="222">
        <v>0.05</v>
      </c>
      <c r="E76" s="3138" t="s">
        <v>2260</v>
      </c>
      <c r="F76" s="3137"/>
      <c r="G76" s="3137"/>
      <c r="H76" s="3140"/>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2261</v>
      </c>
      <c r="C77" s="200">
        <f ca="1">ROUND(IF(G77="个人住宅",0,IF(G77="2016年5月1日前购买",C75*D77,C75*D77/(1+'数据-取费表'!C42))),0)</f>
        <v>30</v>
      </c>
      <c r="D77" s="223">
        <f>'数据-取费表'!B48+'数据-取费表'!B49</f>
        <v>3.0499999999999999E-2</v>
      </c>
      <c r="E77" s="15" t="s">
        <v>2262</v>
      </c>
      <c r="F77" s="224"/>
      <c r="G77" s="2516" t="s">
        <v>2263</v>
      </c>
      <c r="H77" s="1809"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2264</v>
      </c>
      <c r="C78" s="225">
        <f ca="1">ROUND(D45*D78/(1+'数据-取费表'!C42),0)</f>
        <v>12</v>
      </c>
      <c r="D78" s="226">
        <f>'数据-取费表'!B43</f>
        <v>5.000000000000001E-3</v>
      </c>
      <c r="E78" s="3129" t="s">
        <v>2265</v>
      </c>
      <c r="F78" s="3130"/>
      <c r="G78" s="3130"/>
      <c r="H78" s="3131"/>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2266</v>
      </c>
      <c r="C79" s="207">
        <f ca="1">C72-C73</f>
        <v>1372</v>
      </c>
      <c r="D79" s="200" t="s">
        <v>32</v>
      </c>
      <c r="E79" s="1804"/>
      <c r="F79" s="1798"/>
      <c r="G79" s="1798"/>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2267</v>
      </c>
      <c r="C80" s="227">
        <f ca="1">IF(C79&lt;=0,0,C79/C73)</f>
        <v>1.3243243243243243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798"/>
      <c r="G80" s="1798"/>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2268</v>
      </c>
      <c r="C81" s="228">
        <f ca="1">ROUND(IF(C79&lt;=0,0,IF(C80&gt;=200%,C79*60%-C73*35%,IF(C80&gt;=100%,C79*50%-C73*15%,IF(C80&gt;=50%,C79*40%-C73*5%,IF(C80&lt;50%,C79*30%,0))))),0)</f>
        <v>531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41" t="s">
        <v>2269</v>
      </c>
      <c r="B83" s="3142"/>
      <c r="C83" s="3142"/>
      <c r="D83" s="3142"/>
      <c r="E83" s="3142"/>
      <c r="F83" s="3142"/>
      <c r="G83" s="3142"/>
      <c r="H83" s="3142"/>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32" t="s">
        <v>2232</v>
      </c>
      <c r="B84" s="3133"/>
      <c r="C84" s="1805"/>
      <c r="D84" s="1805" t="s">
        <v>2233</v>
      </c>
      <c r="E84" s="213" t="s">
        <v>2234</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2252</v>
      </c>
      <c r="C85" s="207">
        <f ca="1">ROUND(D45/(1+'数据-取费表'!C42),0)</f>
        <v>2408</v>
      </c>
      <c r="D85" s="200" t="s">
        <v>32</v>
      </c>
      <c r="E85" s="1804"/>
      <c r="F85" s="1798"/>
      <c r="G85" s="1798"/>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2253</v>
      </c>
      <c r="C86" s="207">
        <f ca="1">IF(H88="仅含出让金",C87+C90+C91+C92+C93+C94,C87+C91+C92+C93+C94)</f>
        <v>12</v>
      </c>
      <c r="D86" s="235"/>
      <c r="E86" s="1804"/>
      <c r="F86" s="1798"/>
      <c r="G86" s="1798"/>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2270</v>
      </c>
      <c r="C87" s="225">
        <f>C88+C89</f>
        <v>0</v>
      </c>
      <c r="D87" s="226"/>
      <c r="E87" s="1800"/>
      <c r="F87" s="1801"/>
      <c r="G87" s="1801"/>
      <c r="H87" s="1803"/>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2271</v>
      </c>
      <c r="C88" s="236"/>
      <c r="D88" s="226"/>
      <c r="E88" s="237" t="s">
        <v>2272</v>
      </c>
      <c r="F88" s="1801"/>
      <c r="G88" s="238" t="s">
        <v>2273</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2261</v>
      </c>
      <c r="C89" s="225">
        <f>ROUND(C88*D89,0)</f>
        <v>0</v>
      </c>
      <c r="D89" s="226">
        <f>'数据-取费表'!B48+'数据-取费表'!B49</f>
        <v>3.0499999999999999E-2</v>
      </c>
      <c r="E89" s="237" t="s">
        <v>2274</v>
      </c>
      <c r="F89" s="1801"/>
      <c r="G89" s="1801"/>
      <c r="H89" s="1803"/>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2275</v>
      </c>
      <c r="C90" s="236"/>
      <c r="D90" s="226"/>
      <c r="E90" s="237" t="str">
        <f>IF(H88="-","土地取得成本中已包含该笔费用"," ")</f>
        <v xml:space="preserve"> </v>
      </c>
      <c r="F90" s="1801"/>
      <c r="G90" s="1801"/>
      <c r="H90" s="1803"/>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2276</v>
      </c>
      <c r="B91" s="198" t="s">
        <v>2277</v>
      </c>
      <c r="C91" s="225">
        <f>IF(H91="——",成本法!C33,I91)</f>
        <v>0</v>
      </c>
      <c r="D91" s="226"/>
      <c r="E91" s="3129" t="s">
        <v>2278</v>
      </c>
      <c r="F91" s="3130"/>
      <c r="G91" s="3130"/>
      <c r="H91" s="2521" t="s">
        <v>2279</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2280</v>
      </c>
      <c r="B92" s="198" t="s">
        <v>2281</v>
      </c>
      <c r="C92" s="225">
        <f>ROUND((C87+C90+C91)*D92,0)</f>
        <v>0</v>
      </c>
      <c r="D92" s="226">
        <v>0.1</v>
      </c>
      <c r="E92" s="3129" t="s">
        <v>2282</v>
      </c>
      <c r="F92" s="3130"/>
      <c r="G92" s="3130"/>
      <c r="H92" s="3131"/>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2283</v>
      </c>
      <c r="B93" s="198" t="s">
        <v>2264</v>
      </c>
      <c r="C93" s="225">
        <f ca="1">ROUND(D45*D93/(1+'数据-取费表'!C42),0)</f>
        <v>12</v>
      </c>
      <c r="D93" s="226">
        <f>'数据-取费表'!B43</f>
        <v>5.000000000000001E-3</v>
      </c>
      <c r="E93" s="3129" t="s">
        <v>2265</v>
      </c>
      <c r="F93" s="3130"/>
      <c r="G93" s="3130"/>
      <c r="H93" s="3131"/>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2284</v>
      </c>
      <c r="B94" s="198" t="s">
        <v>2285</v>
      </c>
      <c r="C94" s="236">
        <f>ROUND((C87+C90+C91)*D94,0)</f>
        <v>0</v>
      </c>
      <c r="D94" s="226">
        <v>0.2</v>
      </c>
      <c r="E94" s="3177" t="s">
        <v>2286</v>
      </c>
      <c r="F94" s="3178"/>
      <c r="G94" s="3178"/>
      <c r="H94" s="3179"/>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2266</v>
      </c>
      <c r="C95" s="207">
        <f ca="1">ROUND(C85-C86,0)</f>
        <v>2396</v>
      </c>
      <c r="D95" s="200" t="s">
        <v>32</v>
      </c>
      <c r="E95" s="1804"/>
      <c r="F95" s="1798"/>
      <c r="G95" s="1798"/>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2267</v>
      </c>
      <c r="C96" s="227">
        <f ca="1">IF(C95&lt;=0,0,C95/C86)</f>
        <v>199.66666666666666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2268</v>
      </c>
      <c r="C97" s="228">
        <f ca="1">ROUND(IF(C95&lt;=0,0,IF(C96&gt;=200%,C95*60%-C86*35%,IF(C96&gt;=100%,C95*50%-C86*15%,IF(C96&gt;=50%,C95*40%-C86*5%,IF(C96&lt;50%,C95*30%,0))))),0)</f>
        <v>1433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2"/>
      <c r="C98" s="2422"/>
      <c r="D98" s="2422"/>
      <c r="E98" s="2170"/>
      <c r="F98" s="2170"/>
      <c r="G98" s="2170"/>
      <c r="H98" s="2169"/>
      <c r="I98" s="138"/>
    </row>
    <row r="99" spans="1:35" ht="21.75" customHeight="1" thickBot="1">
      <c r="A99" s="2478" t="s">
        <v>2287</v>
      </c>
      <c r="B99" s="2422"/>
      <c r="C99" s="2422"/>
      <c r="D99" s="2422"/>
      <c r="E99" s="2170"/>
      <c r="F99" s="2170"/>
      <c r="G99" s="2170"/>
      <c r="H99" s="2169"/>
      <c r="I99" s="138"/>
    </row>
    <row r="100" spans="1:35" ht="18.75" customHeight="1">
      <c r="A100" s="3081" t="s">
        <v>2288</v>
      </c>
      <c r="B100" s="3082"/>
      <c r="C100" s="3082"/>
      <c r="D100" s="3113"/>
      <c r="E100" s="3082" t="s">
        <v>2289</v>
      </c>
      <c r="F100" s="3082"/>
      <c r="G100" s="3082"/>
      <c r="H100" s="3113"/>
      <c r="I100" s="138"/>
    </row>
    <row r="101" spans="1:35" ht="18.75" customHeight="1">
      <c r="A101" s="3121" t="s">
        <v>2290</v>
      </c>
      <c r="B101" s="3122"/>
      <c r="C101" s="736" t="str">
        <f>C4</f>
        <v>比较法-办公</v>
      </c>
      <c r="D101" s="737" t="str">
        <f>D4</f>
        <v>收益法 (元)</v>
      </c>
      <c r="E101" s="3093" t="s">
        <v>2291</v>
      </c>
      <c r="F101" s="3094"/>
      <c r="G101" s="2523" t="s">
        <v>2292</v>
      </c>
      <c r="H101" s="1048">
        <f ca="1">H118</f>
        <v>419</v>
      </c>
      <c r="I101" s="138"/>
    </row>
    <row r="102" spans="1:35" ht="18.75" customHeight="1">
      <c r="A102" s="3123" t="s">
        <v>2293</v>
      </c>
      <c r="B102" s="2523" t="s">
        <v>2292</v>
      </c>
      <c r="C102" s="736">
        <f ca="1">C19</f>
        <v>438</v>
      </c>
      <c r="D102" s="737">
        <f ca="1">D19</f>
        <v>400</v>
      </c>
      <c r="E102" s="3093"/>
      <c r="F102" s="3094"/>
      <c r="G102" s="2523" t="s">
        <v>2294</v>
      </c>
      <c r="H102" s="371">
        <f ca="1">I118</f>
        <v>33323</v>
      </c>
      <c r="I102" s="138"/>
    </row>
    <row r="103" spans="1:35" ht="42.75" customHeight="1">
      <c r="A103" s="3123"/>
      <c r="B103" s="2523" t="s">
        <v>2294</v>
      </c>
      <c r="C103" s="738">
        <f ca="1">C20</f>
        <v>34832</v>
      </c>
      <c r="D103" s="739">
        <f ca="1">D20</f>
        <v>31820</v>
      </c>
      <c r="E103" s="3087" t="s">
        <v>3226</v>
      </c>
      <c r="F103" s="3088"/>
      <c r="G103" s="2524" t="s">
        <v>2295</v>
      </c>
      <c r="H103" s="1048">
        <f>IF(D36="正常操作",H104+H105+H106,H105+H106)</f>
        <v>0</v>
      </c>
      <c r="I103" s="138"/>
    </row>
    <row r="104" spans="1:35" ht="18.75" customHeight="1">
      <c r="A104" s="3123" t="s">
        <v>2296</v>
      </c>
      <c r="B104" s="2525" t="s">
        <v>2292</v>
      </c>
      <c r="C104" s="740">
        <f ca="1">H118</f>
        <v>419</v>
      </c>
      <c r="D104" s="741"/>
      <c r="E104" s="2271" t="s">
        <v>2297</v>
      </c>
      <c r="F104" s="2262"/>
      <c r="G104" s="2524" t="s">
        <v>2295</v>
      </c>
      <c r="H104" s="1049" t="str">
        <f>IF(D36="同一抵押权人同一抵押物续贷",C36&amp;"（未扣减，详见特别提示）",C36)</f>
        <v>1000（未扣减，详见特别提示）</v>
      </c>
      <c r="I104" s="138"/>
    </row>
    <row r="105" spans="1:35" ht="18.75" customHeight="1" thickBot="1">
      <c r="A105" s="3135"/>
      <c r="B105" s="2526" t="s">
        <v>2294</v>
      </c>
      <c r="C105" s="742">
        <f ca="1">I118</f>
        <v>33323</v>
      </c>
      <c r="D105" s="743"/>
      <c r="E105" s="2271" t="s">
        <v>2298</v>
      </c>
      <c r="F105" s="2262"/>
      <c r="G105" s="2524" t="s">
        <v>2295</v>
      </c>
      <c r="H105" s="1049">
        <f>C37</f>
        <v>0</v>
      </c>
      <c r="I105" s="138"/>
    </row>
    <row r="106" spans="1:35" ht="18.75" customHeight="1">
      <c r="A106" s="2422" t="s">
        <v>2299</v>
      </c>
      <c r="B106" s="2422"/>
      <c r="C106" s="2422"/>
      <c r="D106" s="2422"/>
      <c r="E106" s="2527" t="s">
        <v>2300</v>
      </c>
      <c r="F106" s="2262"/>
      <c r="G106" s="2524" t="s">
        <v>2295</v>
      </c>
      <c r="H106" s="1049">
        <f>C38</f>
        <v>0</v>
      </c>
      <c r="I106" s="138"/>
    </row>
    <row r="107" spans="1:35" ht="18.75" customHeight="1">
      <c r="A107" s="138"/>
      <c r="B107" s="138"/>
      <c r="C107" s="138"/>
      <c r="D107" s="138"/>
      <c r="E107" s="3124" t="str">
        <f>IF(项目基本情况!E8="已注销","——","3.房地产抵押价值")</f>
        <v>3.房地产抵押价值</v>
      </c>
      <c r="F107" s="3094"/>
      <c r="G107" s="2523" t="s">
        <v>2292</v>
      </c>
      <c r="H107" s="1048">
        <f ca="1">IF(E107="——","——",H101-H103)</f>
        <v>419</v>
      </c>
      <c r="I107" s="138"/>
    </row>
    <row r="108" spans="1:35" ht="18.75" customHeight="1">
      <c r="A108" s="138"/>
      <c r="B108" s="138"/>
      <c r="C108" s="138"/>
      <c r="D108" s="138"/>
      <c r="E108" s="3124"/>
      <c r="F108" s="3094"/>
      <c r="G108" s="2523" t="s">
        <v>2294</v>
      </c>
      <c r="H108" s="371">
        <f ca="1">ROUND(H107*10000/'数据-汇总表'!E3,0)</f>
        <v>3308</v>
      </c>
      <c r="I108" s="138"/>
    </row>
    <row r="109" spans="1:35" ht="18.75" hidden="1"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094"/>
      <c r="G109" s="2523" t="s">
        <v>2292</v>
      </c>
      <c r="H109" s="348" t="str">
        <f>IF(E109="——","——",H101-H105-H106)</f>
        <v>——</v>
      </c>
      <c r="I109" s="138"/>
    </row>
    <row r="110" spans="1:35" ht="18.75" hidden="1" customHeight="1">
      <c r="A110" s="138"/>
      <c r="B110" s="138"/>
      <c r="C110" s="138"/>
      <c r="D110" s="138"/>
      <c r="E110" s="3124"/>
      <c r="F110" s="3094"/>
      <c r="G110" s="2523" t="s">
        <v>2294</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4.抵押净值</v>
      </c>
      <c r="F111" s="3126"/>
      <c r="G111" s="2523" t="s">
        <v>2292</v>
      </c>
      <c r="H111" s="1048">
        <f ca="1">IF(E111="——","——",N59)</f>
        <v>-213</v>
      </c>
      <c r="I111" s="138"/>
    </row>
    <row r="112" spans="1:35" ht="18.75" customHeight="1" thickBot="1">
      <c r="A112" s="138"/>
      <c r="B112" s="138"/>
      <c r="C112" s="138"/>
      <c r="D112" s="138"/>
      <c r="E112" s="3127"/>
      <c r="F112" s="3128"/>
      <c r="G112" s="2528" t="s">
        <v>2294</v>
      </c>
      <c r="H112" s="790">
        <f ca="1">IF(E111="——","——",N61)</f>
        <v>-1682</v>
      </c>
      <c r="I112" s="138"/>
    </row>
    <row r="113" spans="1:11" ht="18.75" customHeight="1">
      <c r="A113" s="138"/>
      <c r="B113" s="138"/>
      <c r="C113" s="138"/>
      <c r="D113" s="138"/>
      <c r="E113" s="3136" t="s">
        <v>2299</v>
      </c>
      <c r="F113" s="3136"/>
      <c r="G113" s="3136"/>
      <c r="H113" s="3136"/>
      <c r="I113" s="138"/>
    </row>
    <row r="114" spans="1:11" ht="3.75" customHeight="1">
      <c r="A114" s="2422"/>
      <c r="B114" s="2422"/>
      <c r="C114" s="2422"/>
      <c r="D114" s="2422"/>
      <c r="E114" s="2499"/>
      <c r="F114" s="2499"/>
      <c r="G114" s="2499"/>
      <c r="H114" s="2499"/>
      <c r="I114" s="2422"/>
    </row>
    <row r="115" spans="1:11" ht="18.75" customHeight="1">
      <c r="A115" s="3149" t="s">
        <v>2301</v>
      </c>
      <c r="B115" s="3150"/>
      <c r="C115" s="3150"/>
      <c r="D115" s="3150"/>
      <c r="E115" s="3150"/>
      <c r="F115" s="3150"/>
      <c r="G115" s="3150"/>
      <c r="H115" s="3150"/>
      <c r="I115" s="3151"/>
    </row>
    <row r="116" spans="1:11" ht="27" customHeight="1">
      <c r="A116" s="3060" t="s">
        <v>2302</v>
      </c>
      <c r="B116" s="3103" t="s">
        <v>3140</v>
      </c>
      <c r="C116" s="3103" t="s">
        <v>3139</v>
      </c>
      <c r="D116" s="3109" t="s">
        <v>2303</v>
      </c>
      <c r="E116" s="3110"/>
      <c r="F116" s="3145" t="s">
        <v>2304</v>
      </c>
      <c r="G116" s="3145"/>
      <c r="H116" s="3060" t="s">
        <v>2305</v>
      </c>
      <c r="I116" s="3060"/>
    </row>
    <row r="117" spans="1:11" ht="18.75" customHeight="1">
      <c r="A117" s="3060"/>
      <c r="B117" s="3104"/>
      <c r="C117" s="3104"/>
      <c r="D117" s="1799" t="s">
        <v>2306</v>
      </c>
      <c r="E117" s="1799" t="s">
        <v>2307</v>
      </c>
      <c r="F117" s="1799" t="s">
        <v>2306</v>
      </c>
      <c r="G117" s="1799" t="s">
        <v>2308</v>
      </c>
      <c r="H117" s="1799" t="s">
        <v>2306</v>
      </c>
      <c r="I117" s="1799" t="s">
        <v>2308</v>
      </c>
    </row>
    <row r="118" spans="1:11" ht="50.25" customHeight="1">
      <c r="A118" s="2529" t="str">
        <f>项目基本情况!S2</f>
        <v>北京市顺义区天竺地区小天竺路一号院1号楼101-112号办公用房房地产</v>
      </c>
      <c r="B118" s="1799">
        <f>M18</f>
        <v>125.74</v>
      </c>
      <c r="C118" s="1799">
        <f>M19</f>
        <v>0</v>
      </c>
      <c r="D118" s="1799">
        <f ca="1">ROUND(IF(D32="总价",C34,E118*B118/10000),0)</f>
        <v>326</v>
      </c>
      <c r="E118" s="1799">
        <f ca="1">ROUND(IF(C33="自定义",IF(D32="楼面单价",C34,D118*10000/B118),I118-G118),0)</f>
        <v>25927</v>
      </c>
      <c r="F118" s="1799">
        <f ca="1">ROUND(IF(D32="总价",C35,G118*B118/10000),0)</f>
        <v>93</v>
      </c>
      <c r="G118" s="1799">
        <f ca="1">ROUND(IF(D32="楼面单价",C35,F118*10000/B118),0)</f>
        <v>7396</v>
      </c>
      <c r="H118" s="1799">
        <f ca="1">ROUND(IF(D32="总价",C32,I118*B118/10000),0)</f>
        <v>419</v>
      </c>
      <c r="I118" s="1799">
        <f ca="1">ROUND(IF(D32="楼面单价",C32,H118*10000/B118),0)</f>
        <v>33323</v>
      </c>
    </row>
    <row r="119" spans="1:11" ht="18.75" customHeight="1">
      <c r="A119" s="3060" t="s">
        <v>2309</v>
      </c>
      <c r="B119" s="3060"/>
      <c r="C119" s="3060"/>
      <c r="D119" s="3105" t="str">
        <f ca="1">NUMBERSTRING(INT(D118*10000),2)&amp;"元整"</f>
        <v>叁佰贰拾陆万元整</v>
      </c>
      <c r="E119" s="3106"/>
      <c r="F119" s="3105" t="str">
        <f ca="1">NUMBERSTRING(INT(F118*10000),2)&amp;"元整"</f>
        <v>玖拾叁万元整</v>
      </c>
      <c r="G119" s="3106"/>
      <c r="H119" s="3105" t="str">
        <f ca="1">NUMBERSTRING(INT(H118*10000),2)&amp;"元整"</f>
        <v>肆佰壹拾玖万元整</v>
      </c>
      <c r="I119" s="3106"/>
    </row>
    <row r="120" spans="1:11" ht="15">
      <c r="A120" s="3100" t="str">
        <f>IF(项目基本情况!B9="房地产市场价值","",MID(E103,3,LEN(E103)-2))</f>
        <v>估价师知悉的除抵押担保权以外的法定优先受偿款</v>
      </c>
      <c r="B120" s="3101"/>
      <c r="C120" s="3102"/>
      <c r="D120" s="3100">
        <f>H103</f>
        <v>0</v>
      </c>
      <c r="E120" s="3101"/>
      <c r="F120" s="3101"/>
      <c r="G120" s="3101"/>
      <c r="H120" s="3101"/>
      <c r="I120" s="3102"/>
      <c r="K120" s="2427" t="str">
        <f>IF(D120=0,"故，本次评估不存在"&amp;A120,"故，本次评估"&amp;A120&amp;"为人民币"&amp;D120&amp;"万元整。")</f>
        <v>故，本次评估不存在估价师知悉的除抵押担保权以外的法定优先受偿款</v>
      </c>
    </row>
    <row r="121" spans="1:11" ht="18.75" customHeight="1">
      <c r="A121" s="3146" t="s">
        <v>2309</v>
      </c>
      <c r="B121" s="3147"/>
      <c r="C121" s="3148"/>
      <c r="D121" s="3105" t="str">
        <f>IF(D120=0,"零元整",NUMBERSTRING(INT(D120*10000),2)&amp;"元整")</f>
        <v>零元整</v>
      </c>
      <c r="E121" s="3107"/>
      <c r="F121" s="3107"/>
      <c r="G121" s="3107"/>
      <c r="H121" s="3107"/>
      <c r="I121" s="3106"/>
    </row>
    <row r="122" spans="1:11" ht="18.75" customHeight="1">
      <c r="A122" s="3111" t="str">
        <f>IF(项目基本情况!B9="房地产市场价值","",MID(E107,3,LEN(E107)-2))</f>
        <v>房地产抵押价值</v>
      </c>
      <c r="B122" s="3111"/>
      <c r="C122" s="3111"/>
      <c r="D122" s="3100">
        <f ca="1">H107</f>
        <v>419</v>
      </c>
      <c r="E122" s="3101"/>
      <c r="F122" s="3101"/>
      <c r="G122" s="3101"/>
      <c r="H122" s="3101"/>
      <c r="I122" s="3102"/>
    </row>
    <row r="123" spans="1:11" ht="18.75" customHeight="1">
      <c r="A123" s="3060" t="s">
        <v>2309</v>
      </c>
      <c r="B123" s="3060"/>
      <c r="C123" s="3060"/>
      <c r="D123" s="3105" t="str">
        <f ca="1">NUMBERSTRING(INT(D122*10000),2)&amp;"元整"</f>
        <v>肆佰壹拾玖万元整</v>
      </c>
      <c r="E123" s="3107"/>
      <c r="F123" s="3107"/>
      <c r="G123" s="3107"/>
      <c r="H123" s="3107"/>
      <c r="I123" s="3106"/>
    </row>
    <row r="124" spans="1:11" ht="18.75" hidden="1" customHeight="1">
      <c r="A124" s="3111" t="str">
        <f>IF(项目基本情况!B9="房地产市场价值","",MID(E109,3,LEN(E109)-2))</f>
        <v/>
      </c>
      <c r="B124" s="3111"/>
      <c r="C124" s="3111"/>
      <c r="D124" s="3100" t="str">
        <f>H109</f>
        <v>——</v>
      </c>
      <c r="E124" s="3101"/>
      <c r="F124" s="3101"/>
      <c r="G124" s="3101"/>
      <c r="H124" s="3101"/>
      <c r="I124" s="3102"/>
    </row>
    <row r="125" spans="1:11" ht="18.75" hidden="1" customHeight="1">
      <c r="A125" s="3060" t="s">
        <v>2309</v>
      </c>
      <c r="B125" s="3060"/>
      <c r="C125" s="3060"/>
      <c r="D125" s="3105" t="e">
        <f>NUMBERSTRING(INT(D124*10000),2)&amp;"元整"</f>
        <v>#VALUE!</v>
      </c>
      <c r="E125" s="3107"/>
      <c r="F125" s="3107"/>
      <c r="G125" s="3107"/>
      <c r="H125" s="3107"/>
      <c r="I125" s="3106"/>
    </row>
    <row r="126" spans="1:11" ht="18.75" customHeight="1">
      <c r="A126" s="3111" t="str">
        <f>IF(项目基本情况!B9="房地产市场价值","",MID(E111,3,LEN(E111)-2))</f>
        <v>抵押净值</v>
      </c>
      <c r="B126" s="3111"/>
      <c r="C126" s="3111"/>
      <c r="D126" s="3100">
        <f ca="1">H111</f>
        <v>-213</v>
      </c>
      <c r="E126" s="3101"/>
      <c r="F126" s="3101"/>
      <c r="G126" s="3101"/>
      <c r="H126" s="3101"/>
      <c r="I126" s="3102"/>
    </row>
    <row r="127" spans="1:11" ht="18.75" customHeight="1">
      <c r="A127" s="3060" t="s">
        <v>2309</v>
      </c>
      <c r="B127" s="3060"/>
      <c r="C127" s="3060"/>
      <c r="D127" s="3105" t="e">
        <f ca="1">NUMBERSTRING(INT(D126*10000),2)&amp;"元整"</f>
        <v>#NUM!</v>
      </c>
      <c r="E127" s="3107"/>
      <c r="F127" s="3107"/>
      <c r="G127" s="3107"/>
      <c r="H127" s="3107"/>
      <c r="I127" s="3106"/>
    </row>
    <row r="128" spans="1:11" ht="21.75" customHeight="1">
      <c r="A128" s="3108" t="s">
        <v>2310</v>
      </c>
      <c r="B128" s="3108"/>
      <c r="C128" s="3108"/>
      <c r="D128" s="3108"/>
      <c r="E128" s="3108"/>
      <c r="F128" s="3108"/>
      <c r="G128" s="3108"/>
      <c r="H128" s="3108"/>
      <c r="I128" s="3108"/>
    </row>
    <row r="129" spans="1:35" ht="21.75" customHeight="1">
      <c r="A129" s="2530" t="s">
        <v>2311</v>
      </c>
      <c r="B129" s="2531"/>
      <c r="C129" s="2532" t="s">
        <v>2312</v>
      </c>
      <c r="D129" s="2533"/>
      <c r="E129" s="2533"/>
      <c r="F129" s="2533"/>
      <c r="G129" s="2533"/>
      <c r="H129" s="2534"/>
      <c r="I129" s="2535"/>
    </row>
    <row r="130" spans="1:35" ht="21.75" customHeight="1">
      <c r="A130" s="2536">
        <v>1</v>
      </c>
      <c r="B130" s="2537"/>
      <c r="C130" s="2537"/>
      <c r="D130" s="2538"/>
      <c r="E130" s="2538"/>
      <c r="F130" s="2538"/>
      <c r="G130" s="2946" t="s">
        <v>3133</v>
      </c>
      <c r="H130" s="2947" t="s">
        <v>3134</v>
      </c>
      <c r="I130" s="2540"/>
    </row>
    <row r="131" spans="1:35" ht="21.75" customHeight="1">
      <c r="A131" s="2536">
        <v>2</v>
      </c>
      <c r="B131" s="2537"/>
      <c r="C131" s="2537"/>
      <c r="D131" s="2538"/>
      <c r="E131" s="2946" t="s">
        <v>3137</v>
      </c>
      <c r="F131" s="2946" t="s">
        <v>3135</v>
      </c>
      <c r="G131" s="2538">
        <f ca="1">典型户型修正!S22</f>
        <v>4214</v>
      </c>
      <c r="H131" s="2539">
        <f ca="1">典型户型修正!R22</f>
        <v>33269</v>
      </c>
      <c r="I131" s="2540"/>
    </row>
    <row r="132" spans="1:35" ht="21.75" customHeight="1">
      <c r="A132" s="2536">
        <v>3</v>
      </c>
      <c r="B132" s="2537"/>
      <c r="C132" s="2537"/>
      <c r="D132" s="2538"/>
      <c r="E132" s="2538">
        <f ca="1">N57</f>
        <v>632</v>
      </c>
      <c r="F132" s="2946" t="s">
        <v>3136</v>
      </c>
      <c r="G132" s="2538">
        <f ca="1">G131-E132</f>
        <v>3582</v>
      </c>
      <c r="H132" s="2539">
        <f ca="1">ROUND(G132/'数据-汇总表'!E3*10000,0)</f>
        <v>28279</v>
      </c>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2313</v>
      </c>
      <c r="G135" s="2547"/>
      <c r="H135" s="2547"/>
      <c r="I135" s="2548" t="s">
        <v>2314</v>
      </c>
    </row>
    <row r="136" spans="1:35" ht="21.75" customHeight="1">
      <c r="A136" s="795"/>
      <c r="B136" s="254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2316</v>
      </c>
    </row>
    <row r="139" spans="1:35" ht="21.75" customHeight="1">
      <c r="A139" s="795"/>
      <c r="B139" s="2549" t="s">
        <v>2317</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2316</v>
      </c>
    </row>
    <row r="142" spans="1:35" ht="21.75" customHeight="1">
      <c r="A142" s="795"/>
      <c r="B142" s="2549"/>
      <c r="C142" s="2550"/>
      <c r="D142" s="2551"/>
      <c r="E142" s="2551"/>
      <c r="F142" s="2345"/>
      <c r="G142" s="795"/>
      <c r="H142" s="795"/>
      <c r="I142" s="795"/>
    </row>
    <row r="143" spans="1:35" s="139" customFormat="1" ht="21.75" customHeight="1">
      <c r="A143" s="795"/>
      <c r="B143" s="2549"/>
      <c r="C143" s="2550"/>
      <c r="D143" s="2551"/>
      <c r="E143" s="2551"/>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49" sqref="G4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41"/>
      <c r="C1" s="242"/>
      <c r="D1" s="242"/>
      <c r="E1" s="242"/>
      <c r="F1" s="242"/>
      <c r="G1" s="1382">
        <f>MATCH(B1,'数据-取费表'!A6:A16,0)+5</f>
        <v>8</v>
      </c>
    </row>
    <row r="2" spans="1:9" s="244" customFormat="1" ht="18" customHeight="1">
      <c r="A2" s="245" t="s">
        <v>2319</v>
      </c>
      <c r="B2" s="246">
        <f ca="1">IF(D2="——",C52,C52-E2)</f>
        <v>524</v>
      </c>
      <c r="C2" s="243" t="s">
        <v>2320</v>
      </c>
      <c r="D2" s="2552" t="s">
        <v>70</v>
      </c>
      <c r="E2" s="1443" t="e">
        <f ca="1">SUMIF(INDIRECT("'"&amp;G2&amp;"'"&amp;"!A:A"),"承租人权益价值",INDIRECT("'"&amp;G2&amp;"'"&amp;"!c:c"))</f>
        <v>#REF!</v>
      </c>
      <c r="F2" s="2553" t="s">
        <v>2320</v>
      </c>
      <c r="G2" s="2554"/>
    </row>
    <row r="3" spans="1:9" s="244" customFormat="1" ht="18" customHeight="1" thickBot="1">
      <c r="A3" s="247" t="s">
        <v>2321</v>
      </c>
      <c r="B3" s="248">
        <f ca="1">ROUND(B2*10000/(IF(B1="",'数据-汇总表'!E3,INDIRECT("'数据-取费表'!k"&amp;$G$1))),0)</f>
        <v>4137</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0</v>
      </c>
      <c r="D5" s="255" t="s">
        <v>2326</v>
      </c>
      <c r="E5" s="256" t="s">
        <v>2327</v>
      </c>
      <c r="F5" s="256" t="s">
        <v>2328</v>
      </c>
      <c r="G5" s="257"/>
    </row>
    <row r="6" spans="1:9" s="258" customFormat="1" ht="13.5" customHeight="1">
      <c r="A6" s="952" t="s">
        <v>2329</v>
      </c>
      <c r="B6" s="259" t="s">
        <v>2330</v>
      </c>
      <c r="C6" s="260"/>
      <c r="D6" s="261"/>
      <c r="E6" s="262"/>
      <c r="F6" s="262"/>
      <c r="G6" s="263"/>
    </row>
    <row r="7" spans="1:9" s="258" customFormat="1" ht="13.5" customHeight="1">
      <c r="A7" s="952" t="s">
        <v>2331</v>
      </c>
      <c r="B7" s="259" t="s">
        <v>2332</v>
      </c>
      <c r="C7" s="264">
        <f>ROUND(C6*F7,0)</f>
        <v>0</v>
      </c>
      <c r="D7" s="264"/>
      <c r="E7" s="262"/>
      <c r="F7" s="265">
        <f>'数据-取费表'!B48+'数据-取费表'!B49</f>
        <v>3.0499999999999999E-2</v>
      </c>
      <c r="G7" s="263"/>
    </row>
    <row r="8" spans="1:9" s="267" customFormat="1">
      <c r="A8" s="952" t="s">
        <v>2333</v>
      </c>
      <c r="B8" s="259" t="s">
        <v>2334</v>
      </c>
      <c r="C8" s="264">
        <f>IF(G8="已包含在土地购买价格中","0",IF(B1="",'数据-取费表'!B29,IF(G9="全部缴纳",C9+C10,H9)))</f>
        <v>0</v>
      </c>
      <c r="D8" s="266"/>
      <c r="E8" s="264"/>
      <c r="F8" s="265"/>
      <c r="G8" s="2555"/>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0</v>
      </c>
      <c r="F9" s="265"/>
      <c r="G9" s="2556"/>
      <c r="H9" s="1393"/>
      <c r="I9" s="2557" t="s">
        <v>2336</v>
      </c>
    </row>
    <row r="10" spans="1:9" s="258" customFormat="1" ht="13.5" customHeight="1">
      <c r="A10" s="953" t="s">
        <v>801</v>
      </c>
      <c r="B10" s="268" t="s">
        <v>2337</v>
      </c>
      <c r="C10" s="269">
        <f ca="1">ROUND(D10*E10/10000,0)</f>
        <v>0</v>
      </c>
      <c r="D10" s="1035">
        <f ca="1">IF(B1="",'数据-汇总表'!E6,IF(INDIRECT("'数据-取费表'!c"&amp;$G$1)="住宅",INDIRECT("'数据-取费表'!s"&amp;$G$1),INDIRECT("'数据-取费表'!k"&amp;$G$1)+INDIRECT("'数据-取费表'!s"&amp;$G$1)))</f>
        <v>1266.6499999999999</v>
      </c>
      <c r="E10" s="269">
        <f>'数据-取费表'!B28</f>
        <v>0</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f ca="1">IF(G19="已包含在土地取得成本中","0",ROUND(D19*E19/10000,0))</f>
        <v>25</v>
      </c>
      <c r="D19" s="1039">
        <f ca="1">D9+D10</f>
        <v>1266.6499999999999</v>
      </c>
      <c r="E19" s="255">
        <f>'数据-取费表'!B31</f>
        <v>200</v>
      </c>
      <c r="F19" s="275"/>
      <c r="G19" s="2555"/>
    </row>
    <row r="20" spans="1:7" s="258" customFormat="1" ht="13.5" customHeight="1">
      <c r="A20" s="299" t="s">
        <v>2350</v>
      </c>
      <c r="B20" s="254" t="s">
        <v>2351</v>
      </c>
      <c r="C20" s="276">
        <f ca="1">ROUND((C5+C19)*F20,0)</f>
        <v>1</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7">
        <f ca="1">ROUND(SUM(C23:C25),0)</f>
        <v>2</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4" t="s">
        <v>2359</v>
      </c>
      <c r="B23" s="259" t="s">
        <v>2360</v>
      </c>
      <c r="C23" s="1358">
        <f ca="1">ROUND(IF('数据-取费表'!B22&lt;=1,C5*F22*'数据-取费表'!B23,C5*(POWER((1+F22),'数据-取费表'!B23)-1)),0)</f>
        <v>0</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2</v>
      </c>
      <c r="D24" s="282"/>
      <c r="E24" s="282"/>
      <c r="F24" s="283"/>
      <c r="G24" s="284" t="s">
        <v>2364</v>
      </c>
    </row>
    <row r="25" spans="1:7" s="258" customFormat="1" ht="24">
      <c r="A25" s="954" t="s">
        <v>2365</v>
      </c>
      <c r="B25" s="259" t="s">
        <v>2366</v>
      </c>
      <c r="C25" s="1358">
        <f ca="1">ROUND(IF('数据-取费表'!B22&lt;=1,C20*F22*'数据-取费表'!B23/2,C20*(POWER((1+F22),'数据-取费表'!B23/2)-1)),0)</f>
        <v>0</v>
      </c>
      <c r="D25" s="282"/>
      <c r="E25" s="285"/>
      <c r="F25" s="283"/>
      <c r="G25" s="286" t="s">
        <v>2367</v>
      </c>
    </row>
    <row r="26" spans="1:7" s="258" customFormat="1">
      <c r="A26" s="954" t="s">
        <v>795</v>
      </c>
      <c r="B26" s="259" t="s">
        <v>2368</v>
      </c>
      <c r="C26" s="282">
        <f ca="1">ROUND(IF('数据-取费表'!B22&lt;=1,F21*F22*'数据-取费表'!B23/2,F21*(POWER((1+F22),'数据-取费表'!B23/2)-1)),4)</f>
        <v>6.9999999999999999E-4</v>
      </c>
      <c r="D26" s="282"/>
      <c r="E26" s="285"/>
      <c r="F26" s="283"/>
      <c r="G26" s="287"/>
    </row>
    <row r="27" spans="1:7" s="258" customFormat="1" ht="24.75">
      <c r="A27" s="299" t="s">
        <v>2369</v>
      </c>
      <c r="B27" s="288" t="s">
        <v>2370</v>
      </c>
      <c r="C27" s="289">
        <f ca="1">C28</f>
        <v>7</v>
      </c>
      <c r="D27" s="279">
        <f ca="1">C29</f>
        <v>5.0000000000000001E-3</v>
      </c>
      <c r="E27" s="280" t="s">
        <v>2371</v>
      </c>
      <c r="F27" s="290">
        <f ca="1">IF(B1="",'数据-取费表'!Q16,INDIRECT("'数据-取费表'!q"&amp;$G$1))</f>
        <v>0.25</v>
      </c>
      <c r="G27" s="291" t="s">
        <v>2372</v>
      </c>
    </row>
    <row r="28" spans="1:7" s="258" customFormat="1" ht="13.5" customHeight="1">
      <c r="A28" s="954" t="s">
        <v>791</v>
      </c>
      <c r="B28" s="292" t="s">
        <v>2373</v>
      </c>
      <c r="C28" s="293">
        <f ca="1">ROUND((C5+C19+C20)*F27*'数据-取费表'!B21/'数据-取费表'!B20,0)</f>
        <v>7</v>
      </c>
      <c r="D28" s="279"/>
      <c r="E28" s="280"/>
      <c r="F28" s="290"/>
      <c r="G28" s="291"/>
    </row>
    <row r="29" spans="1:7" s="258" customFormat="1" ht="13.5" customHeight="1">
      <c r="A29" s="954" t="s">
        <v>792</v>
      </c>
      <c r="B29" s="292" t="s">
        <v>2374</v>
      </c>
      <c r="C29" s="282">
        <f ca="1">ROUND(C21*F27*'数据-取费表'!B21/'数据-取费表'!B20,4)</f>
        <v>5.0000000000000001E-3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38</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402</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354</v>
      </c>
      <c r="D34" s="261"/>
      <c r="E34" s="264"/>
      <c r="F34" s="301">
        <f ca="1">IF('数据-取费表'!B24=0,1,IF(B1="",'数据-取费表'!N16,INDIRECT("'数据-取费表'!n"&amp;$G$1)))</f>
        <v>1</v>
      </c>
      <c r="G34" s="263" t="s">
        <v>2383</v>
      </c>
    </row>
    <row r="35" spans="1:7" ht="13.5" customHeight="1">
      <c r="A35" s="954" t="s">
        <v>796</v>
      </c>
      <c r="B35" s="259" t="s">
        <v>2384</v>
      </c>
      <c r="C35" s="264">
        <f ca="1">ROUND(C34*F35,0)</f>
        <v>18</v>
      </c>
      <c r="D35" s="264"/>
      <c r="E35" s="264"/>
      <c r="F35" s="303">
        <f>'数据-取费表'!B33</f>
        <v>0.05</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25</v>
      </c>
      <c r="D37" s="261">
        <f ca="1">D19</f>
        <v>1266.6499999999999</v>
      </c>
      <c r="E37" s="293">
        <f>'数据-取费表'!B35</f>
        <v>200</v>
      </c>
      <c r="F37" s="303"/>
      <c r="G37" s="305" t="s">
        <v>2389</v>
      </c>
    </row>
    <row r="38" spans="1:7" ht="13.5" customHeight="1">
      <c r="A38" s="954" t="s">
        <v>799</v>
      </c>
      <c r="B38" s="259" t="s">
        <v>2390</v>
      </c>
      <c r="C38" s="264">
        <f ca="1">ROUND(C34*F38,0)</f>
        <v>5</v>
      </c>
      <c r="D38" s="264"/>
      <c r="E38" s="264"/>
      <c r="F38" s="303">
        <f>'数据-取费表'!B36</f>
        <v>1.4999999999999999E-2</v>
      </c>
      <c r="G38" s="263" t="s">
        <v>2385</v>
      </c>
    </row>
    <row r="39" spans="1:7" s="258" customFormat="1" ht="13.5" customHeight="1">
      <c r="A39" s="299" t="s">
        <v>2391</v>
      </c>
      <c r="B39" s="254" t="s">
        <v>2392</v>
      </c>
      <c r="C39" s="276">
        <f ca="1">ROUND(C33*F20,0)</f>
        <v>8</v>
      </c>
      <c r="D39" s="276"/>
      <c r="E39" s="276"/>
      <c r="F39" s="277"/>
      <c r="G39" s="278" t="s">
        <v>2393</v>
      </c>
    </row>
    <row r="40" spans="1:7" s="258" customFormat="1" ht="13.5" customHeight="1">
      <c r="A40" s="299" t="s">
        <v>2394</v>
      </c>
      <c r="B40" s="254" t="s">
        <v>2395</v>
      </c>
      <c r="C40" s="1732">
        <f>F21</f>
        <v>0.02</v>
      </c>
      <c r="D40" s="280" t="s">
        <v>2396</v>
      </c>
      <c r="E40" s="276"/>
      <c r="F40" s="277"/>
      <c r="G40" s="278" t="s">
        <v>2397</v>
      </c>
    </row>
    <row r="41" spans="1:7" s="258" customFormat="1" ht="13.5" customHeight="1">
      <c r="A41" s="299" t="s">
        <v>2398</v>
      </c>
      <c r="B41" s="254" t="s">
        <v>2399</v>
      </c>
      <c r="C41" s="276">
        <f ca="1">ROUND(SUM(C42:C43),0)</f>
        <v>14</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ROUND(IF('数据-取费表'!B22&lt;=1,C33*F22*'数据-取费表'!B21/2,C33*(POWER((1+F22),'数据-取费表'!B21/2)-1)),0)</f>
        <v>14</v>
      </c>
      <c r="D42" s="282"/>
      <c r="E42" s="282"/>
      <c r="F42" s="283"/>
      <c r="G42" s="3180" t="s">
        <v>2401</v>
      </c>
    </row>
    <row r="43" spans="1:7" ht="13.5" customHeight="1">
      <c r="A43" s="954" t="s">
        <v>792</v>
      </c>
      <c r="B43" s="259" t="s">
        <v>2402</v>
      </c>
      <c r="C43" s="282">
        <f ca="1">ROUND(IF('数据-取费表'!B22&lt;=1,C39*F22*'数据-取费表'!B21/2,C39*(POWER((1+F22),'数据-取费表'!B21/2)-1)),0)</f>
        <v>0</v>
      </c>
      <c r="D43" s="282"/>
      <c r="E43" s="282"/>
      <c r="F43" s="283"/>
      <c r="G43" s="3181"/>
    </row>
    <row r="44" spans="1:7" ht="13.5" customHeight="1">
      <c r="A44" s="954" t="s">
        <v>793</v>
      </c>
      <c r="B44" s="259" t="s">
        <v>2403</v>
      </c>
      <c r="C44" s="282">
        <f ca="1">ROUND(IF('数据-取费表'!B22&lt;=1,C40*F22*'数据-取费表'!B21/2,C40*(POWER((1+F22),'数据-取费表'!B21/2)-1)),4)</f>
        <v>6.9999999999999999E-4</v>
      </c>
      <c r="D44" s="282"/>
      <c r="E44" s="282"/>
      <c r="F44" s="283"/>
      <c r="G44" s="3182"/>
    </row>
    <row r="45" spans="1:7" s="258" customFormat="1" ht="13.5" customHeight="1">
      <c r="A45" s="299" t="s">
        <v>2404</v>
      </c>
      <c r="B45" s="288" t="s">
        <v>2370</v>
      </c>
      <c r="C45" s="289">
        <f ca="1">C46</f>
        <v>103</v>
      </c>
      <c r="D45" s="279">
        <f ca="1">C47</f>
        <v>5.0000000000000001E-3</v>
      </c>
      <c r="E45" s="280" t="s">
        <v>2396</v>
      </c>
      <c r="F45" s="290"/>
      <c r="G45" s="291" t="s">
        <v>2405</v>
      </c>
    </row>
    <row r="46" spans="1:7" s="258" customFormat="1" ht="13.5" customHeight="1">
      <c r="A46" s="954" t="s">
        <v>791</v>
      </c>
      <c r="B46" s="292" t="s">
        <v>2406</v>
      </c>
      <c r="C46" s="293">
        <f ca="1">ROUND((C33+C39)*F27,0)</f>
        <v>103</v>
      </c>
      <c r="D46" s="307"/>
      <c r="E46" s="280"/>
      <c r="F46" s="290"/>
      <c r="G46" s="291"/>
    </row>
    <row r="47" spans="1:7" s="258" customFormat="1" ht="13.5" customHeight="1">
      <c r="A47" s="954" t="s">
        <v>792</v>
      </c>
      <c r="B47" s="292" t="s">
        <v>2407</v>
      </c>
      <c r="C47" s="282">
        <f ca="1">ROUND(C40*F27,4)</f>
        <v>5.0000000000000001E-3</v>
      </c>
      <c r="D47" s="307"/>
      <c r="E47" s="280"/>
      <c r="F47" s="290"/>
      <c r="G47" s="291"/>
    </row>
    <row r="48" spans="1:7" s="258" customFormat="1" ht="13.5" customHeight="1">
      <c r="A48" s="299" t="s">
        <v>2369</v>
      </c>
      <c r="B48" s="254" t="s">
        <v>2408</v>
      </c>
      <c r="C48" s="1732">
        <f>ROUND(F30/(1+'数据-取费表'!C42),4)</f>
        <v>5.2400000000000002E-2</v>
      </c>
      <c r="D48" s="280" t="s">
        <v>2396</v>
      </c>
      <c r="E48" s="276"/>
      <c r="F48" s="281"/>
      <c r="G48" s="278" t="s">
        <v>2409</v>
      </c>
    </row>
    <row r="49" spans="1:7" ht="16.5" customHeight="1">
      <c r="A49" s="299" t="s">
        <v>2375</v>
      </c>
      <c r="B49" s="254" t="s">
        <v>2410</v>
      </c>
      <c r="C49" s="276">
        <f ca="1">ROUND((C33+C39+C41+C45)/(1-C40-D41-D45-C48),0)</f>
        <v>572</v>
      </c>
      <c r="D49" s="276"/>
      <c r="E49" s="276"/>
      <c r="F49" s="308"/>
      <c r="G49" s="278" t="s">
        <v>2411</v>
      </c>
    </row>
    <row r="50" spans="1:7" s="302" customFormat="1" ht="24">
      <c r="A50" s="299" t="s">
        <v>2412</v>
      </c>
      <c r="B50" s="254" t="s">
        <v>2413</v>
      </c>
      <c r="C50" s="276"/>
      <c r="D50" s="276"/>
      <c r="E50" s="276"/>
      <c r="F50" s="308">
        <f>IF('数据-取费表'!B24=0,'数据-取费表'!N16,1)</f>
        <v>0.85</v>
      </c>
      <c r="G50" s="291" t="s">
        <v>2414</v>
      </c>
    </row>
    <row r="51" spans="1:7" ht="16.5" customHeight="1">
      <c r="A51" s="299" t="s">
        <v>2415</v>
      </c>
      <c r="B51" s="254" t="s">
        <v>2416</v>
      </c>
      <c r="C51" s="276">
        <f ca="1">ROUND(C49*F50,0)</f>
        <v>486</v>
      </c>
      <c r="D51" s="276"/>
      <c r="E51" s="276"/>
      <c r="F51" s="308"/>
      <c r="G51" s="278" t="s">
        <v>2417</v>
      </c>
    </row>
    <row r="52" spans="1:7" s="252" customFormat="1" ht="16.5" thickBot="1">
      <c r="A52" s="309" t="s">
        <v>2418</v>
      </c>
      <c r="B52" s="310"/>
      <c r="C52" s="311">
        <f ca="1">C31+C51</f>
        <v>524</v>
      </c>
      <c r="D52" s="310"/>
      <c r="E52" s="310"/>
      <c r="F52" s="310"/>
      <c r="G52" s="312"/>
    </row>
    <row r="55" spans="1:7" ht="15">
      <c r="B55" s="314" t="s">
        <v>2419</v>
      </c>
      <c r="C55" s="315"/>
    </row>
    <row r="56" spans="1:7">
      <c r="B56" s="317" t="s">
        <v>1515</v>
      </c>
      <c r="C56" s="319">
        <f ca="1">1-C57</f>
        <v>7.2999999999999954E-2</v>
      </c>
    </row>
    <row r="57" spans="1:7">
      <c r="B57" s="317" t="s">
        <v>1516</v>
      </c>
      <c r="C57" s="318">
        <f ca="1">ROUND(C51/C52,3)</f>
        <v>0.92700000000000005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4" t="str">
        <f>项目基本情况!B1</f>
        <v>北京市顺义区天竺地区小天竺路一号院1号楼101-112号办公用房房地产抵押价值预评估</v>
      </c>
      <c r="C37" s="2994"/>
      <c r="D37" s="2994"/>
      <c r="E37" s="2994"/>
      <c r="F37" s="2994"/>
      <c r="G37" s="2994"/>
      <c r="H37" s="2994"/>
      <c r="I37" s="2994"/>
    </row>
    <row r="38" spans="1:9">
      <c r="A38" s="1019"/>
      <c r="B38" s="1019"/>
    </row>
    <row r="39" spans="1:9">
      <c r="A39" s="1017" t="s">
        <v>818</v>
      </c>
      <c r="B39" s="1017" t="s">
        <v>820</v>
      </c>
    </row>
    <row r="40" spans="1:9">
      <c r="A40" s="1017"/>
      <c r="B40" s="1946">
        <f>项目基本情况!B5</f>
        <v>0</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王鹏（注册号：1120050019)、郑燚（注册号：1120070131)</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41"/>
      <c r="C1" s="2558" t="s">
        <v>2420</v>
      </c>
      <c r="D1" s="242"/>
      <c r="E1" s="242"/>
      <c r="F1" s="242"/>
      <c r="G1" s="1382">
        <f>MATCH(B1,'数据-取费表'!A6:A16,0)+5</f>
        <v>8</v>
      </c>
      <c r="H1" s="1285" t="str">
        <f>IF(ISERROR(FIND("住宅",B1)),"非住宅","住宅")</f>
        <v>非住宅</v>
      </c>
    </row>
    <row r="2" spans="1:8" s="244" customFormat="1" ht="18" customHeight="1">
      <c r="A2" s="245" t="s">
        <v>2319</v>
      </c>
      <c r="B2" s="246">
        <f ca="1">ROUND(IF(D2="——",C52/10000,C52/10000-E2),0)</f>
        <v>524</v>
      </c>
      <c r="C2" s="243" t="s">
        <v>2320</v>
      </c>
      <c r="D2" s="2552" t="s">
        <v>70</v>
      </c>
      <c r="E2" s="1443" t="e">
        <f ca="1">SUMIF(INDIRECT("'"&amp;G2&amp;"'"&amp;"!A:A"),"承租人权益价值",INDIRECT("'"&amp;G2&amp;"'"&amp;"!c:c"))</f>
        <v>#REF!</v>
      </c>
      <c r="F2" s="2553" t="s">
        <v>2320</v>
      </c>
      <c r="G2" s="2554"/>
    </row>
    <row r="3" spans="1:8" s="244" customFormat="1" ht="18" customHeight="1" thickBot="1">
      <c r="A3" s="247" t="s">
        <v>2321</v>
      </c>
      <c r="B3" s="248">
        <f ca="1">ROUND(B2*10000/(IF(B1="",'数据-汇总表'!E3,INDIRECT("'数据-取费表'!k"&amp;$G$1))),0)</f>
        <v>4137</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0</v>
      </c>
      <c r="D5" s="255" t="s">
        <v>2326</v>
      </c>
      <c r="E5" s="256" t="s">
        <v>2327</v>
      </c>
      <c r="F5" s="256" t="s">
        <v>2328</v>
      </c>
      <c r="G5" s="257"/>
    </row>
    <row r="6" spans="1:8" s="258" customFormat="1" ht="13.5" customHeight="1">
      <c r="A6" s="952" t="s">
        <v>2329</v>
      </c>
      <c r="B6" s="259" t="s">
        <v>2330</v>
      </c>
      <c r="C6" s="260"/>
      <c r="D6" s="261"/>
      <c r="E6" s="262"/>
      <c r="F6" s="262"/>
      <c r="G6" s="263"/>
    </row>
    <row r="7" spans="1:8" s="258" customFormat="1" ht="13.5" customHeight="1">
      <c r="A7" s="952" t="s">
        <v>2331</v>
      </c>
      <c r="B7" s="259" t="s">
        <v>2332</v>
      </c>
      <c r="C7" s="264">
        <f>ROUND(C6*F7,0)</f>
        <v>0</v>
      </c>
      <c r="D7" s="264"/>
      <c r="E7" s="262"/>
      <c r="F7" s="265">
        <f>'数据-取费表'!B48+'数据-取费表'!B49</f>
        <v>3.0499999999999999E-2</v>
      </c>
      <c r="G7" s="263"/>
    </row>
    <row r="8" spans="1:8" s="267" customFormat="1">
      <c r="A8" s="952" t="s">
        <v>2333</v>
      </c>
      <c r="B8" s="259" t="s">
        <v>2334</v>
      </c>
      <c r="C8" s="264">
        <f ca="1">IF(G8="已包含在土地购买价格中",0,C9+C10)</f>
        <v>0</v>
      </c>
      <c r="D8" s="266"/>
      <c r="E8" s="264"/>
      <c r="F8" s="265"/>
      <c r="G8" s="2555"/>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2337</v>
      </c>
      <c r="C10" s="269">
        <f ca="1">ROUND(D10*E10,0)</f>
        <v>0</v>
      </c>
      <c r="D10" s="1035">
        <f ca="1">IF(B1="",'数据-汇总表'!E6,IF(INDIRECT("'数据-取费表'!c"&amp;$G$1)="住宅",INDIRECT("'数据-取费表'!s"&amp;$G$1),INDIRECT("'数据-取费表'!k"&amp;$G$1)+INDIRECT("'数据-取费表'!s"&amp;$G$1)))</f>
        <v>1266.6499999999999</v>
      </c>
      <c r="E10" s="269">
        <f>'数据-取费表'!B28</f>
        <v>0</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f ca="1">IF(G19="已包含在土地取得成本中","0",ROUND(D19*E19,0))</f>
        <v>253330</v>
      </c>
      <c r="D19" s="1039">
        <f ca="1">D9+D10</f>
        <v>1266.6499999999999</v>
      </c>
      <c r="E19" s="255">
        <f>'数据-取费表'!B31</f>
        <v>200</v>
      </c>
      <c r="F19" s="275"/>
      <c r="G19" s="2555"/>
    </row>
    <row r="20" spans="1:7" s="258" customFormat="1" ht="13.5" customHeight="1">
      <c r="A20" s="299" t="s">
        <v>2431</v>
      </c>
      <c r="B20" s="254" t="s">
        <v>2432</v>
      </c>
      <c r="C20" s="276">
        <f ca="1">ROUND((C5+C19)*F20,0)</f>
        <v>5067</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3">
        <f ca="1">ROUND(SUM(C23:C25),0)</f>
        <v>18441</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4" t="s">
        <v>2329</v>
      </c>
      <c r="B23" s="259" t="s">
        <v>2440</v>
      </c>
      <c r="C23" s="1384">
        <f ca="1">ROUND(IF('数据-取费表'!B22&lt;=1,C5*F22*'数据-取费表'!B22,C5*(POWER((1+F22),'数据-取费表'!B22)-1)),0)</f>
        <v>0</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18262</v>
      </c>
      <c r="D24" s="282"/>
      <c r="E24" s="282"/>
      <c r="F24" s="283"/>
      <c r="G24" s="284" t="s">
        <v>2443</v>
      </c>
    </row>
    <row r="25" spans="1:7" s="258" customFormat="1" ht="24">
      <c r="A25" s="954" t="s">
        <v>2333</v>
      </c>
      <c r="B25" s="259" t="s">
        <v>2444</v>
      </c>
      <c r="C25" s="1384">
        <f ca="1">ROUND(IF('数据-取费表'!B22&lt;=1,C20*F22*'数据-取费表'!B22/2,C20*(POWER((1+F22),'数据-取费表'!B22/2)-1)),0)</f>
        <v>179</v>
      </c>
      <c r="D25" s="282"/>
      <c r="E25" s="285"/>
      <c r="F25" s="283"/>
      <c r="G25" s="286" t="s">
        <v>2445</v>
      </c>
    </row>
    <row r="26" spans="1:7" s="258" customFormat="1">
      <c r="A26" s="954" t="s">
        <v>795</v>
      </c>
      <c r="B26" s="259" t="s">
        <v>2368</v>
      </c>
      <c r="C26" s="282">
        <f ca="1">ROUND(IF('数据-取费表'!B22&lt;=1,F21*F22*'数据-取费表'!B22/2,F21*(POWER((1+F22),'数据-取费表'!B22/2)-1)),4)</f>
        <v>6.9999999999999999E-4</v>
      </c>
      <c r="D26" s="282"/>
      <c r="E26" s="285"/>
      <c r="F26" s="283"/>
      <c r="G26" s="287"/>
    </row>
    <row r="27" spans="1:7" s="258" customFormat="1" ht="24.75">
      <c r="A27" s="299" t="s">
        <v>2369</v>
      </c>
      <c r="B27" s="288" t="s">
        <v>2370</v>
      </c>
      <c r="C27" s="289">
        <f ca="1">C28</f>
        <v>64599</v>
      </c>
      <c r="D27" s="279">
        <f ca="1">C29</f>
        <v>5.0000000000000001E-3</v>
      </c>
      <c r="E27" s="280" t="s">
        <v>2371</v>
      </c>
      <c r="F27" s="290">
        <f ca="1">IF(B1="",'数据-取费表'!Q16,INDIRECT("'数据-取费表'!q"&amp;$G$1))</f>
        <v>0.25</v>
      </c>
      <c r="G27" s="291" t="s">
        <v>2372</v>
      </c>
    </row>
    <row r="28" spans="1:7" s="258" customFormat="1" ht="13.5" customHeight="1">
      <c r="A28" s="954" t="s">
        <v>791</v>
      </c>
      <c r="B28" s="292" t="s">
        <v>2373</v>
      </c>
      <c r="C28" s="293">
        <f ca="1">ROUND((C5+C19+C20)*F27,0)</f>
        <v>64599</v>
      </c>
      <c r="D28" s="279"/>
      <c r="E28" s="280"/>
      <c r="F28" s="290"/>
      <c r="G28" s="291"/>
    </row>
    <row r="29" spans="1:7" s="258" customFormat="1" ht="13.5" customHeight="1">
      <c r="A29" s="954" t="s">
        <v>792</v>
      </c>
      <c r="B29" s="292" t="s">
        <v>2374</v>
      </c>
      <c r="C29" s="282">
        <f ca="1">ROUND(C21*F27,4)</f>
        <v>5.0000000000000001E-3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370362</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4030480</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3546620</v>
      </c>
      <c r="D34" s="261"/>
      <c r="E34" s="264"/>
      <c r="F34" s="301"/>
      <c r="G34" s="263"/>
    </row>
    <row r="35" spans="1:7" ht="13.5" customHeight="1">
      <c r="A35" s="954" t="s">
        <v>796</v>
      </c>
      <c r="B35" s="259" t="s">
        <v>2384</v>
      </c>
      <c r="C35" s="264">
        <f ca="1">ROUND(C34*F35,0)</f>
        <v>177331</v>
      </c>
      <c r="D35" s="264"/>
      <c r="E35" s="264"/>
      <c r="F35" s="303">
        <f>'数据-取费表'!B33</f>
        <v>0.05</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253330</v>
      </c>
      <c r="D37" s="261">
        <f ca="1">D19</f>
        <v>1266.6499999999999</v>
      </c>
      <c r="E37" s="293">
        <f>'数据-取费表'!B35</f>
        <v>200</v>
      </c>
      <c r="F37" s="303"/>
      <c r="G37" s="305"/>
    </row>
    <row r="38" spans="1:7" ht="13.5" customHeight="1">
      <c r="A38" s="954" t="s">
        <v>799</v>
      </c>
      <c r="B38" s="259" t="s">
        <v>2390</v>
      </c>
      <c r="C38" s="264">
        <f ca="1">ROUND(C34*F38,0)</f>
        <v>53199</v>
      </c>
      <c r="D38" s="264"/>
      <c r="E38" s="264"/>
      <c r="F38" s="303">
        <f>'数据-取费表'!B36</f>
        <v>1.4999999999999999E-2</v>
      </c>
      <c r="G38" s="263" t="s">
        <v>2385</v>
      </c>
    </row>
    <row r="39" spans="1:7" s="258" customFormat="1" ht="13.5" customHeight="1">
      <c r="A39" s="299" t="s">
        <v>2391</v>
      </c>
      <c r="B39" s="254" t="s">
        <v>2392</v>
      </c>
      <c r="C39" s="276">
        <f ca="1">ROUND(C33*F20,0)</f>
        <v>80610</v>
      </c>
      <c r="D39" s="276"/>
      <c r="E39" s="276"/>
      <c r="F39" s="277"/>
      <c r="G39" s="278" t="s">
        <v>2393</v>
      </c>
    </row>
    <row r="40" spans="1:7" s="258" customFormat="1" ht="13.5" customHeight="1">
      <c r="A40" s="299" t="s">
        <v>2394</v>
      </c>
      <c r="B40" s="254" t="s">
        <v>2395</v>
      </c>
      <c r="C40" s="1732">
        <f>F21</f>
        <v>0.02</v>
      </c>
      <c r="D40" s="280" t="s">
        <v>2396</v>
      </c>
      <c r="E40" s="276"/>
      <c r="F40" s="277"/>
      <c r="G40" s="278" t="s">
        <v>2397</v>
      </c>
    </row>
    <row r="41" spans="1:7" s="258" customFormat="1" ht="13.5" customHeight="1">
      <c r="A41" s="299" t="s">
        <v>2398</v>
      </c>
      <c r="B41" s="254" t="s">
        <v>2399</v>
      </c>
      <c r="C41" s="276">
        <f ca="1">ROUND(SUM(C42:C43),0)</f>
        <v>145605</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ROUND(IF('数据-取费表'!B22&lt;=1,C33*F22*'数据-取费表'!B20/2,C33*(POWER((1+F22),'数据-取费表'!B20/2)-1)),0)</f>
        <v>142750</v>
      </c>
      <c r="D42" s="282"/>
      <c r="E42" s="282"/>
      <c r="F42" s="283"/>
      <c r="G42" s="3180" t="s">
        <v>2448</v>
      </c>
    </row>
    <row r="43" spans="1:7" ht="13.5" customHeight="1">
      <c r="A43" s="954" t="s">
        <v>792</v>
      </c>
      <c r="B43" s="259" t="s">
        <v>2402</v>
      </c>
      <c r="C43" s="282">
        <f ca="1">ROUND(IF('数据-取费表'!B22&lt;=1,C39*F22*'数据-取费表'!B20/2,C39*(POWER((1+F22),'数据-取费表'!B20/2)-1)),0)</f>
        <v>2855</v>
      </c>
      <c r="D43" s="282"/>
      <c r="E43" s="282"/>
      <c r="F43" s="283"/>
      <c r="G43" s="3181"/>
    </row>
    <row r="44" spans="1:7" ht="13.5" customHeight="1">
      <c r="A44" s="954" t="s">
        <v>793</v>
      </c>
      <c r="B44" s="259" t="s">
        <v>2403</v>
      </c>
      <c r="C44" s="282">
        <f ca="1">ROUND(IF('数据-取费表'!B22&lt;=1,C40*F22*'数据-取费表'!B20/2,C40*(POWER((1+F22),'数据-取费表'!B20/2)-1)),4)</f>
        <v>6.9999999999999999E-4</v>
      </c>
      <c r="D44" s="282"/>
      <c r="E44" s="282"/>
      <c r="F44" s="283"/>
      <c r="G44" s="3182"/>
    </row>
    <row r="45" spans="1:7" s="258" customFormat="1" ht="13.5" customHeight="1">
      <c r="A45" s="299" t="s">
        <v>2404</v>
      </c>
      <c r="B45" s="288" t="s">
        <v>2370</v>
      </c>
      <c r="C45" s="289">
        <f ca="1">C46</f>
        <v>1027773</v>
      </c>
      <c r="D45" s="279">
        <f ca="1">C47</f>
        <v>5.0000000000000001E-3</v>
      </c>
      <c r="E45" s="280" t="s">
        <v>2396</v>
      </c>
      <c r="F45" s="290"/>
      <c r="G45" s="291" t="s">
        <v>2405</v>
      </c>
    </row>
    <row r="46" spans="1:7" s="258" customFormat="1" ht="13.5" customHeight="1">
      <c r="A46" s="954" t="s">
        <v>791</v>
      </c>
      <c r="B46" s="292" t="s">
        <v>2406</v>
      </c>
      <c r="C46" s="293">
        <f ca="1">ROUND((C33+C39)*F27,0)</f>
        <v>1027773</v>
      </c>
      <c r="D46" s="307"/>
      <c r="E46" s="280"/>
      <c r="F46" s="290"/>
      <c r="G46" s="291"/>
    </row>
    <row r="47" spans="1:7" s="258" customFormat="1" ht="13.5" customHeight="1">
      <c r="A47" s="954" t="s">
        <v>792</v>
      </c>
      <c r="B47" s="292" t="s">
        <v>2407</v>
      </c>
      <c r="C47" s="282">
        <f ca="1">ROUND(C40*F27,4)</f>
        <v>5.0000000000000001E-3</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5732149</v>
      </c>
      <c r="D49" s="276"/>
      <c r="E49" s="276"/>
      <c r="F49" s="308"/>
      <c r="G49" s="278" t="s">
        <v>2411</v>
      </c>
    </row>
    <row r="50" spans="1:7" s="302" customFormat="1">
      <c r="A50" s="299" t="s">
        <v>2412</v>
      </c>
      <c r="B50" s="254" t="s">
        <v>2413</v>
      </c>
      <c r="C50" s="276"/>
      <c r="D50" s="276"/>
      <c r="E50" s="276"/>
      <c r="F50" s="308">
        <f>IF('数据-取费表'!B24=0,'数据-取费表'!N16,1)</f>
        <v>0.85</v>
      </c>
      <c r="G50" s="291"/>
    </row>
    <row r="51" spans="1:7" ht="16.5" customHeight="1">
      <c r="A51" s="299" t="s">
        <v>2415</v>
      </c>
      <c r="B51" s="254" t="s">
        <v>2450</v>
      </c>
      <c r="C51" s="276">
        <f ca="1">ROUND(C49*F50,0)</f>
        <v>4872327</v>
      </c>
      <c r="D51" s="276"/>
      <c r="E51" s="276"/>
      <c r="F51" s="308"/>
      <c r="G51" s="278" t="s">
        <v>2417</v>
      </c>
    </row>
    <row r="52" spans="1:7" s="252" customFormat="1" ht="16.5" thickBot="1">
      <c r="A52" s="309" t="s">
        <v>2418</v>
      </c>
      <c r="B52" s="310"/>
      <c r="C52" s="311">
        <f ca="1">C31+C51</f>
        <v>5242689</v>
      </c>
      <c r="D52" s="310"/>
      <c r="E52" s="310"/>
      <c r="F52" s="310"/>
      <c r="G52" s="312"/>
    </row>
    <row r="55" spans="1:7" ht="15">
      <c r="B55" s="314" t="s">
        <v>2419</v>
      </c>
      <c r="C55" s="315"/>
    </row>
    <row r="56" spans="1:7">
      <c r="B56" s="317" t="s">
        <v>1515</v>
      </c>
      <c r="C56" s="319">
        <f ca="1">1-C57</f>
        <v>7.0999999999999952E-2</v>
      </c>
    </row>
    <row r="57" spans="1:7">
      <c r="B57" s="317" t="s">
        <v>1516</v>
      </c>
      <c r="C57" s="318">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2451</v>
      </c>
      <c r="B1" s="1585"/>
      <c r="C1" s="1586"/>
      <c r="D1" s="1584"/>
      <c r="E1" s="320"/>
      <c r="F1" s="320"/>
      <c r="G1" s="1585"/>
      <c r="H1" s="320"/>
      <c r="I1" s="320"/>
      <c r="J1" s="320"/>
      <c r="K1" s="320">
        <f>MATCH(C1,'数据-取费表'!A6:A16,0)+5</f>
        <v>8</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9" customFormat="1" ht="16.5" customHeight="1">
      <c r="A4" s="956" t="s">
        <v>2454</v>
      </c>
      <c r="B4" s="957"/>
      <c r="C4" s="999">
        <f>SUM(C8:K8)</f>
        <v>0</v>
      </c>
      <c r="D4" s="957"/>
      <c r="E4" s="957"/>
      <c r="F4" s="957"/>
      <c r="G4" s="957"/>
      <c r="H4" s="957"/>
      <c r="I4" s="957"/>
      <c r="J4" s="957"/>
      <c r="K4" s="958"/>
    </row>
    <row r="5" spans="1:33" s="963" customFormat="1" ht="24.75">
      <c r="A5" s="960" t="s">
        <v>2455</v>
      </c>
      <c r="B5" s="961" t="s">
        <v>2456</v>
      </c>
      <c r="C5" s="2559" t="s">
        <v>2457</v>
      </c>
      <c r="D5" s="2559" t="s">
        <v>2458</v>
      </c>
      <c r="E5" s="2559" t="s">
        <v>2459</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2463</v>
      </c>
      <c r="B8" s="177"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1335</v>
      </c>
      <c r="B11" s="975" t="s">
        <v>2472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2473</v>
      </c>
      <c r="C12" s="24">
        <f ca="1">ROUND(C11*F12,0)</f>
        <v>0</v>
      </c>
      <c r="D12" s="976"/>
      <c r="E12" s="375"/>
      <c r="F12" s="979">
        <f>'数据-取费表'!B33</f>
        <v>0.05</v>
      </c>
      <c r="G12" s="8" t="s">
        <v>2474</v>
      </c>
      <c r="H12" s="971"/>
      <c r="I12" s="971"/>
      <c r="J12" s="971"/>
      <c r="K12" s="972"/>
    </row>
    <row r="13" spans="1:33" s="978" customFormat="1" ht="13.5" customHeight="1">
      <c r="A13" s="974" t="s">
        <v>1337</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1338</v>
      </c>
      <c r="B14" s="975" t="s">
        <v>2477</v>
      </c>
      <c r="C14" s="24">
        <f ca="1">ROUND(D14*E14*F11/10000,0)</f>
        <v>0</v>
      </c>
      <c r="D14" s="1036">
        <f ca="1">IF(C1="",'数据-汇总表'!E3,INDIRECT("'数据-取费表'!K"&amp;$K$1)+INDIRECT("'数据-取费表'!S"&amp;$K$1))</f>
        <v>1266.6499999999999</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1266.6499999999999</v>
      </c>
      <c r="E17" s="24">
        <f>'数据-取费表'!B32</f>
        <v>0</v>
      </c>
      <c r="F17" s="981"/>
      <c r="G17" s="140" t="s">
        <v>2483</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2484</v>
      </c>
      <c r="C18" s="24">
        <f ca="1">C19+C20-IF(C1="",'数据-取费表'!B29,IF(G18="已全部缴纳",C19+C20,H18))</f>
        <v>0</v>
      </c>
      <c r="D18" s="1036"/>
      <c r="E18" s="24"/>
      <c r="F18" s="979"/>
      <c r="G18" s="2561"/>
      <c r="H18" s="1581"/>
      <c r="I18" s="2562"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0</v>
      </c>
      <c r="F19" s="979"/>
      <c r="G19" s="15"/>
      <c r="H19" s="1583"/>
      <c r="I19" s="984"/>
      <c r="J19" s="984"/>
      <c r="K19" s="985"/>
    </row>
    <row r="20" spans="1:33" s="978" customFormat="1" ht="13.5" customHeight="1">
      <c r="A20" s="974" t="s">
        <v>806</v>
      </c>
      <c r="B20" s="975" t="s">
        <v>2487</v>
      </c>
      <c r="C20" s="24">
        <f ca="1">ROUND(D20*E20/10000,0)</f>
        <v>0</v>
      </c>
      <c r="D20" s="1036">
        <f ca="1">IF(C1="",'数据-汇总表'!E6,IF(INDIRECT("'数据-取费表'!c"&amp;$K$1)="住宅",INDIRECT("'数据-取费表'!s"&amp;$K$1),INDIRECT("'数据-取费表'!k"&amp;$K$1)+INDIRECT("'数据-取费表'!s"&amp;$K$1)))</f>
        <v>1266.6499999999999</v>
      </c>
      <c r="E20" s="24">
        <f>'数据-取费表'!B28</f>
        <v>0</v>
      </c>
      <c r="F20" s="979"/>
      <c r="G20" s="15"/>
      <c r="H20" s="984"/>
      <c r="I20" s="984"/>
      <c r="J20" s="984"/>
      <c r="K20" s="985"/>
    </row>
    <row r="21" spans="1:33" s="978" customFormat="1" ht="13.5" customHeight="1">
      <c r="A21" s="964" t="s">
        <v>802</v>
      </c>
      <c r="B21" s="988" t="s">
        <v>2488</v>
      </c>
      <c r="C21" s="989">
        <f ca="1">C16+C17+C18</f>
        <v>0</v>
      </c>
      <c r="D21" s="990"/>
      <c r="E21" s="325"/>
      <c r="F21" s="325"/>
      <c r="G21" s="140" t="s">
        <v>2489</v>
      </c>
      <c r="H21" s="982"/>
      <c r="I21" s="982"/>
      <c r="J21" s="982"/>
      <c r="K21" s="983"/>
    </row>
    <row r="22" spans="1:33" s="978" customFormat="1" ht="13.5" customHeight="1">
      <c r="A22" s="964" t="s">
        <v>2461</v>
      </c>
      <c r="B22" s="988" t="s">
        <v>2490</v>
      </c>
      <c r="C22" s="989">
        <f ca="1">ROUND(C21*F22,0)</f>
        <v>0</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0</v>
      </c>
      <c r="D23" s="325"/>
      <c r="E23" s="325"/>
      <c r="F23" s="991">
        <f>'数据-取费表'!B38</f>
        <v>0.02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2501</v>
      </c>
      <c r="B28" s="2564" t="s">
        <v>2502</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2503</v>
      </c>
      <c r="C29" s="328">
        <f ca="1">ROUND((1+C24)*F28*'数据-取费表'!B24/'数据-取费表'!B20,4)</f>
        <v>0</v>
      </c>
      <c r="D29" s="328"/>
      <c r="E29" s="329"/>
      <c r="F29" s="334"/>
      <c r="G29" s="140" t="s">
        <v>2504</v>
      </c>
      <c r="H29" s="982"/>
      <c r="I29" s="982"/>
      <c r="J29" s="982"/>
      <c r="K29" s="983"/>
    </row>
    <row r="30" spans="1:33" s="335" customFormat="1" ht="13.5" customHeight="1">
      <c r="A30" s="974" t="s">
        <v>804</v>
      </c>
      <c r="B30" s="997" t="s">
        <v>2505</v>
      </c>
      <c r="C30" s="336">
        <f ca="1">ROUND((C21+C22+C23)*F28,0)</f>
        <v>0</v>
      </c>
      <c r="D30" s="328"/>
      <c r="E30" s="329"/>
      <c r="F30" s="334"/>
      <c r="G30" s="140"/>
      <c r="H30" s="982"/>
      <c r="I30" s="982"/>
      <c r="J30" s="982"/>
      <c r="K30" s="983"/>
    </row>
    <row r="31" spans="1:33" s="978" customFormat="1" ht="13.5" customHeight="1" thickBot="1">
      <c r="A31" s="2565" t="s">
        <v>2506</v>
      </c>
      <c r="B31" s="1008" t="s">
        <v>2507</v>
      </c>
      <c r="C31" s="1009">
        <f>ROUND(C4*F31/(1+'数据-取费表'!C42),0)</f>
        <v>0</v>
      </c>
      <c r="D31" s="1010"/>
      <c r="E31" s="1011"/>
      <c r="F31" s="1012">
        <f>'数据-取费表'!B41</f>
        <v>5.5000000000000007E-2</v>
      </c>
      <c r="G31" s="1013" t="s">
        <v>2508</v>
      </c>
      <c r="H31" s="1014"/>
      <c r="I31" s="1014"/>
      <c r="J31" s="1014"/>
      <c r="K31" s="1015"/>
    </row>
    <row r="32" spans="1:33" s="973" customFormat="1" ht="13.5" customHeight="1" thickBot="1">
      <c r="A32" s="1003" t="s">
        <v>2509</v>
      </c>
      <c r="B32" s="1004"/>
      <c r="C32" s="1005">
        <f ca="1">ROUND((C4-C21-C22-C23-C25-C28-C31)/(1+C24+D25+D28),0)</f>
        <v>0</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10" sqref="H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2520</v>
      </c>
      <c r="B1" s="2674" t="s">
        <v>2678</v>
      </c>
      <c r="C1" s="1624" t="s">
        <v>2522</v>
      </c>
      <c r="D1" s="1625" t="s">
        <v>3206</v>
      </c>
      <c r="E1" s="1634"/>
      <c r="F1" s="2589" t="s">
        <v>3051</v>
      </c>
      <c r="G1" s="1635" t="s">
        <v>2635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2319</v>
      </c>
      <c r="B2" s="1421">
        <f>IF(C2="——",ROUND(C50*D3/10000,0),ROUND(C50*D3/10000,0)-D2)</f>
        <v>438</v>
      </c>
      <c r="C2" s="2591" t="s">
        <v>70</v>
      </c>
      <c r="D2" s="1368" t="e">
        <f ca="1">SUMIF(INDIRECT("'"&amp;F2&amp;"'"&amp;"!A:A"),"承租人权益价值",INDIRECT("'"&amp;F2&amp;"'"&amp;"!c:c"))</f>
        <v>#REF!</v>
      </c>
      <c r="E2" s="2592" t="s">
        <v>2320</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f>IF(C2="——",C50,ROUND(B2*10000/D3,0))</f>
        <v>34832</v>
      </c>
      <c r="C3" s="400" t="s">
        <v>2636</v>
      </c>
      <c r="D3" s="399">
        <f>IF(D1="",'数据-汇总表'!E3,SUMIF('数据-汇总表'!$C19:$C33,D1,'数据-汇总表'!$E19:$E33))</f>
        <v>125.74</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09" t="s">
        <v>2643</v>
      </c>
      <c r="Q4" s="3210"/>
      <c r="R4" s="3188" t="s">
        <v>2639</v>
      </c>
      <c r="S4" s="3189"/>
      <c r="T4" s="3188" t="s">
        <v>2640</v>
      </c>
      <c r="U4" s="3189"/>
      <c r="V4" s="3217" t="s">
        <v>2641</v>
      </c>
      <c r="W4" s="3217"/>
      <c r="X4" s="2675"/>
      <c r="Y4" s="3188" t="s">
        <v>2643</v>
      </c>
      <c r="Z4" s="3189"/>
      <c r="AA4" s="3183" t="s">
        <v>2639</v>
      </c>
      <c r="AB4" s="3183" t="s">
        <v>2640</v>
      </c>
      <c r="AC4" s="3202" t="s">
        <v>2641</v>
      </c>
    </row>
    <row r="5" spans="1:29" ht="33.75" customHeight="1" thickBot="1">
      <c r="A5" s="404"/>
      <c r="B5" s="405"/>
      <c r="C5" s="3194" t="str">
        <f>项目基本情况!F10</f>
        <v>顺义区天竺地区小天竺路一号院1号楼101-112号办公用房</v>
      </c>
      <c r="D5" s="3195"/>
      <c r="E5" s="3192" t="s">
        <v>3204</v>
      </c>
      <c r="F5" s="3193"/>
      <c r="G5" s="3192" t="s">
        <v>3204</v>
      </c>
      <c r="H5" s="3193"/>
      <c r="I5" s="3198" t="s">
        <v>3205</v>
      </c>
      <c r="J5" s="3195"/>
      <c r="K5" s="610"/>
      <c r="L5" s="1133"/>
      <c r="M5" s="1134"/>
      <c r="N5" s="1134"/>
      <c r="O5" s="1134"/>
      <c r="P5" s="3211"/>
      <c r="Q5" s="3212"/>
      <c r="R5" s="3190"/>
      <c r="S5" s="3191"/>
      <c r="T5" s="3190"/>
      <c r="U5" s="3191"/>
      <c r="V5" s="3218"/>
      <c r="W5" s="3218"/>
      <c r="X5" s="1817"/>
      <c r="Y5" s="3190"/>
      <c r="Z5" s="3191"/>
      <c r="AA5" s="3184"/>
      <c r="AB5" s="3184"/>
      <c r="AC5" s="3203"/>
    </row>
    <row r="6" spans="1:29" ht="15.75" hidden="1" thickBot="1">
      <c r="A6" s="406"/>
      <c r="B6" s="407"/>
      <c r="C6" s="3196" t="s">
        <v>2538</v>
      </c>
      <c r="D6" s="3197"/>
      <c r="E6" s="3199" t="s">
        <v>2538</v>
      </c>
      <c r="F6" s="3200"/>
      <c r="G6" s="3196" t="s">
        <v>2538</v>
      </c>
      <c r="H6" s="3197"/>
      <c r="I6" s="3196" t="s">
        <v>2538</v>
      </c>
      <c r="J6" s="3197"/>
      <c r="K6" s="610" t="s">
        <v>2539</v>
      </c>
      <c r="L6" s="1133"/>
      <c r="M6" s="1134"/>
      <c r="N6" s="1134"/>
      <c r="O6" s="1134"/>
      <c r="P6" s="3213"/>
      <c r="Q6" s="3214"/>
      <c r="R6" s="3190"/>
      <c r="S6" s="3191"/>
      <c r="T6" s="3215"/>
      <c r="U6" s="3216"/>
      <c r="V6" s="3218"/>
      <c r="W6" s="3218"/>
      <c r="X6" s="1817"/>
      <c r="Y6" s="3215"/>
      <c r="Z6" s="3216"/>
      <c r="AA6" s="3185"/>
      <c r="AB6" s="3185"/>
      <c r="AC6" s="3204"/>
    </row>
    <row r="7" spans="1:29" s="117" customFormat="1" ht="15.75" thickBot="1">
      <c r="A7" s="408" t="s">
        <v>2540</v>
      </c>
      <c r="B7" s="409"/>
      <c r="C7" s="410">
        <f>'数据-取费表'!B2</f>
        <v>43056</v>
      </c>
      <c r="D7" s="411">
        <v>100</v>
      </c>
      <c r="E7" s="412">
        <v>43041</v>
      </c>
      <c r="F7" s="413">
        <f>SUMIF(59:59,YEAR(E7)&amp;"-"&amp;MONTH(E7),60:60)</f>
        <v>100</v>
      </c>
      <c r="G7" s="412">
        <v>43044</v>
      </c>
      <c r="H7" s="411">
        <f>SUMIF(59:59,YEAR(G7)&amp;"-"&amp;MONTH(G7),60:60)</f>
        <v>100</v>
      </c>
      <c r="I7" s="412">
        <v>43052</v>
      </c>
      <c r="J7" s="411">
        <f>SUMIF(59:59,YEAR(I7)&amp;"-"&amp;MONTH(I7),60:60)</f>
        <v>100</v>
      </c>
      <c r="K7" s="611"/>
      <c r="L7" s="1135"/>
      <c r="M7" s="1136"/>
      <c r="N7" s="1136"/>
      <c r="O7" s="1136"/>
      <c r="P7" s="3219" t="s">
        <v>2541</v>
      </c>
      <c r="Q7" s="3220"/>
      <c r="R7" s="770" t="s">
        <v>17</v>
      </c>
      <c r="S7" s="771">
        <f t="shared" ref="S7:S15" si="0">F7</f>
        <v>100</v>
      </c>
      <c r="T7" s="770" t="s">
        <v>17</v>
      </c>
      <c r="U7" s="771">
        <f t="shared" ref="U7:U15" si="1">H7</f>
        <v>100</v>
      </c>
      <c r="V7" s="770" t="s">
        <v>17</v>
      </c>
      <c r="W7" s="771">
        <f t="shared" ref="W7:W15" si="2">J7</f>
        <v>100</v>
      </c>
      <c r="X7" s="772"/>
      <c r="Y7" s="3186" t="s">
        <v>2541</v>
      </c>
      <c r="Z7" s="3187"/>
      <c r="AA7" s="773">
        <f>D7/F7</f>
        <v>1</v>
      </c>
      <c r="AB7" s="773">
        <f>D7/H7</f>
        <v>1</v>
      </c>
      <c r="AC7" s="2676">
        <f>D7/J7</f>
        <v>1</v>
      </c>
    </row>
    <row r="8" spans="1:29" s="117" customFormat="1" ht="15.75" thickBot="1">
      <c r="A8" s="408" t="s">
        <v>2542</v>
      </c>
      <c r="B8" s="409"/>
      <c r="C8" s="414" t="s">
        <v>2644</v>
      </c>
      <c r="D8" s="411">
        <v>100</v>
      </c>
      <c r="E8" s="414" t="s">
        <v>3074</v>
      </c>
      <c r="F8" s="413">
        <f>SUMIF(62:62,E8,63:63)-SUMIF(62:62,C8,63:63)+100</f>
        <v>100</v>
      </c>
      <c r="G8" s="414" t="s">
        <v>3074</v>
      </c>
      <c r="H8" s="411">
        <f>SUMIF(62:62,G8,63:63)-SUMIF(62:62,C8,63:63)+100</f>
        <v>100</v>
      </c>
      <c r="I8" s="414" t="s">
        <v>3074</v>
      </c>
      <c r="J8" s="411">
        <f>SUMIF(62:62,I8,63:63)-SUMIF(62:62,C8,63:63)+100</f>
        <v>100</v>
      </c>
      <c r="K8" s="611"/>
      <c r="L8" s="1135"/>
      <c r="M8" s="1136"/>
      <c r="N8" s="1136"/>
      <c r="O8" s="1136"/>
      <c r="P8" s="3219" t="s">
        <v>2544</v>
      </c>
      <c r="Q8" s="3187"/>
      <c r="R8" s="770" t="s">
        <v>17</v>
      </c>
      <c r="S8" s="771">
        <f t="shared" si="0"/>
        <v>100</v>
      </c>
      <c r="T8" s="770" t="s">
        <v>17</v>
      </c>
      <c r="U8" s="771">
        <f t="shared" si="1"/>
        <v>100</v>
      </c>
      <c r="V8" s="770" t="s">
        <v>17</v>
      </c>
      <c r="W8" s="771">
        <f t="shared" si="2"/>
        <v>100</v>
      </c>
      <c r="X8" s="772"/>
      <c r="Y8" s="3186" t="s">
        <v>2544</v>
      </c>
      <c r="Z8" s="3187"/>
      <c r="AA8" s="773">
        <f t="shared" ref="AA8:AA47" si="3">D8/F8</f>
        <v>1</v>
      </c>
      <c r="AB8" s="773">
        <f t="shared" ref="AB8:AB47" si="4">D8/H8</f>
        <v>1</v>
      </c>
      <c r="AC8" s="2676">
        <f t="shared" ref="AC8:AC47" si="5">D8/J8</f>
        <v>1</v>
      </c>
    </row>
    <row r="9" spans="1:29" s="117" customFormat="1">
      <c r="A9" s="415" t="s">
        <v>2545</v>
      </c>
      <c r="B9" s="71" t="s">
        <v>2546</v>
      </c>
      <c r="C9" s="2934" t="s">
        <v>3052</v>
      </c>
      <c r="D9" s="135">
        <v>100</v>
      </c>
      <c r="E9" s="2937" t="s">
        <v>27</v>
      </c>
      <c r="F9" s="135">
        <f>SUMIF(64:64,E9,65:65)-SUMIF(64:64,C9,65:65)+100</f>
        <v>100</v>
      </c>
      <c r="G9" s="2937" t="s">
        <v>27</v>
      </c>
      <c r="H9" s="135">
        <f>SUMIF(64:64,G9,65:65)-SUMIF(64:64,C9,65:65)+100</f>
        <v>100</v>
      </c>
      <c r="I9" s="2937" t="s">
        <v>27</v>
      </c>
      <c r="J9" s="135">
        <f>SUMIF(64:64,I9,65:65)-SUMIF(64:64,C9,65:65)+100</f>
        <v>100</v>
      </c>
      <c r="K9" s="611"/>
      <c r="L9" s="1135"/>
      <c r="M9" s="1136"/>
      <c r="N9" s="1136"/>
      <c r="O9" s="1136"/>
      <c r="P9" s="3201" t="s">
        <v>2547</v>
      </c>
      <c r="Q9" s="1799" t="str">
        <f t="shared" ref="Q9:Q15" si="6">B9</f>
        <v>用途</v>
      </c>
      <c r="R9" s="770" t="s">
        <v>17</v>
      </c>
      <c r="S9" s="771">
        <f t="shared" si="0"/>
        <v>100</v>
      </c>
      <c r="T9" s="770" t="s">
        <v>17</v>
      </c>
      <c r="U9" s="771">
        <f t="shared" si="1"/>
        <v>100</v>
      </c>
      <c r="V9" s="770" t="s">
        <v>17</v>
      </c>
      <c r="W9" s="771">
        <f t="shared" si="2"/>
        <v>100</v>
      </c>
      <c r="X9" s="772"/>
      <c r="Y9" s="3060" t="s">
        <v>2548</v>
      </c>
      <c r="Z9" s="55" t="str">
        <f t="shared" ref="Z9:Z15" si="7">Q9</f>
        <v>用途</v>
      </c>
      <c r="AA9" s="773">
        <f t="shared" si="3"/>
        <v>1</v>
      </c>
      <c r="AB9" s="773">
        <f t="shared" si="4"/>
        <v>1</v>
      </c>
      <c r="AC9" s="2676">
        <f t="shared" si="5"/>
        <v>1</v>
      </c>
    </row>
    <row r="10" spans="1:29" s="427" customFormat="1" ht="27.75" thickBot="1">
      <c r="A10" s="421"/>
      <c r="B10" s="422" t="s">
        <v>2549</v>
      </c>
      <c r="C10" s="423" t="s">
        <v>3053</v>
      </c>
      <c r="D10" s="136">
        <v>100</v>
      </c>
      <c r="E10" s="423" t="s">
        <v>3053</v>
      </c>
      <c r="F10" s="136">
        <f>SUMIF(66:66,E10,67:67)-SUMIF(66:66,C10,67:67)+100</f>
        <v>100</v>
      </c>
      <c r="G10" s="424" t="s">
        <v>3053</v>
      </c>
      <c r="H10" s="136">
        <f>SUMIF(66:66,G10,67:67)-SUMIF(66:66,C10,67:67)+100</f>
        <v>100</v>
      </c>
      <c r="I10" s="423" t="s">
        <v>3053</v>
      </c>
      <c r="J10" s="136">
        <f>SUMIF(66:66,I10,67:67)-SUMIF(66:66,C10,67:67)+100</f>
        <v>100</v>
      </c>
      <c r="K10" s="612">
        <v>3</v>
      </c>
      <c r="L10" s="1138"/>
      <c r="M10" s="1139"/>
      <c r="N10" s="1139"/>
      <c r="O10" s="1139"/>
      <c r="P10" s="3201"/>
      <c r="Q10" s="1799"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2676">
        <f t="shared" si="5"/>
        <v>1</v>
      </c>
    </row>
    <row r="11" spans="1:29" ht="15" hidden="1">
      <c r="A11" s="428"/>
      <c r="B11" s="422" t="s">
        <v>2550</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01"/>
      <c r="Q11" s="1799" t="str">
        <f t="shared" si="6"/>
        <v>容积率</v>
      </c>
      <c r="R11" s="770" t="s">
        <v>17</v>
      </c>
      <c r="S11" s="771">
        <f t="shared" si="0"/>
        <v>100</v>
      </c>
      <c r="T11" s="770" t="s">
        <v>17</v>
      </c>
      <c r="U11" s="771">
        <f t="shared" si="1"/>
        <v>100</v>
      </c>
      <c r="V11" s="770" t="s">
        <v>17</v>
      </c>
      <c r="W11" s="771">
        <f t="shared" si="2"/>
        <v>100</v>
      </c>
      <c r="X11" s="772"/>
      <c r="Y11" s="3060"/>
      <c r="Z11" s="55" t="str">
        <f t="shared" si="7"/>
        <v>容积率</v>
      </c>
      <c r="AA11" s="773">
        <f t="shared" si="3"/>
        <v>1</v>
      </c>
      <c r="AB11" s="773">
        <f t="shared" si="4"/>
        <v>1</v>
      </c>
      <c r="AC11" s="2676">
        <f t="shared" si="5"/>
        <v>1</v>
      </c>
    </row>
    <row r="12" spans="1:29" s="117" customFormat="1" ht="15" hidden="1">
      <c r="A12" s="431"/>
      <c r="B12" s="2605"/>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01"/>
      <c r="Q12" s="1799">
        <f t="shared" si="6"/>
        <v>0</v>
      </c>
      <c r="R12" s="770" t="s">
        <v>17</v>
      </c>
      <c r="S12" s="771">
        <f t="shared" si="0"/>
        <v>100</v>
      </c>
      <c r="T12" s="770" t="s">
        <v>17</v>
      </c>
      <c r="U12" s="771">
        <f t="shared" si="1"/>
        <v>100</v>
      </c>
      <c r="V12" s="770" t="s">
        <v>17</v>
      </c>
      <c r="W12" s="771">
        <f t="shared" si="2"/>
        <v>100</v>
      </c>
      <c r="X12" s="772"/>
      <c r="Y12" s="3060"/>
      <c r="Z12" s="55">
        <f t="shared" si="7"/>
        <v>0</v>
      </c>
      <c r="AA12" s="773">
        <f>D12/F12</f>
        <v>1</v>
      </c>
      <c r="AB12" s="773">
        <f>D12/H12</f>
        <v>1</v>
      </c>
      <c r="AC12" s="2676">
        <f>D12/J12</f>
        <v>1</v>
      </c>
    </row>
    <row r="13" spans="1:29" ht="15" hidden="1">
      <c r="A13" s="428"/>
      <c r="B13" s="2605"/>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01"/>
      <c r="Q13" s="1799">
        <f t="shared" si="6"/>
        <v>0</v>
      </c>
      <c r="R13" s="770" t="s">
        <v>17</v>
      </c>
      <c r="S13" s="771">
        <f t="shared" si="0"/>
        <v>100</v>
      </c>
      <c r="T13" s="770" t="s">
        <v>17</v>
      </c>
      <c r="U13" s="771">
        <f t="shared" si="1"/>
        <v>100</v>
      </c>
      <c r="V13" s="770" t="s">
        <v>17</v>
      </c>
      <c r="W13" s="771">
        <f t="shared" si="2"/>
        <v>100</v>
      </c>
      <c r="X13" s="772"/>
      <c r="Y13" s="3060"/>
      <c r="Z13" s="55">
        <f t="shared" si="7"/>
        <v>0</v>
      </c>
      <c r="AA13" s="773">
        <f t="shared" si="3"/>
        <v>1</v>
      </c>
      <c r="AB13" s="773">
        <f t="shared" si="4"/>
        <v>1</v>
      </c>
      <c r="AC13" s="2676">
        <f t="shared" si="5"/>
        <v>1</v>
      </c>
    </row>
    <row r="14" spans="1:29" ht="15.75" hidden="1" thickBot="1">
      <c r="A14" s="436"/>
      <c r="B14" s="2607"/>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01"/>
      <c r="Q14" s="1799">
        <f t="shared" si="6"/>
        <v>0</v>
      </c>
      <c r="R14" s="770" t="s">
        <v>17</v>
      </c>
      <c r="S14" s="771">
        <f t="shared" si="0"/>
        <v>100</v>
      </c>
      <c r="T14" s="770" t="s">
        <v>17</v>
      </c>
      <c r="U14" s="771">
        <f t="shared" si="1"/>
        <v>100</v>
      </c>
      <c r="V14" s="770" t="s">
        <v>17</v>
      </c>
      <c r="W14" s="771">
        <f t="shared" si="2"/>
        <v>100</v>
      </c>
      <c r="X14" s="772"/>
      <c r="Y14" s="3060"/>
      <c r="Z14" s="55">
        <f t="shared" si="7"/>
        <v>0</v>
      </c>
      <c r="AA14" s="773">
        <f t="shared" si="3"/>
        <v>1</v>
      </c>
      <c r="AB14" s="773">
        <f t="shared" si="4"/>
        <v>1</v>
      </c>
      <c r="AC14" s="2676">
        <f t="shared" si="5"/>
        <v>1</v>
      </c>
    </row>
    <row r="15" spans="1:29" ht="71.25">
      <c r="A15" s="440" t="s">
        <v>2551</v>
      </c>
      <c r="B15" s="629" t="s">
        <v>2679</v>
      </c>
      <c r="C15" s="2678" t="str">
        <f>估价对象房地状况!C5</f>
        <v>估价对象位于北京临空经济核心区，周边办公楼项目较少，入驻率高，办公集聚程度一般</v>
      </c>
      <c r="D15" s="441">
        <v>100</v>
      </c>
      <c r="E15" s="444"/>
      <c r="F15" s="441">
        <f>SUMIF(77:77,E16,78:78)-SUMIF(77:77,C16,78:78)+100</f>
        <v>100</v>
      </c>
      <c r="G15" s="442"/>
      <c r="H15" s="441">
        <f>SUMIF(77:77,G16,78:78)-SUMIF(77:77,C16,78:78)+100</f>
        <v>100</v>
      </c>
      <c r="I15" s="442"/>
      <c r="J15" s="441">
        <f>SUMIF(77:77,I16,78:78)-SUMIF(77:77,C16,78:78)+100</f>
        <v>100</v>
      </c>
      <c r="K15" s="614">
        <v>4</v>
      </c>
      <c r="L15" s="1143"/>
      <c r="M15" s="1134"/>
      <c r="N15" s="1134"/>
      <c r="O15" s="1134"/>
      <c r="P15" s="3221" t="s">
        <v>2552</v>
      </c>
      <c r="Q15" s="1814" t="str">
        <f t="shared" si="6"/>
        <v>办公集聚程度</v>
      </c>
      <c r="R15" s="774" t="s">
        <v>17</v>
      </c>
      <c r="S15" s="775">
        <f t="shared" si="0"/>
        <v>100</v>
      </c>
      <c r="T15" s="774" t="s">
        <v>17</v>
      </c>
      <c r="U15" s="775">
        <f t="shared" si="1"/>
        <v>100</v>
      </c>
      <c r="V15" s="774" t="s">
        <v>17</v>
      </c>
      <c r="W15" s="775">
        <f t="shared" si="2"/>
        <v>100</v>
      </c>
      <c r="X15" s="1817"/>
      <c r="Y15" s="3223" t="s">
        <v>2552</v>
      </c>
      <c r="Z15" s="1818" t="str">
        <f t="shared" si="7"/>
        <v>办公集聚程度</v>
      </c>
      <c r="AA15" s="1815">
        <f t="shared" si="3"/>
        <v>1</v>
      </c>
      <c r="AB15" s="1815">
        <f t="shared" si="4"/>
        <v>1</v>
      </c>
      <c r="AC15" s="2679">
        <f t="shared" si="5"/>
        <v>1</v>
      </c>
    </row>
    <row r="16" spans="1:29" ht="15">
      <c r="A16" s="428"/>
      <c r="B16" s="630"/>
      <c r="C16" s="2616" t="s">
        <v>3054</v>
      </c>
      <c r="D16" s="448"/>
      <c r="E16" s="447" t="s">
        <v>3054</v>
      </c>
      <c r="F16" s="448"/>
      <c r="G16" s="447" t="s">
        <v>3054</v>
      </c>
      <c r="H16" s="450"/>
      <c r="I16" s="447" t="s">
        <v>3054</v>
      </c>
      <c r="J16" s="448"/>
      <c r="K16" s="615"/>
      <c r="L16" s="1143"/>
      <c r="M16" s="1134"/>
      <c r="N16" s="1134"/>
      <c r="O16" s="1134"/>
      <c r="P16" s="3222"/>
      <c r="Q16" s="1814"/>
      <c r="R16" s="774"/>
      <c r="S16" s="775"/>
      <c r="T16" s="774"/>
      <c r="U16" s="775"/>
      <c r="V16" s="774"/>
      <c r="W16" s="775"/>
      <c r="X16" s="1817"/>
      <c r="Y16" s="3224"/>
      <c r="Z16" s="1818"/>
      <c r="AA16" s="1815">
        <v>1</v>
      </c>
      <c r="AB16" s="1815">
        <v>1</v>
      </c>
      <c r="AC16" s="2679">
        <v>1</v>
      </c>
    </row>
    <row r="17" spans="1:29" ht="171">
      <c r="A17" s="428"/>
      <c r="B17" s="631" t="s">
        <v>2096</v>
      </c>
      <c r="C17" s="2680"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SUMIF(79:79,E18,80:80)-SUMIF(79:79,C18,80:80)+100</f>
        <v>100</v>
      </c>
      <c r="G17" s="454"/>
      <c r="H17" s="455">
        <f>SUMIF(79:79,G18,80:80)-SUMIF(79:79,C18,80:80)+100</f>
        <v>100</v>
      </c>
      <c r="I17" s="454"/>
      <c r="J17" s="455">
        <f>SUMIF(79:79,I18,80:80)-SUMIF(79:79,C18,80:80)+100</f>
        <v>100</v>
      </c>
      <c r="K17" s="614">
        <v>3</v>
      </c>
      <c r="L17" s="1143"/>
      <c r="M17" s="1134"/>
      <c r="N17" s="1134"/>
      <c r="O17" s="1134"/>
      <c r="P17" s="3222"/>
      <c r="Q17" s="1814" t="str">
        <f>B17</f>
        <v>交通便捷度</v>
      </c>
      <c r="R17" s="774" t="s">
        <v>17</v>
      </c>
      <c r="S17" s="775">
        <f>F17</f>
        <v>100</v>
      </c>
      <c r="T17" s="774" t="s">
        <v>17</v>
      </c>
      <c r="U17" s="775">
        <f>H17</f>
        <v>100</v>
      </c>
      <c r="V17" s="774" t="s">
        <v>17</v>
      </c>
      <c r="W17" s="775">
        <f>J17</f>
        <v>100</v>
      </c>
      <c r="X17" s="1817"/>
      <c r="Y17" s="3224"/>
      <c r="Z17" s="1818" t="str">
        <f>Q17</f>
        <v>交通便捷度</v>
      </c>
      <c r="AA17" s="1815">
        <f t="shared" si="3"/>
        <v>1</v>
      </c>
      <c r="AB17" s="1815">
        <f t="shared" si="4"/>
        <v>1</v>
      </c>
      <c r="AC17" s="2679">
        <f t="shared" si="5"/>
        <v>1</v>
      </c>
    </row>
    <row r="18" spans="1:29" ht="15">
      <c r="A18" s="428"/>
      <c r="B18" s="632"/>
      <c r="C18" s="2681" t="s">
        <v>3054</v>
      </c>
      <c r="D18" s="450"/>
      <c r="E18" s="2614" t="s">
        <v>3054</v>
      </c>
      <c r="F18" s="450"/>
      <c r="G18" s="2614" t="s">
        <v>3054</v>
      </c>
      <c r="H18" s="448"/>
      <c r="I18" s="2614" t="s">
        <v>3054</v>
      </c>
      <c r="J18" s="448"/>
      <c r="K18" s="615"/>
      <c r="L18" s="1143"/>
      <c r="M18" s="1134"/>
      <c r="N18" s="1134"/>
      <c r="O18" s="1134"/>
      <c r="P18" s="3222"/>
      <c r="Q18" s="1814"/>
      <c r="R18" s="774"/>
      <c r="S18" s="775"/>
      <c r="T18" s="774"/>
      <c r="U18" s="775"/>
      <c r="V18" s="774"/>
      <c r="W18" s="775"/>
      <c r="X18" s="1817"/>
      <c r="Y18" s="3224"/>
      <c r="Z18" s="1818"/>
      <c r="AA18" s="1815">
        <v>1</v>
      </c>
      <c r="AB18" s="1815">
        <v>1</v>
      </c>
      <c r="AC18" s="2679">
        <v>1</v>
      </c>
    </row>
    <row r="19" spans="1:29" ht="199.5">
      <c r="A19" s="428"/>
      <c r="B19" s="631" t="s">
        <v>2680</v>
      </c>
      <c r="C19" s="2680"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SUMIF(81:81,E20,82:82)-SUMIF(81:81,C20,82:82)+100</f>
        <v>100</v>
      </c>
      <c r="G19" s="459"/>
      <c r="H19" s="450">
        <f>SUMIF(81:81,G20,82:82)-SUMIF(81:81,C20,82:82)+100</f>
        <v>100</v>
      </c>
      <c r="I19" s="459"/>
      <c r="J19" s="450">
        <f>SUMIF(81:81,I20,82:82)-SUMIF(81:81,C20,82:82)+100</f>
        <v>100</v>
      </c>
      <c r="K19" s="614">
        <v>2</v>
      </c>
      <c r="L19" s="1143"/>
      <c r="M19" s="1134"/>
      <c r="N19" s="1134"/>
      <c r="O19" s="1134"/>
      <c r="P19" s="3222"/>
      <c r="Q19" s="1814" t="str">
        <f>B19</f>
        <v>公共配套设施</v>
      </c>
      <c r="R19" s="774" t="s">
        <v>17</v>
      </c>
      <c r="S19" s="775">
        <f>F19</f>
        <v>100</v>
      </c>
      <c r="T19" s="774" t="s">
        <v>17</v>
      </c>
      <c r="U19" s="775">
        <f>H19</f>
        <v>100</v>
      </c>
      <c r="V19" s="774" t="s">
        <v>17</v>
      </c>
      <c r="W19" s="775">
        <f>J19</f>
        <v>100</v>
      </c>
      <c r="X19" s="1817"/>
      <c r="Y19" s="3224"/>
      <c r="Z19" s="1818" t="str">
        <f>Q19</f>
        <v>公共配套设施</v>
      </c>
      <c r="AA19" s="1815">
        <f t="shared" si="3"/>
        <v>1</v>
      </c>
      <c r="AB19" s="1815">
        <f t="shared" si="4"/>
        <v>1</v>
      </c>
      <c r="AC19" s="2679">
        <f t="shared" si="5"/>
        <v>1</v>
      </c>
    </row>
    <row r="20" spans="1:29" ht="15">
      <c r="A20" s="428"/>
      <c r="B20" s="632"/>
      <c r="C20" s="2616" t="s">
        <v>3055</v>
      </c>
      <c r="D20" s="448"/>
      <c r="E20" s="2609" t="s">
        <v>3055</v>
      </c>
      <c r="F20" s="448"/>
      <c r="G20" s="2609" t="s">
        <v>3055</v>
      </c>
      <c r="H20" s="448"/>
      <c r="I20" s="2609" t="s">
        <v>3055</v>
      </c>
      <c r="J20" s="448"/>
      <c r="K20" s="615"/>
      <c r="L20" s="1143"/>
      <c r="M20" s="1134"/>
      <c r="N20" s="1134"/>
      <c r="O20" s="1134"/>
      <c r="P20" s="3222"/>
      <c r="Q20" s="1814"/>
      <c r="R20" s="774"/>
      <c r="S20" s="775"/>
      <c r="T20" s="774"/>
      <c r="U20" s="775"/>
      <c r="V20" s="774"/>
      <c r="W20" s="775"/>
      <c r="X20" s="1817"/>
      <c r="Y20" s="3224"/>
      <c r="Z20" s="1818"/>
      <c r="AA20" s="1815">
        <v>1</v>
      </c>
      <c r="AB20" s="1815">
        <v>1</v>
      </c>
      <c r="AC20" s="2679">
        <v>1</v>
      </c>
    </row>
    <row r="21" spans="1:29" ht="42.75">
      <c r="A21" s="428"/>
      <c r="B21" s="633" t="s">
        <v>2681</v>
      </c>
      <c r="C21" s="2680" t="str">
        <f>估价对象房地状况!C8</f>
        <v>估价对象所在区域基础设施水平——七通</v>
      </c>
      <c r="D21" s="450">
        <v>100</v>
      </c>
      <c r="E21" s="459"/>
      <c r="F21" s="455">
        <f>SUMIF(83:83,E22,84:84)-SUMIF(83:83,C22,84:84)+100</f>
        <v>100</v>
      </c>
      <c r="G21" s="459"/>
      <c r="H21" s="450">
        <f>SUMIF(83:83,G22,84:84)-SUMIF(83:83,C22,84:84)+100</f>
        <v>100</v>
      </c>
      <c r="I21" s="459"/>
      <c r="J21" s="450">
        <f>SUMIF(83:83,I22,84:84)-SUMIF(83:83,C22,84:84)+100</f>
        <v>100</v>
      </c>
      <c r="K21" s="614">
        <v>2</v>
      </c>
      <c r="L21" s="1143"/>
      <c r="M21" s="1134"/>
      <c r="N21" s="1134"/>
      <c r="O21" s="1134"/>
      <c r="P21" s="3222"/>
      <c r="Q21" s="1814" t="str">
        <f>B21</f>
        <v>基础设施水平</v>
      </c>
      <c r="R21" s="774" t="s">
        <v>17</v>
      </c>
      <c r="S21" s="775">
        <f>F21</f>
        <v>100</v>
      </c>
      <c r="T21" s="774" t="s">
        <v>17</v>
      </c>
      <c r="U21" s="775">
        <f>H21</f>
        <v>100</v>
      </c>
      <c r="V21" s="774" t="s">
        <v>17</v>
      </c>
      <c r="W21" s="775">
        <f>J21</f>
        <v>100</v>
      </c>
      <c r="X21" s="1817"/>
      <c r="Y21" s="3224"/>
      <c r="Z21" s="1818" t="str">
        <f>Q21</f>
        <v>基础设施水平</v>
      </c>
      <c r="AA21" s="1815">
        <f t="shared" ref="AA21" si="8">D21/F21</f>
        <v>1</v>
      </c>
      <c r="AB21" s="1815">
        <f t="shared" ref="AB21" si="9">D21/H21</f>
        <v>1</v>
      </c>
      <c r="AC21" s="2679">
        <f t="shared" ref="AC21" si="10">D21/J21</f>
        <v>1</v>
      </c>
    </row>
    <row r="22" spans="1:29" ht="15">
      <c r="A22" s="428"/>
      <c r="B22" s="633"/>
      <c r="C22" s="2681" t="s">
        <v>3056</v>
      </c>
      <c r="D22" s="448"/>
      <c r="E22" s="447" t="s">
        <v>3056</v>
      </c>
      <c r="F22" s="448"/>
      <c r="G22" s="447" t="s">
        <v>3056</v>
      </c>
      <c r="H22" s="448"/>
      <c r="I22" s="447" t="s">
        <v>3056</v>
      </c>
      <c r="J22" s="448"/>
      <c r="K22" s="1386"/>
      <c r="L22" s="1143"/>
      <c r="M22" s="1134"/>
      <c r="N22" s="1134"/>
      <c r="O22" s="1134"/>
      <c r="P22" s="3222"/>
      <c r="Q22" s="1814"/>
      <c r="R22" s="774"/>
      <c r="S22" s="775"/>
      <c r="T22" s="774"/>
      <c r="U22" s="775"/>
      <c r="V22" s="774"/>
      <c r="W22" s="775"/>
      <c r="X22" s="1817"/>
      <c r="Y22" s="3224"/>
      <c r="Z22" s="1818"/>
      <c r="AA22" s="1815">
        <v>1</v>
      </c>
      <c r="AB22" s="1815">
        <v>1</v>
      </c>
      <c r="AC22" s="2679">
        <v>1</v>
      </c>
    </row>
    <row r="23" spans="1:29" ht="99.75">
      <c r="A23" s="428"/>
      <c r="B23" s="631" t="s">
        <v>2682</v>
      </c>
      <c r="C23" s="2680" t="str">
        <f>估价对象房地状况!C9</f>
        <v>估价对象2公里内有西湖园，自然环境一般，区域内有首都机场体育馆，人文环境一般。综合评价环境状况一般。</v>
      </c>
      <c r="D23" s="450">
        <v>100</v>
      </c>
      <c r="E23" s="454"/>
      <c r="F23" s="450">
        <f>SUMIF(85:85,E24,86:86)-SUMIF(85:85,C24,86:86)+100</f>
        <v>100</v>
      </c>
      <c r="G23" s="454"/>
      <c r="H23" s="450">
        <f>SUMIF(85:85,G24,86:86)-SUMIF(85:85,C24,86:86)+100</f>
        <v>100</v>
      </c>
      <c r="I23" s="454"/>
      <c r="J23" s="450">
        <f>SUMIF(85:85,I24,86:86)-SUMIF(85:85,C24,86:86)+100</f>
        <v>100</v>
      </c>
      <c r="K23" s="614">
        <v>2</v>
      </c>
      <c r="L23" s="1143"/>
      <c r="M23" s="1134"/>
      <c r="N23" s="1134"/>
      <c r="O23" s="1134"/>
      <c r="P23" s="3222"/>
      <c r="Q23" s="1814" t="str">
        <f>B23</f>
        <v>环境质量</v>
      </c>
      <c r="R23" s="774" t="s">
        <v>17</v>
      </c>
      <c r="S23" s="775">
        <f>F23</f>
        <v>100</v>
      </c>
      <c r="T23" s="774" t="s">
        <v>17</v>
      </c>
      <c r="U23" s="775">
        <f>H23</f>
        <v>100</v>
      </c>
      <c r="V23" s="774" t="s">
        <v>17</v>
      </c>
      <c r="W23" s="775">
        <f>J23</f>
        <v>100</v>
      </c>
      <c r="X23" s="1817"/>
      <c r="Y23" s="3224"/>
      <c r="Z23" s="1818" t="str">
        <f>Q23</f>
        <v>环境质量</v>
      </c>
      <c r="AA23" s="1815">
        <f t="shared" si="3"/>
        <v>1</v>
      </c>
      <c r="AB23" s="1815">
        <f t="shared" si="4"/>
        <v>1</v>
      </c>
      <c r="AC23" s="2679">
        <f t="shared" si="5"/>
        <v>1</v>
      </c>
    </row>
    <row r="24" spans="1:29" ht="15">
      <c r="A24" s="428"/>
      <c r="B24" s="633"/>
      <c r="C24" s="2616" t="s">
        <v>3054</v>
      </c>
      <c r="D24" s="448"/>
      <c r="E24" s="2609" t="s">
        <v>3054</v>
      </c>
      <c r="F24" s="448"/>
      <c r="G24" s="2609" t="s">
        <v>3054</v>
      </c>
      <c r="H24" s="448"/>
      <c r="I24" s="2609" t="s">
        <v>3054</v>
      </c>
      <c r="J24" s="448"/>
      <c r="K24" s="615"/>
      <c r="L24" s="1143"/>
      <c r="M24" s="1134"/>
      <c r="N24" s="1134"/>
      <c r="O24" s="1134"/>
      <c r="P24" s="3222"/>
      <c r="Q24" s="1814"/>
      <c r="R24" s="774"/>
      <c r="S24" s="775"/>
      <c r="T24" s="774"/>
      <c r="U24" s="775"/>
      <c r="V24" s="774"/>
      <c r="W24" s="775"/>
      <c r="X24" s="1817"/>
      <c r="Y24" s="3224"/>
      <c r="Z24" s="1818"/>
      <c r="AA24" s="1815">
        <v>1</v>
      </c>
      <c r="AB24" s="1815">
        <v>1</v>
      </c>
      <c r="AC24" s="2679">
        <v>1</v>
      </c>
    </row>
    <row r="25" spans="1:29" ht="27">
      <c r="A25" s="404"/>
      <c r="B25" s="631" t="s">
        <v>2683</v>
      </c>
      <c r="C25" s="2620" t="s">
        <v>3067</v>
      </c>
      <c r="D25" s="435">
        <v>100</v>
      </c>
      <c r="E25" s="434"/>
      <c r="F25" s="435">
        <f>SUMIF(87:87,E26,88:88)-SUMIF(87:87,C26,88:88)+100</f>
        <v>100</v>
      </c>
      <c r="G25" s="2620"/>
      <c r="H25" s="435">
        <f>SUMIF(87:87,G26,88:88)-SUMIF(87:87,C26,88:88)+100</f>
        <v>100</v>
      </c>
      <c r="I25" s="2620"/>
      <c r="J25" s="435">
        <f>SUMIF(87:87,I26,88:88)-SUMIF(87:87,C26,88:88)+100</f>
        <v>100</v>
      </c>
      <c r="K25" s="614">
        <v>2</v>
      </c>
      <c r="L25" s="1143"/>
      <c r="M25" s="1134"/>
      <c r="N25" s="1134"/>
      <c r="O25" s="1134"/>
      <c r="P25" s="3222"/>
      <c r="Q25" s="1814" t="str">
        <f>B25</f>
        <v>毗邻道路的类型与等级</v>
      </c>
      <c r="R25" s="774" t="s">
        <v>17</v>
      </c>
      <c r="S25" s="775">
        <f>F25</f>
        <v>100</v>
      </c>
      <c r="T25" s="774" t="s">
        <v>17</v>
      </c>
      <c r="U25" s="775">
        <f>H25</f>
        <v>100</v>
      </c>
      <c r="V25" s="774" t="s">
        <v>17</v>
      </c>
      <c r="W25" s="775">
        <f>J25</f>
        <v>100</v>
      </c>
      <c r="X25" s="1817"/>
      <c r="Y25" s="3224"/>
      <c r="Z25" s="1818" t="str">
        <f>Q25</f>
        <v>毗邻道路的类型与等级</v>
      </c>
      <c r="AA25" s="1815">
        <f t="shared" si="3"/>
        <v>1</v>
      </c>
      <c r="AB25" s="1815">
        <f t="shared" si="4"/>
        <v>1</v>
      </c>
      <c r="AC25" s="2679">
        <f t="shared" si="5"/>
        <v>1</v>
      </c>
    </row>
    <row r="26" spans="1:29" ht="15">
      <c r="A26" s="404"/>
      <c r="B26" s="632"/>
      <c r="C26" s="634" t="s">
        <v>3068</v>
      </c>
      <c r="D26" s="435"/>
      <c r="E26" s="634" t="s">
        <v>3068</v>
      </c>
      <c r="F26" s="435"/>
      <c r="G26" s="634" t="s">
        <v>3068</v>
      </c>
      <c r="H26" s="435"/>
      <c r="I26" s="634" t="s">
        <v>3068</v>
      </c>
      <c r="J26" s="435"/>
      <c r="K26" s="615"/>
      <c r="L26" s="1143"/>
      <c r="M26" s="1134"/>
      <c r="N26" s="1134"/>
      <c r="O26" s="1134"/>
      <c r="P26" s="3222"/>
      <c r="Q26" s="1814"/>
      <c r="R26" s="774"/>
      <c r="S26" s="775"/>
      <c r="T26" s="774"/>
      <c r="U26" s="775"/>
      <c r="V26" s="774"/>
      <c r="W26" s="775"/>
      <c r="X26" s="1817"/>
      <c r="Y26" s="3224"/>
      <c r="Z26" s="1818"/>
      <c r="AA26" s="1815">
        <v>1</v>
      </c>
      <c r="AB26" s="1815">
        <v>1</v>
      </c>
      <c r="AC26" s="2679">
        <v>1</v>
      </c>
    </row>
    <row r="27" spans="1:29" ht="15">
      <c r="A27" s="428"/>
      <c r="B27" s="632" t="s">
        <v>2651</v>
      </c>
      <c r="C27" s="634" t="s">
        <v>3069</v>
      </c>
      <c r="D27" s="435">
        <v>100</v>
      </c>
      <c r="E27" s="634" t="s">
        <v>3069</v>
      </c>
      <c r="F27" s="435">
        <f>SUMIF(89:89,E27,90:90)-SUMIF(89:89,C27,90:90)+100</f>
        <v>100</v>
      </c>
      <c r="G27" s="634" t="s">
        <v>3069</v>
      </c>
      <c r="H27" s="435">
        <f>SUMIF(89:89,G27,90:90)-SUMIF(89:89,C27,90:90)+100</f>
        <v>100</v>
      </c>
      <c r="I27" s="634" t="s">
        <v>3069</v>
      </c>
      <c r="J27" s="435">
        <f>SUMIF(89:89,I27,90:90)-SUMIF(89:89,C27,90:90)+100</f>
        <v>100</v>
      </c>
      <c r="K27" s="612">
        <v>10</v>
      </c>
      <c r="L27" s="1143"/>
      <c r="M27" s="1134"/>
      <c r="N27" s="1134"/>
      <c r="O27" s="1134"/>
      <c r="P27" s="3222"/>
      <c r="Q27" s="1814" t="str">
        <f t="shared" ref="Q27:Q47" si="11">B27</f>
        <v>楼层</v>
      </c>
      <c r="R27" s="774" t="s">
        <v>17</v>
      </c>
      <c r="S27" s="775">
        <f>F27</f>
        <v>100</v>
      </c>
      <c r="T27" s="774" t="s">
        <v>17</v>
      </c>
      <c r="U27" s="775">
        <f>H27</f>
        <v>100</v>
      </c>
      <c r="V27" s="774" t="s">
        <v>17</v>
      </c>
      <c r="W27" s="775">
        <f>J27</f>
        <v>100</v>
      </c>
      <c r="X27" s="1817"/>
      <c r="Y27" s="3224"/>
      <c r="Z27" s="1818" t="str">
        <f>Q27</f>
        <v>楼层</v>
      </c>
      <c r="AA27" s="1815">
        <f t="shared" si="3"/>
        <v>1</v>
      </c>
      <c r="AB27" s="1815">
        <f t="shared" si="4"/>
        <v>1</v>
      </c>
      <c r="AC27" s="2679">
        <f t="shared" si="5"/>
        <v>1</v>
      </c>
    </row>
    <row r="28" spans="1:29" s="117" customFormat="1" ht="15" hidden="1">
      <c r="A28" s="431"/>
      <c r="B28" s="631" t="s">
        <v>2684</v>
      </c>
      <c r="C28" s="2682"/>
      <c r="D28" s="462">
        <v>100</v>
      </c>
      <c r="E28" s="2670"/>
      <c r="F28" s="435">
        <f>SUMIF(91:91,E28,92:92)-SUMIF(91:91,C28,92:92)+100</f>
        <v>100</v>
      </c>
      <c r="G28" s="2682"/>
      <c r="H28" s="435">
        <f>SUMIF(91:91,G28,92:92)-SUMIF(91:91,C28,92:92)+100</f>
        <v>100</v>
      </c>
      <c r="I28" s="2670"/>
      <c r="J28" s="435">
        <f>SUMIF(91:91,I28,92:92)-SUMIF(91:91,C28,92:92)+100</f>
        <v>100</v>
      </c>
      <c r="K28" s="612"/>
      <c r="L28" s="1135"/>
      <c r="M28" s="1136"/>
      <c r="N28" s="1136"/>
      <c r="O28" s="1136"/>
      <c r="P28" s="3222"/>
      <c r="Q28" s="1799" t="str">
        <f t="shared" si="11"/>
        <v>朝向</v>
      </c>
      <c r="R28" s="770" t="s">
        <v>17</v>
      </c>
      <c r="S28" s="771">
        <f>F28</f>
        <v>100</v>
      </c>
      <c r="T28" s="770" t="s">
        <v>17</v>
      </c>
      <c r="U28" s="771">
        <f>H28</f>
        <v>100</v>
      </c>
      <c r="V28" s="770" t="s">
        <v>17</v>
      </c>
      <c r="W28" s="771">
        <f>J28</f>
        <v>100</v>
      </c>
      <c r="X28" s="772"/>
      <c r="Y28" s="3224"/>
      <c r="Z28" s="55" t="str">
        <f>Q28</f>
        <v>朝向</v>
      </c>
      <c r="AA28" s="1815">
        <f>D28/F28</f>
        <v>1</v>
      </c>
      <c r="AB28" s="1815">
        <f>D28/H28</f>
        <v>1</v>
      </c>
      <c r="AC28" s="2679">
        <f>D28/J28</f>
        <v>1</v>
      </c>
    </row>
    <row r="29" spans="1:29" ht="15">
      <c r="A29" s="428"/>
      <c r="B29" s="2942" t="s">
        <v>3125</v>
      </c>
      <c r="C29" s="2943" t="s">
        <v>3126</v>
      </c>
      <c r="D29" s="435">
        <v>100</v>
      </c>
      <c r="E29" s="2943" t="s">
        <v>3126</v>
      </c>
      <c r="F29" s="435">
        <f>SUMIF(93:93,E29,94:94)-SUMIF(93:93,C29,94:94)+100</f>
        <v>100</v>
      </c>
      <c r="G29" s="2943" t="s">
        <v>3126</v>
      </c>
      <c r="H29" s="435">
        <f>SUMIF(93:93,G29,94:94)-SUMIF(93:93,C29,94:94)+100</f>
        <v>100</v>
      </c>
      <c r="I29" s="2943" t="s">
        <v>3126</v>
      </c>
      <c r="J29" s="435">
        <f>SUMIF(93:93,I29,94:94)-SUMIF(93:93,C29,94:94)+100</f>
        <v>100</v>
      </c>
      <c r="K29" s="613"/>
      <c r="L29" s="1143"/>
      <c r="M29" s="1134"/>
      <c r="N29" s="1134"/>
      <c r="O29" s="1134"/>
      <c r="P29" s="3222"/>
      <c r="Q29" s="1814" t="str">
        <f t="shared" si="11"/>
        <v>商业繁华度</v>
      </c>
      <c r="R29" s="774" t="s">
        <v>17</v>
      </c>
      <c r="S29" s="775">
        <f t="shared" ref="S29:S47" si="12">F29</f>
        <v>100</v>
      </c>
      <c r="T29" s="774" t="s">
        <v>17</v>
      </c>
      <c r="U29" s="775">
        <f t="shared" ref="U29:U47" si="13">H29</f>
        <v>100</v>
      </c>
      <c r="V29" s="774" t="s">
        <v>17</v>
      </c>
      <c r="W29" s="775">
        <f t="shared" ref="W29:W47" si="14">J29</f>
        <v>100</v>
      </c>
      <c r="X29" s="1817"/>
      <c r="Y29" s="3224"/>
      <c r="Z29" s="1818" t="str">
        <f t="shared" ref="Z29:Z47" si="15">Q29</f>
        <v>商业繁华度</v>
      </c>
      <c r="AA29" s="1815">
        <f t="shared" si="3"/>
        <v>1</v>
      </c>
      <c r="AB29" s="1815">
        <f t="shared" si="4"/>
        <v>1</v>
      </c>
      <c r="AC29" s="2679">
        <f t="shared" si="5"/>
        <v>1</v>
      </c>
    </row>
    <row r="30" spans="1:29" ht="15">
      <c r="A30" s="428"/>
      <c r="B30" s="2942" t="s">
        <v>3127</v>
      </c>
      <c r="C30" s="2943" t="s">
        <v>3128</v>
      </c>
      <c r="D30" s="435">
        <v>100</v>
      </c>
      <c r="E30" s="2943" t="s">
        <v>3128</v>
      </c>
      <c r="F30" s="435">
        <f>SUMIF(95:95,E30,96:96)-SUMIF(95:95,C30,96:96)+100</f>
        <v>100</v>
      </c>
      <c r="G30" s="2943" t="s">
        <v>3128</v>
      </c>
      <c r="H30" s="435">
        <f>SUMIF(95:95,G30,96:96)-SUMIF(95:95,C30,96:96)+100</f>
        <v>100</v>
      </c>
      <c r="I30" s="2943" t="s">
        <v>3128</v>
      </c>
      <c r="J30" s="435">
        <f>SUMIF(95:95,I30,96:96)-SUMIF(95:95,C30,96:96)+100</f>
        <v>100</v>
      </c>
      <c r="K30" s="613"/>
      <c r="L30" s="1143"/>
      <c r="M30" s="1134"/>
      <c r="N30" s="1134"/>
      <c r="O30" s="1134"/>
      <c r="P30" s="3222"/>
      <c r="Q30" s="1814" t="str">
        <f t="shared" si="11"/>
        <v>临街状况</v>
      </c>
      <c r="R30" s="774" t="s">
        <v>17</v>
      </c>
      <c r="S30" s="775">
        <f t="shared" si="12"/>
        <v>100</v>
      </c>
      <c r="T30" s="774" t="s">
        <v>17</v>
      </c>
      <c r="U30" s="775">
        <f t="shared" si="13"/>
        <v>100</v>
      </c>
      <c r="V30" s="774" t="s">
        <v>17</v>
      </c>
      <c r="W30" s="775">
        <f t="shared" si="14"/>
        <v>100</v>
      </c>
      <c r="X30" s="1817"/>
      <c r="Y30" s="3224"/>
      <c r="Z30" s="1818" t="str">
        <f t="shared" si="15"/>
        <v>临街状况</v>
      </c>
      <c r="AA30" s="1815">
        <f t="shared" si="3"/>
        <v>1</v>
      </c>
      <c r="AB30" s="1815">
        <f t="shared" si="4"/>
        <v>1</v>
      </c>
      <c r="AC30" s="2679">
        <f t="shared" si="5"/>
        <v>1</v>
      </c>
    </row>
    <row r="31" spans="1:29" ht="15.75" thickBot="1">
      <c r="A31" s="428"/>
      <c r="B31" s="2942" t="s">
        <v>3129</v>
      </c>
      <c r="C31" s="2943" t="s">
        <v>3126</v>
      </c>
      <c r="D31" s="435">
        <v>100</v>
      </c>
      <c r="E31" s="2943" t="s">
        <v>3126</v>
      </c>
      <c r="F31" s="435">
        <f>SUMIF(97:97,E31,98:98)-SUMIF(97:97,C31,98:98)+100</f>
        <v>100</v>
      </c>
      <c r="G31" s="2943" t="s">
        <v>3126</v>
      </c>
      <c r="H31" s="435">
        <f>SUMIF(97:97,G31,98:98)-SUMIF(97:97,C31,98:98)+100</f>
        <v>100</v>
      </c>
      <c r="I31" s="2943" t="s">
        <v>3126</v>
      </c>
      <c r="J31" s="435">
        <f>SUMIF(97:97,I31,98:98)-SUMIF(97:97,C31,98:98)+100</f>
        <v>100</v>
      </c>
      <c r="K31" s="613"/>
      <c r="L31" s="1143"/>
      <c r="M31" s="1134"/>
      <c r="N31" s="1134"/>
      <c r="O31" s="1134"/>
      <c r="P31" s="3222"/>
      <c r="Q31" s="1814" t="str">
        <f t="shared" si="11"/>
        <v>人流量</v>
      </c>
      <c r="R31" s="774" t="s">
        <v>17</v>
      </c>
      <c r="S31" s="775">
        <f t="shared" si="12"/>
        <v>100</v>
      </c>
      <c r="T31" s="774" t="s">
        <v>17</v>
      </c>
      <c r="U31" s="775">
        <f t="shared" si="13"/>
        <v>100</v>
      </c>
      <c r="V31" s="774" t="s">
        <v>17</v>
      </c>
      <c r="W31" s="775">
        <f t="shared" si="14"/>
        <v>100</v>
      </c>
      <c r="X31" s="1817"/>
      <c r="Y31" s="3224"/>
      <c r="Z31" s="1818" t="str">
        <f t="shared" si="15"/>
        <v>人流量</v>
      </c>
      <c r="AA31" s="1815">
        <f t="shared" si="3"/>
        <v>1</v>
      </c>
      <c r="AB31" s="1815">
        <f t="shared" si="4"/>
        <v>1</v>
      </c>
      <c r="AC31" s="2679">
        <f t="shared" si="5"/>
        <v>1</v>
      </c>
    </row>
    <row r="32" spans="1:29" ht="15.75" hidden="1" thickBot="1">
      <c r="A32" s="436"/>
      <c r="B32" s="635"/>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22"/>
      <c r="Q32" s="1814">
        <f t="shared" si="11"/>
        <v>0</v>
      </c>
      <c r="R32" s="774" t="s">
        <v>17</v>
      </c>
      <c r="S32" s="775">
        <f t="shared" si="12"/>
        <v>100</v>
      </c>
      <c r="T32" s="774" t="s">
        <v>17</v>
      </c>
      <c r="U32" s="775">
        <f t="shared" si="13"/>
        <v>100</v>
      </c>
      <c r="V32" s="774" t="s">
        <v>17</v>
      </c>
      <c r="W32" s="775">
        <f t="shared" si="14"/>
        <v>100</v>
      </c>
      <c r="X32" s="1817"/>
      <c r="Y32" s="3224"/>
      <c r="Z32" s="1818">
        <f t="shared" si="15"/>
        <v>0</v>
      </c>
      <c r="AA32" s="1815">
        <f t="shared" si="3"/>
        <v>1</v>
      </c>
      <c r="AB32" s="1815">
        <f t="shared" si="4"/>
        <v>1</v>
      </c>
      <c r="AC32" s="2679">
        <f t="shared" si="5"/>
        <v>1</v>
      </c>
    </row>
    <row r="33" spans="1:29" ht="15">
      <c r="A33" s="440" t="s">
        <v>2555</v>
      </c>
      <c r="B33" s="71" t="s">
        <v>2685</v>
      </c>
      <c r="C33" s="2684" t="s">
        <v>3059</v>
      </c>
      <c r="D33" s="467">
        <v>100</v>
      </c>
      <c r="E33" s="2684" t="s">
        <v>3059</v>
      </c>
      <c r="F33" s="461">
        <f>SUMIF(101:101,E33,102:102)-SUMIF(101:101,C33,102:102)+100</f>
        <v>100</v>
      </c>
      <c r="G33" s="2684" t="s">
        <v>3059</v>
      </c>
      <c r="H33" s="435">
        <f>SUMIF(101:101,G33,102:102)-SUMIF(101:101,C33,102:102)+100</f>
        <v>100</v>
      </c>
      <c r="I33" s="2684" t="s">
        <v>3059</v>
      </c>
      <c r="J33" s="467">
        <f>SUMIF(101:101,I33,102:102)-SUMIF(101:101,C33,102:102)+100</f>
        <v>100</v>
      </c>
      <c r="K33" s="612">
        <v>5</v>
      </c>
      <c r="L33" s="1143"/>
      <c r="M33" s="1134"/>
      <c r="N33" s="1134"/>
      <c r="O33" s="1134"/>
      <c r="P33" s="3225" t="s">
        <v>2557</v>
      </c>
      <c r="Q33" s="1814" t="str">
        <f t="shared" si="11"/>
        <v>建筑类型</v>
      </c>
      <c r="R33" s="774" t="s">
        <v>17</v>
      </c>
      <c r="S33" s="775">
        <f t="shared" si="12"/>
        <v>100</v>
      </c>
      <c r="T33" s="774" t="s">
        <v>17</v>
      </c>
      <c r="U33" s="775">
        <f t="shared" si="13"/>
        <v>100</v>
      </c>
      <c r="V33" s="774" t="s">
        <v>17</v>
      </c>
      <c r="W33" s="775">
        <f t="shared" si="14"/>
        <v>100</v>
      </c>
      <c r="X33" s="1817"/>
      <c r="Y33" s="3228" t="s">
        <v>2557</v>
      </c>
      <c r="Z33" s="1818" t="str">
        <f t="shared" si="15"/>
        <v>建筑类型</v>
      </c>
      <c r="AA33" s="1815">
        <f t="shared" si="3"/>
        <v>1</v>
      </c>
      <c r="AB33" s="1815">
        <f t="shared" si="4"/>
        <v>1</v>
      </c>
      <c r="AC33" s="2679">
        <f t="shared" si="5"/>
        <v>1</v>
      </c>
    </row>
    <row r="34" spans="1:29" s="471" customFormat="1" ht="15" hidden="1">
      <c r="A34" s="468"/>
      <c r="B34" s="422" t="s">
        <v>2558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26"/>
      <c r="Q34" s="776" t="str">
        <f t="shared" si="11"/>
        <v>项目建筑规模</v>
      </c>
      <c r="R34" s="777" t="s">
        <v>17</v>
      </c>
      <c r="S34" s="778">
        <f t="shared" si="12"/>
        <v>100</v>
      </c>
      <c r="T34" s="777" t="s">
        <v>17</v>
      </c>
      <c r="U34" s="778">
        <f t="shared" si="13"/>
        <v>100</v>
      </c>
      <c r="V34" s="777" t="s">
        <v>17</v>
      </c>
      <c r="W34" s="778">
        <f t="shared" si="14"/>
        <v>100</v>
      </c>
      <c r="X34" s="779"/>
      <c r="Y34" s="3228"/>
      <c r="Z34" s="780" t="str">
        <f t="shared" si="15"/>
        <v>项目建筑规模</v>
      </c>
      <c r="AA34" s="1815">
        <f t="shared" si="3"/>
        <v>1</v>
      </c>
      <c r="AB34" s="1815">
        <f t="shared" si="4"/>
        <v>1</v>
      </c>
      <c r="AC34" s="2679">
        <f t="shared" si="5"/>
        <v>1</v>
      </c>
    </row>
    <row r="35" spans="1:29" ht="15">
      <c r="A35" s="472"/>
      <c r="B35" s="422" t="s">
        <v>2559</v>
      </c>
      <c r="C35" s="460" t="s">
        <v>3060</v>
      </c>
      <c r="D35" s="435">
        <v>100</v>
      </c>
      <c r="E35" s="460" t="s">
        <v>3130</v>
      </c>
      <c r="F35" s="461">
        <f>SUMIF(106:106,E35,107:107)-SUMIF(106:106,C35,107:107)+100</f>
        <v>99</v>
      </c>
      <c r="G35" s="460" t="s">
        <v>3130</v>
      </c>
      <c r="H35" s="435">
        <f>SUMIF(106:106,G35,107:107)-SUMIF(106:106,C35,107:107)+100</f>
        <v>99</v>
      </c>
      <c r="I35" s="460" t="s">
        <v>3130</v>
      </c>
      <c r="J35" s="435">
        <f>SUMIF(106:106,I35,107:107)-SUMIF(106:106,C35,107:107)+100</f>
        <v>99</v>
      </c>
      <c r="K35" s="612">
        <v>1</v>
      </c>
      <c r="L35" s="1143"/>
      <c r="M35" s="1134"/>
      <c r="N35" s="1134"/>
      <c r="O35" s="1134"/>
      <c r="P35" s="3226"/>
      <c r="Q35" s="1814" t="str">
        <f t="shared" si="11"/>
        <v>建筑结构</v>
      </c>
      <c r="R35" s="774" t="s">
        <v>17</v>
      </c>
      <c r="S35" s="775">
        <f t="shared" si="12"/>
        <v>99</v>
      </c>
      <c r="T35" s="774" t="s">
        <v>17</v>
      </c>
      <c r="U35" s="775">
        <f t="shared" si="13"/>
        <v>99</v>
      </c>
      <c r="V35" s="774" t="s">
        <v>17</v>
      </c>
      <c r="W35" s="775">
        <f t="shared" si="14"/>
        <v>99</v>
      </c>
      <c r="X35" s="1817"/>
      <c r="Y35" s="3228"/>
      <c r="Z35" s="1818" t="str">
        <f t="shared" si="15"/>
        <v>建筑结构</v>
      </c>
      <c r="AA35" s="1815">
        <f t="shared" si="3"/>
        <v>1.0101010101010102</v>
      </c>
      <c r="AB35" s="1815">
        <f t="shared" si="4"/>
        <v>1.0101010101010102</v>
      </c>
      <c r="AC35" s="2679">
        <f t="shared" si="5"/>
        <v>1.0101010101010102</v>
      </c>
    </row>
    <row r="36" spans="1:29" ht="15">
      <c r="A36" s="472"/>
      <c r="B36" s="422" t="s">
        <v>2653</v>
      </c>
      <c r="C36" s="460" t="s">
        <v>3061</v>
      </c>
      <c r="D36" s="435">
        <v>100</v>
      </c>
      <c r="E36" s="460" t="s">
        <v>3061</v>
      </c>
      <c r="F36" s="461">
        <f>SUMIF(108:108,E36,109:109)-SUMIF(108:108,C36,109:109)+100</f>
        <v>100</v>
      </c>
      <c r="G36" s="460" t="s">
        <v>3061</v>
      </c>
      <c r="H36" s="435">
        <f>SUMIF(108:108,G36,109:109)-SUMIF(108:108,C36,109:109)+100</f>
        <v>100</v>
      </c>
      <c r="I36" s="460" t="s">
        <v>3061</v>
      </c>
      <c r="J36" s="435">
        <f>SUMIF(108:108,I36,109:109)-SUMIF(108:108,C36,109:109)+100</f>
        <v>100</v>
      </c>
      <c r="K36" s="612">
        <v>2</v>
      </c>
      <c r="L36" s="1143"/>
      <c r="M36" s="1134"/>
      <c r="N36" s="1134"/>
      <c r="O36" s="1134"/>
      <c r="P36" s="3226"/>
      <c r="Q36" s="1814" t="str">
        <f t="shared" si="11"/>
        <v>公共部分装修</v>
      </c>
      <c r="R36" s="774" t="s">
        <v>17</v>
      </c>
      <c r="S36" s="775">
        <f t="shared" si="12"/>
        <v>100</v>
      </c>
      <c r="T36" s="774" t="s">
        <v>17</v>
      </c>
      <c r="U36" s="775">
        <f t="shared" si="13"/>
        <v>100</v>
      </c>
      <c r="V36" s="774" t="s">
        <v>17</v>
      </c>
      <c r="W36" s="775">
        <f t="shared" si="14"/>
        <v>100</v>
      </c>
      <c r="X36" s="1817"/>
      <c r="Y36" s="3228"/>
      <c r="Z36" s="1818" t="str">
        <f t="shared" si="15"/>
        <v>公共部分装修</v>
      </c>
      <c r="AA36" s="1815">
        <f t="shared" si="3"/>
        <v>1</v>
      </c>
      <c r="AB36" s="1815">
        <f t="shared" si="4"/>
        <v>1</v>
      </c>
      <c r="AC36" s="2679">
        <f t="shared" si="5"/>
        <v>1</v>
      </c>
    </row>
    <row r="37" spans="1:29" ht="15">
      <c r="A37" s="472"/>
      <c r="B37" s="422" t="s">
        <v>2654</v>
      </c>
      <c r="C37" s="474">
        <f>'数据-取费表'!N6</f>
        <v>0.85</v>
      </c>
      <c r="D37" s="435">
        <v>100</v>
      </c>
      <c r="E37" s="474">
        <v>0.75</v>
      </c>
      <c r="F37" s="461">
        <f>LOOKUP(E37,111:111,112:112)-LOOKUP(C37,111:111,112:112)+100</f>
        <v>99</v>
      </c>
      <c r="G37" s="474">
        <v>0.75</v>
      </c>
      <c r="H37" s="461">
        <f>LOOKUP(G37,111:111,112:112)-LOOKUP(C37,111:111,112:112)+100</f>
        <v>99</v>
      </c>
      <c r="I37" s="474">
        <v>0.75</v>
      </c>
      <c r="J37" s="435">
        <f>LOOKUP(I37,111:111,112:112)-LOOKUP(C37,111:111,112:112)+100</f>
        <v>99</v>
      </c>
      <c r="K37" s="612">
        <v>1</v>
      </c>
      <c r="L37" s="1143"/>
      <c r="M37" s="1134"/>
      <c r="N37" s="1134"/>
      <c r="O37" s="1134"/>
      <c r="P37" s="3226"/>
      <c r="Q37" s="1814" t="str">
        <f t="shared" si="11"/>
        <v>成新度</v>
      </c>
      <c r="R37" s="774" t="s">
        <v>17</v>
      </c>
      <c r="S37" s="775">
        <f t="shared" si="12"/>
        <v>99</v>
      </c>
      <c r="T37" s="774" t="s">
        <v>17</v>
      </c>
      <c r="U37" s="775">
        <f t="shared" si="13"/>
        <v>99</v>
      </c>
      <c r="V37" s="774" t="s">
        <v>17</v>
      </c>
      <c r="W37" s="775">
        <f t="shared" si="14"/>
        <v>99</v>
      </c>
      <c r="X37" s="1817"/>
      <c r="Y37" s="3228"/>
      <c r="Z37" s="1818" t="str">
        <f t="shared" si="15"/>
        <v>成新度</v>
      </c>
      <c r="AA37" s="1815">
        <f t="shared" si="3"/>
        <v>1.0101010101010102</v>
      </c>
      <c r="AB37" s="1815">
        <f t="shared" si="4"/>
        <v>1.0101010101010102</v>
      </c>
      <c r="AC37" s="2679">
        <f t="shared" si="5"/>
        <v>1.0101010101010102</v>
      </c>
    </row>
    <row r="38" spans="1:29" s="117" customFormat="1" ht="15" hidden="1">
      <c r="A38" s="473"/>
      <c r="B38" s="422" t="s">
        <v>2686</v>
      </c>
      <c r="C38" s="460" t="s">
        <v>3062</v>
      </c>
      <c r="D38" s="136">
        <v>100</v>
      </c>
      <c r="E38" s="460" t="s">
        <v>3062</v>
      </c>
      <c r="F38" s="461">
        <f>SUMIF(113:113,E38,114:114)-SUMIF(113:113,C38,114:114)+100</f>
        <v>100</v>
      </c>
      <c r="G38" s="460" t="s">
        <v>3062</v>
      </c>
      <c r="H38" s="435">
        <f>SUMIF(113:113,G38,114:114)-SUMIF(113:113,C38,114:114)+100</f>
        <v>100</v>
      </c>
      <c r="I38" s="460" t="s">
        <v>3062</v>
      </c>
      <c r="J38" s="435">
        <f>SUMIF(113:113,I38,114:114)-SUMIF(113:113,C38,114:114)+100</f>
        <v>100</v>
      </c>
      <c r="K38" s="612">
        <v>0</v>
      </c>
      <c r="L38" s="1135"/>
      <c r="M38" s="1136"/>
      <c r="N38" s="1136"/>
      <c r="O38" s="1136"/>
      <c r="P38" s="3226"/>
      <c r="Q38" s="1799" t="str">
        <f t="shared" si="11"/>
        <v>写字楼等级</v>
      </c>
      <c r="R38" s="770" t="s">
        <v>17</v>
      </c>
      <c r="S38" s="771">
        <f t="shared" si="12"/>
        <v>100</v>
      </c>
      <c r="T38" s="770" t="s">
        <v>17</v>
      </c>
      <c r="U38" s="771">
        <f t="shared" si="13"/>
        <v>100</v>
      </c>
      <c r="V38" s="770" t="s">
        <v>17</v>
      </c>
      <c r="W38" s="771">
        <f t="shared" si="14"/>
        <v>100</v>
      </c>
      <c r="X38" s="772"/>
      <c r="Y38" s="3228"/>
      <c r="Z38" s="55" t="str">
        <f t="shared" si="15"/>
        <v>写字楼等级</v>
      </c>
      <c r="AA38" s="773">
        <f t="shared" si="3"/>
        <v>1</v>
      </c>
      <c r="AB38" s="773">
        <f t="shared" si="4"/>
        <v>1</v>
      </c>
      <c r="AC38" s="2676">
        <f t="shared" si="5"/>
        <v>1</v>
      </c>
    </row>
    <row r="39" spans="1:29" ht="15">
      <c r="A39" s="472"/>
      <c r="B39" s="422" t="s">
        <v>2687</v>
      </c>
      <c r="C39" s="460" t="s">
        <v>3063</v>
      </c>
      <c r="D39" s="435">
        <v>100</v>
      </c>
      <c r="E39" s="460" t="s">
        <v>3063</v>
      </c>
      <c r="F39" s="461">
        <f>SUMIF(115:115,E39,116:116)-SUMIF(115:115,C39,116:116)+100</f>
        <v>100</v>
      </c>
      <c r="G39" s="460" t="s">
        <v>3063</v>
      </c>
      <c r="H39" s="435">
        <f>SUMIF(115:115,G39,116:116)-SUMIF(115:115,C39,116:116)+100</f>
        <v>100</v>
      </c>
      <c r="I39" s="460" t="s">
        <v>3063</v>
      </c>
      <c r="J39" s="435">
        <f>SUMIF(115:115,I39,116:116)-SUMIF(115:115,C39,116:116)+100</f>
        <v>100</v>
      </c>
      <c r="K39" s="612">
        <v>2</v>
      </c>
      <c r="L39" s="1143"/>
      <c r="M39" s="1134"/>
      <c r="N39" s="1134"/>
      <c r="O39" s="1134"/>
      <c r="P39" s="3226" t="s">
        <v>2557</v>
      </c>
      <c r="Q39" s="1814" t="str">
        <f t="shared" si="11"/>
        <v>物业管理</v>
      </c>
      <c r="R39" s="774" t="s">
        <v>17</v>
      </c>
      <c r="S39" s="775">
        <f t="shared" si="12"/>
        <v>100</v>
      </c>
      <c r="T39" s="774" t="s">
        <v>17</v>
      </c>
      <c r="U39" s="775">
        <f t="shared" si="13"/>
        <v>100</v>
      </c>
      <c r="V39" s="774" t="s">
        <v>17</v>
      </c>
      <c r="W39" s="775">
        <f t="shared" si="14"/>
        <v>100</v>
      </c>
      <c r="X39" s="1817"/>
      <c r="Y39" s="3228" t="s">
        <v>2557</v>
      </c>
      <c r="Z39" s="1818" t="str">
        <f t="shared" si="15"/>
        <v>物业管理</v>
      </c>
      <c r="AA39" s="1815">
        <f t="shared" si="3"/>
        <v>1</v>
      </c>
      <c r="AB39" s="1815">
        <f t="shared" si="4"/>
        <v>1</v>
      </c>
      <c r="AC39" s="2679">
        <f t="shared" si="5"/>
        <v>1</v>
      </c>
    </row>
    <row r="40" spans="1:29" ht="15">
      <c r="A40" s="472"/>
      <c r="B40" s="422" t="s">
        <v>2655</v>
      </c>
      <c r="C40" s="460" t="s">
        <v>3064</v>
      </c>
      <c r="D40" s="435">
        <v>100</v>
      </c>
      <c r="E40" s="460" t="s">
        <v>3064</v>
      </c>
      <c r="F40" s="461">
        <f>SUMIF(117:117,E40,118:118)-SUMIF(117:117,C40,118:118)+100</f>
        <v>100</v>
      </c>
      <c r="G40" s="460" t="s">
        <v>3064</v>
      </c>
      <c r="H40" s="435">
        <f>SUMIF(117:117,G40,118:118)-SUMIF(117:117,C40,118:118)+100</f>
        <v>100</v>
      </c>
      <c r="I40" s="460" t="s">
        <v>3064</v>
      </c>
      <c r="J40" s="435">
        <f>SUMIF(117:117,I40,118:118)-SUMIF(117:117,C40,118:118)+100</f>
        <v>100</v>
      </c>
      <c r="K40" s="612">
        <v>2</v>
      </c>
      <c r="L40" s="1143"/>
      <c r="M40" s="1134"/>
      <c r="N40" s="1134"/>
      <c r="O40" s="1134"/>
      <c r="P40" s="3226"/>
      <c r="Q40" s="1814" t="str">
        <f t="shared" si="11"/>
        <v>市政基础设施</v>
      </c>
      <c r="R40" s="774" t="s">
        <v>17</v>
      </c>
      <c r="S40" s="775">
        <f t="shared" si="12"/>
        <v>100</v>
      </c>
      <c r="T40" s="774" t="s">
        <v>17</v>
      </c>
      <c r="U40" s="775">
        <f t="shared" si="13"/>
        <v>100</v>
      </c>
      <c r="V40" s="774" t="s">
        <v>17</v>
      </c>
      <c r="W40" s="775">
        <f t="shared" si="14"/>
        <v>100</v>
      </c>
      <c r="X40" s="1817"/>
      <c r="Y40" s="3228"/>
      <c r="Z40" s="1818" t="str">
        <f t="shared" si="15"/>
        <v>市政基础设施</v>
      </c>
      <c r="AA40" s="1815">
        <f t="shared" si="3"/>
        <v>1</v>
      </c>
      <c r="AB40" s="1815">
        <f t="shared" si="4"/>
        <v>1</v>
      </c>
      <c r="AC40" s="2679">
        <f t="shared" si="5"/>
        <v>1</v>
      </c>
    </row>
    <row r="41" spans="1:29" ht="15">
      <c r="A41" s="472"/>
      <c r="B41" s="422" t="s">
        <v>2657</v>
      </c>
      <c r="C41" s="616" t="s">
        <v>3065</v>
      </c>
      <c r="D41" s="435">
        <v>100</v>
      </c>
      <c r="E41" s="2939" t="s">
        <v>3065</v>
      </c>
      <c r="F41" s="461">
        <f>SUMIF(119:119,E41,120:120)-SUMIF(119:119,C41,120:120)+100</f>
        <v>100</v>
      </c>
      <c r="G41" s="616" t="s">
        <v>3065</v>
      </c>
      <c r="H41" s="435">
        <f>SUMIF(119:119,G41,120:120)-SUMIF(119:119,C41,120:120)+100</f>
        <v>100</v>
      </c>
      <c r="I41" s="616" t="s">
        <v>3065</v>
      </c>
      <c r="J41" s="435">
        <f>SUMIF(119:119,I41,120:120)-SUMIF(119:119,C41,120:120)+100</f>
        <v>100</v>
      </c>
      <c r="K41" s="612">
        <v>5</v>
      </c>
      <c r="L41" s="1143"/>
      <c r="M41" s="1134"/>
      <c r="N41" s="1134"/>
      <c r="O41" s="1134"/>
      <c r="P41" s="3226"/>
      <c r="Q41" s="1814" t="str">
        <f t="shared" si="11"/>
        <v>层高</v>
      </c>
      <c r="R41" s="774" t="s">
        <v>17</v>
      </c>
      <c r="S41" s="775">
        <f t="shared" si="12"/>
        <v>100</v>
      </c>
      <c r="T41" s="774" t="s">
        <v>17</v>
      </c>
      <c r="U41" s="775">
        <f t="shared" si="13"/>
        <v>100</v>
      </c>
      <c r="V41" s="774" t="s">
        <v>17</v>
      </c>
      <c r="W41" s="775">
        <f t="shared" si="14"/>
        <v>100</v>
      </c>
      <c r="X41" s="1817"/>
      <c r="Y41" s="3228"/>
      <c r="Z41" s="1818" t="str">
        <f t="shared" si="15"/>
        <v>层高</v>
      </c>
      <c r="AA41" s="1815">
        <f t="shared" si="3"/>
        <v>1</v>
      </c>
      <c r="AB41" s="1815">
        <f t="shared" si="4"/>
        <v>1</v>
      </c>
      <c r="AC41" s="2679">
        <f t="shared" si="5"/>
        <v>1</v>
      </c>
    </row>
    <row r="42" spans="1:29" s="471" customFormat="1" ht="15">
      <c r="A42" s="468"/>
      <c r="B42" s="1816" t="s">
        <v>2688</v>
      </c>
      <c r="C42" s="434">
        <f>'数据-汇总表'!F19</f>
        <v>125.74</v>
      </c>
      <c r="D42" s="435">
        <v>100</v>
      </c>
      <c r="E42" s="434">
        <v>109</v>
      </c>
      <c r="F42" s="461">
        <f>SUMIF(121:121,E42,122:122)-SUMIF(121:121,C42,122:122)+100</f>
        <v>100</v>
      </c>
      <c r="G42" s="434">
        <v>90</v>
      </c>
      <c r="H42" s="435">
        <f>SUMIF(121:121,G42,122:122)-SUMIF(121:121,C42,122:122)+100</f>
        <v>100</v>
      </c>
      <c r="I42" s="434">
        <v>65</v>
      </c>
      <c r="J42" s="435">
        <f>SUMIF(121:121,I42,122:122)-SUMIF(121:121,C42,122:122)+100</f>
        <v>101</v>
      </c>
      <c r="K42" s="613"/>
      <c r="L42" s="1141"/>
      <c r="M42" s="1144"/>
      <c r="N42" s="1144"/>
      <c r="O42" s="1144"/>
      <c r="P42" s="3226"/>
      <c r="Q42" s="776" t="str">
        <f t="shared" si="11"/>
        <v>单套建筑面积</v>
      </c>
      <c r="R42" s="777" t="s">
        <v>17</v>
      </c>
      <c r="S42" s="778">
        <f t="shared" si="12"/>
        <v>100</v>
      </c>
      <c r="T42" s="777" t="s">
        <v>17</v>
      </c>
      <c r="U42" s="778">
        <f t="shared" si="13"/>
        <v>100</v>
      </c>
      <c r="V42" s="777" t="s">
        <v>17</v>
      </c>
      <c r="W42" s="778">
        <f t="shared" si="14"/>
        <v>101</v>
      </c>
      <c r="X42" s="779"/>
      <c r="Y42" s="3228"/>
      <c r="Z42" s="780" t="str">
        <f t="shared" si="15"/>
        <v>单套建筑面积</v>
      </c>
      <c r="AA42" s="1815">
        <f t="shared" si="3"/>
        <v>1</v>
      </c>
      <c r="AB42" s="1815">
        <f t="shared" si="4"/>
        <v>1</v>
      </c>
      <c r="AC42" s="2679">
        <f t="shared" si="5"/>
        <v>0.99009900990099009</v>
      </c>
    </row>
    <row r="43" spans="1:29" ht="15">
      <c r="A43" s="472"/>
      <c r="B43" s="422" t="s">
        <v>2660</v>
      </c>
      <c r="C43" s="460" t="s">
        <v>3061</v>
      </c>
      <c r="D43" s="435">
        <v>100</v>
      </c>
      <c r="E43" s="460" t="s">
        <v>3061</v>
      </c>
      <c r="F43" s="461">
        <f>SUMIF(123:123,E43,124:124)-SUMIF(123:123,C43,124:124)+100</f>
        <v>100</v>
      </c>
      <c r="G43" s="460" t="s">
        <v>3061</v>
      </c>
      <c r="H43" s="435">
        <f>SUMIF(123:123,G43,124:124)-SUMIF(123:123,C43,124:124)+100</f>
        <v>100</v>
      </c>
      <c r="I43" s="460" t="s">
        <v>3061</v>
      </c>
      <c r="J43" s="435">
        <f>SUMIF(123:123,I43,124:124)-SUMIF(123:123,C43,124:124)+100</f>
        <v>100</v>
      </c>
      <c r="K43" s="612">
        <v>2</v>
      </c>
      <c r="L43" s="1143"/>
      <c r="M43" s="1134"/>
      <c r="N43" s="1134"/>
      <c r="O43" s="1134"/>
      <c r="P43" s="3226"/>
      <c r="Q43" s="1814" t="str">
        <f t="shared" si="11"/>
        <v>内部装修</v>
      </c>
      <c r="R43" s="774" t="s">
        <v>17</v>
      </c>
      <c r="S43" s="775">
        <f t="shared" si="12"/>
        <v>100</v>
      </c>
      <c r="T43" s="774" t="s">
        <v>17</v>
      </c>
      <c r="U43" s="775">
        <f t="shared" si="13"/>
        <v>100</v>
      </c>
      <c r="V43" s="774" t="s">
        <v>17</v>
      </c>
      <c r="W43" s="775">
        <f t="shared" si="14"/>
        <v>100</v>
      </c>
      <c r="X43" s="1817"/>
      <c r="Y43" s="3228"/>
      <c r="Z43" s="1818" t="str">
        <f t="shared" si="15"/>
        <v>内部装修</v>
      </c>
      <c r="AA43" s="1815">
        <f t="shared" si="3"/>
        <v>1</v>
      </c>
      <c r="AB43" s="1815">
        <f t="shared" si="4"/>
        <v>1</v>
      </c>
      <c r="AC43" s="2679">
        <f t="shared" si="5"/>
        <v>1</v>
      </c>
    </row>
    <row r="44" spans="1:29" ht="15">
      <c r="A44" s="472"/>
      <c r="B44" s="422" t="s">
        <v>2568</v>
      </c>
      <c r="C44" s="460" t="s">
        <v>3055</v>
      </c>
      <c r="D44" s="435">
        <v>100</v>
      </c>
      <c r="E44" s="2618" t="s">
        <v>3055</v>
      </c>
      <c r="F44" s="461">
        <f>SUMIF(125:125,E44,126:126)-SUMIF(125:125,C44,126:126)+100</f>
        <v>100</v>
      </c>
      <c r="G44" s="2618" t="s">
        <v>3055</v>
      </c>
      <c r="H44" s="435">
        <f>SUMIF(125:125,G44,126:126)-SUMIF(125:125,C44,126:126)+100</f>
        <v>100</v>
      </c>
      <c r="I44" s="2618" t="s">
        <v>3055</v>
      </c>
      <c r="J44" s="435">
        <f>SUMIF(125:125,I44,126:126)-SUMIF(125:125,C44,126:126)+100</f>
        <v>100</v>
      </c>
      <c r="K44" s="612">
        <v>2</v>
      </c>
      <c r="L44" s="1143"/>
      <c r="M44" s="1134"/>
      <c r="N44" s="1134"/>
      <c r="O44" s="1134"/>
      <c r="P44" s="3226"/>
      <c r="Q44" s="1814" t="str">
        <f t="shared" si="11"/>
        <v>内部装修维护情况</v>
      </c>
      <c r="R44" s="774" t="s">
        <v>17</v>
      </c>
      <c r="S44" s="775">
        <f t="shared" si="12"/>
        <v>100</v>
      </c>
      <c r="T44" s="774" t="s">
        <v>17</v>
      </c>
      <c r="U44" s="775">
        <f t="shared" si="13"/>
        <v>100</v>
      </c>
      <c r="V44" s="774" t="s">
        <v>17</v>
      </c>
      <c r="W44" s="775">
        <f t="shared" si="14"/>
        <v>100</v>
      </c>
      <c r="X44" s="1817"/>
      <c r="Y44" s="3228"/>
      <c r="Z44" s="1818" t="str">
        <f t="shared" si="15"/>
        <v>内部装修维护情况</v>
      </c>
      <c r="AA44" s="1815">
        <f t="shared" si="3"/>
        <v>1</v>
      </c>
      <c r="AB44" s="1815">
        <f t="shared" si="4"/>
        <v>1</v>
      </c>
      <c r="AC44" s="2679">
        <f t="shared" si="5"/>
        <v>1</v>
      </c>
    </row>
    <row r="45" spans="1:29" s="117" customFormat="1" ht="15.75" thickBot="1">
      <c r="A45" s="473"/>
      <c r="B45" s="2935" t="s">
        <v>3058</v>
      </c>
      <c r="C45" s="469" t="s">
        <v>3034</v>
      </c>
      <c r="D45" s="136">
        <v>100</v>
      </c>
      <c r="E45" s="2936" t="s">
        <v>3071</v>
      </c>
      <c r="F45" s="425">
        <f>SUMIF(127:127,E45,128:128)-SUMIF(127:127,C45,128:128)+100</f>
        <v>105</v>
      </c>
      <c r="G45" s="2936" t="s">
        <v>3071</v>
      </c>
      <c r="H45" s="136">
        <f>SUMIF(127:127,G45,128:128)-SUMIF(127:127,C45,128:128)+100</f>
        <v>105</v>
      </c>
      <c r="I45" s="2936" t="s">
        <v>3071</v>
      </c>
      <c r="J45" s="136">
        <f>SUMIF(127:127,I45,128:128)-SUMIF(127:127,C45,128:128)+100</f>
        <v>105</v>
      </c>
      <c r="K45" s="613"/>
      <c r="L45" s="1135"/>
      <c r="M45" s="1136"/>
      <c r="N45" s="1136"/>
      <c r="O45" s="1136"/>
      <c r="P45" s="3226"/>
      <c r="Q45" s="1799" t="str">
        <f t="shared" si="11"/>
        <v>是否含地下室</v>
      </c>
      <c r="R45" s="770" t="s">
        <v>17</v>
      </c>
      <c r="S45" s="771">
        <f t="shared" si="12"/>
        <v>105</v>
      </c>
      <c r="T45" s="770" t="s">
        <v>17</v>
      </c>
      <c r="U45" s="771">
        <f t="shared" si="13"/>
        <v>105</v>
      </c>
      <c r="V45" s="770" t="s">
        <v>17</v>
      </c>
      <c r="W45" s="771">
        <f t="shared" si="14"/>
        <v>105</v>
      </c>
      <c r="X45" s="772"/>
      <c r="Y45" s="3228"/>
      <c r="Z45" s="55" t="str">
        <f t="shared" si="15"/>
        <v>是否含地下室</v>
      </c>
      <c r="AA45" s="773">
        <f t="shared" si="3"/>
        <v>0.95238095238095233</v>
      </c>
      <c r="AB45" s="773">
        <f t="shared" si="4"/>
        <v>0.95238095238095233</v>
      </c>
      <c r="AC45" s="2676">
        <f t="shared" si="5"/>
        <v>0.95238095238095233</v>
      </c>
    </row>
    <row r="46" spans="1:29" ht="15" hidden="1">
      <c r="A46" s="472"/>
      <c r="B46" s="1389"/>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6"/>
      <c r="Q46" s="1814">
        <f t="shared" si="11"/>
        <v>0</v>
      </c>
      <c r="R46" s="774" t="s">
        <v>17</v>
      </c>
      <c r="S46" s="775">
        <f t="shared" si="12"/>
        <v>100</v>
      </c>
      <c r="T46" s="774" t="s">
        <v>17</v>
      </c>
      <c r="U46" s="775">
        <f t="shared" si="13"/>
        <v>100</v>
      </c>
      <c r="V46" s="774" t="s">
        <v>17</v>
      </c>
      <c r="W46" s="775">
        <f t="shared" si="14"/>
        <v>100</v>
      </c>
      <c r="X46" s="1817"/>
      <c r="Y46" s="3228"/>
      <c r="Z46" s="1818">
        <f t="shared" si="15"/>
        <v>0</v>
      </c>
      <c r="AA46" s="1815">
        <f t="shared" si="3"/>
        <v>1</v>
      </c>
      <c r="AB46" s="1815">
        <f t="shared" si="4"/>
        <v>1</v>
      </c>
      <c r="AC46" s="2679">
        <f t="shared" si="5"/>
        <v>1</v>
      </c>
    </row>
    <row r="47" spans="1:29" ht="15.75" hidden="1" thickBot="1">
      <c r="A47" s="478"/>
      <c r="B47" s="260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7"/>
      <c r="Q47" s="1814">
        <f t="shared" si="11"/>
        <v>0</v>
      </c>
      <c r="R47" s="774" t="s">
        <v>17</v>
      </c>
      <c r="S47" s="775">
        <f t="shared" si="12"/>
        <v>100</v>
      </c>
      <c r="T47" s="774" t="s">
        <v>17</v>
      </c>
      <c r="U47" s="775">
        <f t="shared" si="13"/>
        <v>100</v>
      </c>
      <c r="V47" s="774" t="s">
        <v>17</v>
      </c>
      <c r="W47" s="775">
        <f t="shared" si="14"/>
        <v>100</v>
      </c>
      <c r="X47" s="1817"/>
      <c r="Y47" s="3229"/>
      <c r="Z47" s="1818">
        <f t="shared" si="15"/>
        <v>0</v>
      </c>
      <c r="AA47" s="1815">
        <f t="shared" si="3"/>
        <v>1</v>
      </c>
      <c r="AB47" s="1815">
        <f t="shared" si="4"/>
        <v>1</v>
      </c>
      <c r="AC47" s="2679">
        <f t="shared" si="5"/>
        <v>1</v>
      </c>
    </row>
    <row r="48" spans="1:29" ht="15">
      <c r="A48" s="479" t="s">
        <v>2569</v>
      </c>
      <c r="B48" s="480"/>
      <c r="C48" s="1410" t="s">
        <v>1</v>
      </c>
      <c r="D48" s="1411"/>
      <c r="E48" s="1412">
        <v>35020</v>
      </c>
      <c r="F48" s="1413"/>
      <c r="G48" s="1414">
        <v>36111</v>
      </c>
      <c r="H48" s="1415"/>
      <c r="I48" s="1412">
        <v>36769</v>
      </c>
      <c r="J48" s="485"/>
      <c r="K48" s="783"/>
      <c r="L48" s="1146"/>
      <c r="M48" s="1134"/>
      <c r="N48" s="1134"/>
      <c r="O48" s="1134"/>
      <c r="P48" s="3201" t="str">
        <f>A48</f>
        <v>成交单价（元/平方米）</v>
      </c>
      <c r="Q48" s="3230"/>
      <c r="R48" s="3231">
        <f>E48</f>
        <v>35020</v>
      </c>
      <c r="S48" s="3231"/>
      <c r="T48" s="3231">
        <f>G48</f>
        <v>36111</v>
      </c>
      <c r="U48" s="3231"/>
      <c r="V48" s="3231">
        <f>I48</f>
        <v>36769</v>
      </c>
      <c r="W48" s="3231"/>
      <c r="X48" s="446"/>
      <c r="Y48" s="781"/>
      <c r="Z48" s="446"/>
      <c r="AA48" s="446"/>
      <c r="AB48" s="446"/>
      <c r="AC48" s="630"/>
    </row>
    <row r="49" spans="1:29" ht="15.75" thickBot="1">
      <c r="A49" s="486" t="s">
        <v>2661</v>
      </c>
      <c r="B49" s="487"/>
      <c r="C49" s="1416">
        <f>R50</f>
        <v>34832</v>
      </c>
      <c r="D49" s="1417"/>
      <c r="E49" s="1418">
        <f>R49</f>
        <v>34030</v>
      </c>
      <c r="F49" s="1418"/>
      <c r="G49" s="1416">
        <f>T49</f>
        <v>35090</v>
      </c>
      <c r="H49" s="1417"/>
      <c r="I49" s="1418">
        <f>V49</f>
        <v>35375</v>
      </c>
      <c r="J49" s="489"/>
      <c r="K49" s="784"/>
      <c r="L49" s="1146"/>
      <c r="M49" s="1134"/>
      <c r="N49" s="1134"/>
      <c r="O49" s="1134"/>
      <c r="P49" s="3201" t="str">
        <f>A49</f>
        <v>比较价值（元/平方米）</v>
      </c>
      <c r="Q49" s="3230"/>
      <c r="R49" s="3231">
        <f>IF(F1="售价",ROUND(PRODUCT(R48,AA7:AA47),0),ROUND(PRODUCT(R48,AA7:AA47),1))</f>
        <v>34030</v>
      </c>
      <c r="S49" s="3231"/>
      <c r="T49" s="3231">
        <f>IF(F1="售价",ROUND(PRODUCT(T48,AB7:AB47),0),ROUND(PRODUCT(T48,AB7:AB47),1))</f>
        <v>35090</v>
      </c>
      <c r="U49" s="3231"/>
      <c r="V49" s="3231">
        <f>IF(F1="售价",ROUND(PRODUCT(V48,AC7:AC47),0),ROUND(PRODUCT(V48,AC7:AC47),1))</f>
        <v>35375</v>
      </c>
      <c r="W49" s="3231"/>
      <c r="X49" s="446"/>
      <c r="Y49" s="446"/>
      <c r="Z49" s="446"/>
      <c r="AA49" s="446"/>
      <c r="AB49" s="446"/>
      <c r="AC49" s="630"/>
    </row>
    <row r="50" spans="1:29" ht="15.75" thickBot="1">
      <c r="A50" s="492" t="s">
        <v>2662</v>
      </c>
      <c r="B50" s="493"/>
      <c r="C50" s="1420">
        <f>R50</f>
        <v>34832</v>
      </c>
      <c r="D50" s="1420"/>
      <c r="E50" s="1420"/>
      <c r="F50" s="1420"/>
      <c r="G50" s="1420"/>
      <c r="H50" s="1420"/>
      <c r="I50" s="1420"/>
      <c r="J50" s="494"/>
      <c r="K50" s="785"/>
      <c r="L50" s="1146"/>
      <c r="M50" s="1134"/>
      <c r="N50" s="1134"/>
      <c r="O50" s="1134"/>
      <c r="P50" s="3232" t="str">
        <f>A50</f>
        <v>估价对象XX用房的比较价值（楼面单价，元/平方米）</v>
      </c>
      <c r="Q50" s="3233"/>
      <c r="R50" s="3234">
        <f>IF(F1="售价",ROUND(AVERAGE(R49:V49),0),ROUND(AVERAGE(R49:V49),1))</f>
        <v>34832</v>
      </c>
      <c r="S50" s="3234"/>
      <c r="T50" s="3234"/>
      <c r="U50" s="3234"/>
      <c r="V50" s="3234"/>
      <c r="W50" s="3234"/>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f>IF(E48&lt;E49,E49/E48-1,E48/E49-1)</f>
        <v>2.9091977666764635E-2</v>
      </c>
      <c r="F53" s="500" t="str">
        <f>IF(OR(E53&gt;=0.3,E53&lt;=-0.3),"超过30%","")</f>
        <v/>
      </c>
      <c r="G53" s="499">
        <f>IF(G48&lt;G49,G49/G48-1,G48/G49-1)</f>
        <v>2.9096608720433181E-2</v>
      </c>
      <c r="H53" s="500" t="str">
        <f>IF(OR(G53&gt;=0.3,G53&lt;=-0.3),"超过30%","")</f>
        <v/>
      </c>
      <c r="I53" s="499">
        <f>IF(I48&lt;I49,I49/I48-1,I48/I49-1)</f>
        <v>3.9406360424028231E-2</v>
      </c>
      <c r="J53" s="500" t="str">
        <f>IF(OR(I53&gt;=0.3,I53&lt;=-0.3),"超过30%","")</f>
        <v/>
      </c>
      <c r="K53" s="1108"/>
      <c r="L53" s="1109"/>
      <c r="M53" s="1147"/>
      <c r="N53" s="1147"/>
      <c r="O53" s="1147"/>
    </row>
    <row r="54" spans="1:29" ht="13.5" customHeight="1">
      <c r="A54" s="1147"/>
      <c r="B54" s="1147"/>
      <c r="C54" s="497" t="s">
        <v>2664</v>
      </c>
      <c r="D54" s="501"/>
      <c r="E54" s="499">
        <f>IF(E49&lt;G49,G49/E49-1,E49/G49-1)</f>
        <v>3.1148986188657135E-2</v>
      </c>
      <c r="F54" s="500" t="str">
        <f>IF(OR(E54&gt;=0.2,E54&lt;=-0.2),"超过20%","")</f>
        <v/>
      </c>
      <c r="G54" s="499">
        <f>IF(G49&lt;I49,I49/G49-1,G49/I49-1)</f>
        <v>8.1219720718153088E-3</v>
      </c>
      <c r="H54" s="500" t="str">
        <f>IF(OR(G54&gt;=0.2,G54&lt;=-0.2),"超过20%","")</f>
        <v/>
      </c>
      <c r="I54" s="499">
        <f>IF(I49&lt;E49,E49/I49-1,I49/E49-1)</f>
        <v>3.9523949456361951E-2</v>
      </c>
      <c r="J54" s="500" t="str">
        <f>IF(OR(I54&gt;=0.2,I54&lt;=-0.2),"超过20%","")</f>
        <v/>
      </c>
      <c r="K54" s="1108"/>
      <c r="L54" s="1109"/>
      <c r="M54" s="1147"/>
      <c r="N54" s="1147"/>
      <c r="O54" s="1147"/>
    </row>
    <row r="55" spans="1:29" s="502" customFormat="1" ht="13.5" customHeight="1">
      <c r="A55" s="1148"/>
      <c r="B55" s="1148"/>
      <c r="C55" s="497" t="s">
        <v>2665</v>
      </c>
      <c r="D55" s="501"/>
      <c r="E55" s="499">
        <f>IF(E48&lt;G48,G48/E48-1,E48/G48-1)</f>
        <v>3.1153626499143439E-2</v>
      </c>
      <c r="F55" s="500" t="str">
        <f>IF(OR(E55&gt;=0.3,E55&lt;=-0.3),"超过30%","")</f>
        <v/>
      </c>
      <c r="G55" s="499">
        <f>IF(G48&lt;I48,I48/G48-1,G48/I48-1)</f>
        <v>1.8221594527983109E-2</v>
      </c>
      <c r="H55" s="500" t="str">
        <f>IF(OR(G55&gt;=0.3,G55&lt;=-0.3),"超过30%","")</f>
        <v/>
      </c>
      <c r="I55" s="499">
        <f>IF(I48&lt;E48,E48/I48-1,I48/E48-1)</f>
        <v>4.9942889777270238E-2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86"/>
      <c r="Q58" s="504"/>
    </row>
    <row r="59" spans="1:29" s="508" customFormat="1" ht="15">
      <c r="A59" s="505" t="s">
        <v>2540</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v>100</v>
      </c>
      <c r="E60" s="512">
        <v>99.5</v>
      </c>
      <c r="F60" s="512">
        <v>99.5</v>
      </c>
      <c r="G60" s="512">
        <v>99</v>
      </c>
      <c r="H60" s="512">
        <v>99</v>
      </c>
      <c r="I60" s="512">
        <v>98.5</v>
      </c>
      <c r="J60" s="512">
        <v>98.5</v>
      </c>
      <c r="K60" s="512">
        <v>98</v>
      </c>
      <c r="L60" s="512">
        <v>98</v>
      </c>
      <c r="M60" s="513">
        <v>97.5</v>
      </c>
      <c r="N60" s="512"/>
      <c r="O60" s="513"/>
      <c r="P60" s="2687"/>
    </row>
    <row r="61" spans="1:29" s="117" customFormat="1" ht="15.75" thickBot="1">
      <c r="A61" s="515" t="s">
        <v>2577</v>
      </c>
      <c r="B61" s="516"/>
      <c r="C61" s="517"/>
      <c r="D61" s="518"/>
      <c r="E61" s="518"/>
      <c r="F61" s="518"/>
      <c r="G61" s="518"/>
      <c r="H61" s="518"/>
      <c r="I61" s="518"/>
      <c r="J61" s="518"/>
      <c r="K61" s="518"/>
      <c r="L61" s="518"/>
      <c r="M61" s="519"/>
      <c r="N61" s="518"/>
      <c r="O61" s="519"/>
      <c r="P61" s="2687"/>
      <c r="Q61" s="504"/>
    </row>
    <row r="62" spans="1:29" s="117" customFormat="1" ht="15">
      <c r="A62" s="521" t="s">
        <v>2542</v>
      </c>
      <c r="B62" s="510"/>
      <c r="C62" s="522" t="s">
        <v>2644</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2580</v>
      </c>
      <c r="B64" s="528" t="s">
        <v>2546</v>
      </c>
      <c r="C64" s="529" t="str">
        <f>C9</f>
        <v>办公</v>
      </c>
      <c r="D64" s="2938" t="s">
        <v>3075</v>
      </c>
      <c r="E64" s="530"/>
      <c r="F64" s="530"/>
      <c r="G64" s="530"/>
      <c r="H64" s="530"/>
      <c r="I64" s="530"/>
      <c r="J64" s="530"/>
      <c r="K64" s="531"/>
      <c r="L64" s="532"/>
      <c r="M64" s="533"/>
      <c r="N64" s="1155"/>
      <c r="O64" s="1155"/>
      <c r="P64" s="2689"/>
      <c r="Q64" s="504"/>
    </row>
    <row r="65" spans="1:17" ht="15.75" thickBot="1">
      <c r="A65" s="534"/>
      <c r="B65" s="535"/>
      <c r="C65" s="536">
        <v>100</v>
      </c>
      <c r="D65" s="536">
        <v>105</v>
      </c>
      <c r="E65" s="536"/>
      <c r="F65" s="536"/>
      <c r="G65" s="536"/>
      <c r="H65" s="536"/>
      <c r="I65" s="536"/>
      <c r="J65" s="536"/>
      <c r="K65" s="536"/>
      <c r="L65" s="536"/>
      <c r="M65" s="537"/>
      <c r="N65" s="1156"/>
      <c r="O65" s="1156"/>
      <c r="P65" s="2689"/>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89"/>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6"/>
      <c r="O67" s="1156"/>
      <c r="P67" s="2689"/>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v>
      </c>
      <c r="E69" s="549">
        <v>2</v>
      </c>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0</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0</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0</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93"/>
      <c r="Q77" s="504"/>
    </row>
    <row r="78" spans="1:17" ht="15.75" thickBot="1">
      <c r="A78" s="534"/>
      <c r="B78" s="543"/>
      <c r="C78" s="544">
        <v>100</v>
      </c>
      <c r="D78" s="544">
        <f>C78-$K15</f>
        <v>96</v>
      </c>
      <c r="E78" s="544">
        <f>D78-$K15</f>
        <v>92</v>
      </c>
      <c r="F78" s="544">
        <f>E78-$K15</f>
        <v>88</v>
      </c>
      <c r="G78" s="544">
        <f>F78-$K15</f>
        <v>84</v>
      </c>
      <c r="H78" s="544"/>
      <c r="I78" s="544"/>
      <c r="J78" s="544"/>
      <c r="K78" s="544"/>
      <c r="L78" s="544"/>
      <c r="M78" s="545"/>
      <c r="N78" s="1156"/>
      <c r="O78" s="1156"/>
      <c r="P78" s="2689"/>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89"/>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6"/>
      <c r="O80" s="1156"/>
      <c r="P80" s="2689"/>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89"/>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9"/>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89"/>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9"/>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8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9"/>
      <c r="Q86" s="504"/>
    </row>
    <row r="87" spans="1:17" s="117" customFormat="1" ht="27.75" thickTop="1">
      <c r="A87" s="579"/>
      <c r="B87" s="538" t="s">
        <v>2691</v>
      </c>
      <c r="C87" s="554" t="s">
        <v>3110</v>
      </c>
      <c r="D87" s="554" t="s">
        <v>3111</v>
      </c>
      <c r="E87" s="554" t="s">
        <v>3112</v>
      </c>
      <c r="F87" s="554" t="s">
        <v>3113</v>
      </c>
      <c r="G87" s="554" t="s">
        <v>3068</v>
      </c>
      <c r="H87" s="554"/>
      <c r="I87" s="554"/>
      <c r="J87" s="554"/>
      <c r="K87" s="554"/>
      <c r="L87" s="580"/>
      <c r="M87" s="581"/>
      <c r="N87" s="1154"/>
      <c r="O87" s="1154"/>
      <c r="P87" s="2689"/>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9"/>
      <c r="Q88" s="504"/>
    </row>
    <row r="89" spans="1:17" s="117" customFormat="1" ht="15.75" thickTop="1">
      <c r="A89" s="579"/>
      <c r="B89" s="538" t="str">
        <f>B27</f>
        <v>楼层</v>
      </c>
      <c r="C89" s="554" t="s">
        <v>3069</v>
      </c>
      <c r="D89" s="554" t="s">
        <v>3114</v>
      </c>
      <c r="E89" s="554" t="s">
        <v>3115</v>
      </c>
      <c r="F89" s="2640"/>
      <c r="G89" s="554"/>
      <c r="H89" s="554"/>
      <c r="I89" s="554"/>
      <c r="J89" s="554"/>
      <c r="K89" s="554"/>
      <c r="L89" s="554"/>
      <c r="M89" s="581"/>
      <c r="N89" s="1154"/>
      <c r="O89" s="1154"/>
      <c r="P89" s="2689"/>
      <c r="Q89" s="504"/>
    </row>
    <row r="90" spans="1:17" s="117" customFormat="1" ht="15.75" thickBot="1">
      <c r="A90" s="579"/>
      <c r="B90" s="543"/>
      <c r="C90" s="582">
        <v>100</v>
      </c>
      <c r="D90" s="544">
        <f>C90-$K27</f>
        <v>90</v>
      </c>
      <c r="E90" s="544">
        <f t="shared" ref="E90:M90" si="20">D90-$K27</f>
        <v>80</v>
      </c>
      <c r="F90" s="544">
        <f t="shared" si="20"/>
        <v>70</v>
      </c>
      <c r="G90" s="544">
        <f t="shared" si="20"/>
        <v>60</v>
      </c>
      <c r="H90" s="544">
        <f t="shared" si="20"/>
        <v>50</v>
      </c>
      <c r="I90" s="544">
        <f t="shared" si="20"/>
        <v>40</v>
      </c>
      <c r="J90" s="544">
        <f t="shared" si="20"/>
        <v>30</v>
      </c>
      <c r="K90" s="544">
        <f t="shared" si="20"/>
        <v>20</v>
      </c>
      <c r="L90" s="544">
        <f t="shared" si="20"/>
        <v>10</v>
      </c>
      <c r="M90" s="544">
        <f t="shared" si="20"/>
        <v>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t="str">
        <f>B29</f>
        <v>商业繁华度</v>
      </c>
      <c r="C93" s="554" t="s">
        <v>3078</v>
      </c>
      <c r="D93" s="554" t="s">
        <v>3055</v>
      </c>
      <c r="E93" s="554" t="s">
        <v>3054</v>
      </c>
      <c r="F93" s="554" t="s">
        <v>3079</v>
      </c>
      <c r="G93" s="554" t="s">
        <v>3080</v>
      </c>
      <c r="H93" s="554"/>
      <c r="I93" s="554"/>
      <c r="J93" s="554"/>
      <c r="K93" s="554"/>
      <c r="L93" s="580"/>
      <c r="M93" s="581"/>
      <c r="N93" s="1155"/>
      <c r="O93" s="1155"/>
      <c r="P93" s="2689"/>
      <c r="Q93" s="504"/>
    </row>
    <row r="94" spans="1:17" ht="15.75" thickBot="1">
      <c r="A94" s="534"/>
      <c r="B94" s="543"/>
      <c r="C94" s="560">
        <v>100</v>
      </c>
      <c r="D94" s="536">
        <v>98</v>
      </c>
      <c r="E94" s="536">
        <v>96</v>
      </c>
      <c r="F94" s="536">
        <v>94</v>
      </c>
      <c r="G94" s="536">
        <v>92</v>
      </c>
      <c r="H94" s="536"/>
      <c r="I94" s="536"/>
      <c r="J94" s="536"/>
      <c r="K94" s="536"/>
      <c r="L94" s="536"/>
      <c r="M94" s="537"/>
      <c r="N94" s="1156"/>
      <c r="O94" s="1156"/>
      <c r="P94" s="2689"/>
      <c r="Q94" s="504"/>
    </row>
    <row r="95" spans="1:17" ht="15.75" thickTop="1">
      <c r="A95" s="534"/>
      <c r="B95" s="538" t="str">
        <f>B30</f>
        <v>临街状况</v>
      </c>
      <c r="C95" s="2940" t="s">
        <v>3086</v>
      </c>
      <c r="D95" s="2940" t="s">
        <v>3088</v>
      </c>
      <c r="E95" s="2940" t="s">
        <v>3089</v>
      </c>
      <c r="F95" s="2940" t="s">
        <v>3091</v>
      </c>
      <c r="G95" s="583"/>
      <c r="H95" s="583"/>
      <c r="I95" s="583"/>
      <c r="J95" s="583"/>
      <c r="K95" s="584"/>
      <c r="L95" s="585"/>
      <c r="M95" s="586"/>
      <c r="N95" s="1155"/>
      <c r="O95" s="1155"/>
      <c r="P95" s="2689"/>
      <c r="Q95" s="504"/>
    </row>
    <row r="96" spans="1:17" ht="15.75" thickBot="1">
      <c r="A96" s="534"/>
      <c r="B96" s="543"/>
      <c r="C96" s="560">
        <v>100</v>
      </c>
      <c r="D96" s="536">
        <v>90</v>
      </c>
      <c r="E96" s="536">
        <v>80</v>
      </c>
      <c r="F96" s="536">
        <v>70</v>
      </c>
      <c r="G96" s="536"/>
      <c r="H96" s="536"/>
      <c r="I96" s="536"/>
      <c r="J96" s="536"/>
      <c r="K96" s="536"/>
      <c r="L96" s="536"/>
      <c r="M96" s="537"/>
      <c r="N96" s="1156"/>
      <c r="O96" s="1156"/>
      <c r="P96" s="2689"/>
      <c r="Q96" s="504"/>
    </row>
    <row r="97" spans="1:17" ht="15.75" thickTop="1">
      <c r="A97" s="534"/>
      <c r="B97" s="538" t="str">
        <f>B31</f>
        <v>人流量</v>
      </c>
      <c r="C97" s="2940" t="s">
        <v>3081</v>
      </c>
      <c r="D97" s="2940" t="s">
        <v>3082</v>
      </c>
      <c r="E97" s="554" t="s">
        <v>3054</v>
      </c>
      <c r="F97" s="2940" t="s">
        <v>3083</v>
      </c>
      <c r="G97" s="2941" t="s">
        <v>3084</v>
      </c>
      <c r="H97" s="583"/>
      <c r="I97" s="583"/>
      <c r="J97" s="583"/>
      <c r="K97" s="584"/>
      <c r="L97" s="585"/>
      <c r="M97" s="586"/>
      <c r="N97" s="1155"/>
      <c r="O97" s="1155"/>
      <c r="P97" s="2689"/>
      <c r="Q97" s="504"/>
    </row>
    <row r="98" spans="1:17" ht="15.75" thickBot="1">
      <c r="A98" s="534"/>
      <c r="B98" s="543"/>
      <c r="C98" s="560">
        <v>100</v>
      </c>
      <c r="D98" s="536">
        <v>95</v>
      </c>
      <c r="E98" s="536">
        <v>90</v>
      </c>
      <c r="F98" s="536">
        <v>85</v>
      </c>
      <c r="G98" s="536">
        <v>80</v>
      </c>
      <c r="H98" s="536"/>
      <c r="I98" s="536"/>
      <c r="J98" s="536"/>
      <c r="K98" s="536"/>
      <c r="L98" s="536"/>
      <c r="M98" s="537"/>
      <c r="N98" s="1156"/>
      <c r="O98" s="1156"/>
      <c r="P98" s="2689"/>
      <c r="Q98" s="504"/>
    </row>
    <row r="99" spans="1:17" ht="15.75" thickTop="1">
      <c r="A99" s="534"/>
      <c r="B99" s="546">
        <f>B32</f>
        <v>0</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2555</v>
      </c>
      <c r="B101" s="528" t="s">
        <v>2604</v>
      </c>
      <c r="C101" s="2938" t="s">
        <v>3092</v>
      </c>
      <c r="D101" s="2938" t="s">
        <v>3093</v>
      </c>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6"/>
      <c r="O102" s="1156"/>
      <c r="P102" s="2689"/>
      <c r="Q102" s="504"/>
    </row>
    <row r="103" spans="1:17" ht="15.75" thickTop="1">
      <c r="A103" s="534"/>
      <c r="B103" s="538" t="s">
        <v>2605</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v>100</v>
      </c>
      <c r="D105" s="536"/>
      <c r="E105" s="536"/>
      <c r="F105" s="536"/>
      <c r="G105" s="536"/>
      <c r="H105" s="536"/>
      <c r="I105" s="536"/>
      <c r="J105" s="536"/>
      <c r="K105" s="536"/>
      <c r="L105" s="536"/>
      <c r="M105" s="537"/>
      <c r="N105" s="1156"/>
      <c r="O105" s="1156"/>
      <c r="P105" s="2690"/>
      <c r="Q105" s="559"/>
    </row>
    <row r="106" spans="1:17" ht="15" thickTop="1">
      <c r="A106" s="599"/>
      <c r="B106" s="538" t="s">
        <v>2606</v>
      </c>
      <c r="C106" s="2940" t="s">
        <v>3094</v>
      </c>
      <c r="D106" s="2940" t="s">
        <v>3095</v>
      </c>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9"/>
      <c r="Q107" s="504"/>
    </row>
    <row r="108" spans="1:17" ht="15" thickTop="1">
      <c r="A108" s="599"/>
      <c r="B108" s="538" t="s">
        <v>2608</v>
      </c>
      <c r="C108" s="2940" t="s">
        <v>3096</v>
      </c>
      <c r="D108" s="2940" t="s">
        <v>3097</v>
      </c>
      <c r="E108" s="2940" t="s">
        <v>3099</v>
      </c>
      <c r="F108" s="2941" t="s">
        <v>3073</v>
      </c>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9"/>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9"/>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2609</v>
      </c>
      <c r="C115" s="2940" t="s">
        <v>3100</v>
      </c>
      <c r="D115" s="2940" t="s">
        <v>3101</v>
      </c>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9"/>
      <c r="Q116" s="504"/>
    </row>
    <row r="117" spans="1:17" ht="15" thickTop="1">
      <c r="A117" s="599"/>
      <c r="B117" s="538" t="s">
        <v>2610</v>
      </c>
      <c r="C117" s="2940" t="s">
        <v>3102</v>
      </c>
      <c r="D117" s="2940" t="s">
        <v>3103</v>
      </c>
      <c r="E117" s="2940" t="s">
        <v>3104</v>
      </c>
      <c r="F117" s="2940" t="s">
        <v>3105</v>
      </c>
      <c r="G117" s="2940" t="s">
        <v>3106</v>
      </c>
      <c r="H117" s="583"/>
      <c r="I117" s="583"/>
      <c r="J117" s="583"/>
      <c r="K117" s="584"/>
      <c r="L117" s="585"/>
      <c r="M117" s="586"/>
      <c r="N117" s="1155"/>
      <c r="O117" s="1155"/>
      <c r="P117" s="2689"/>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9"/>
      <c r="Q118" s="504"/>
    </row>
    <row r="119" spans="1:17" ht="15" thickTop="1">
      <c r="A119" s="599"/>
      <c r="B119" s="636" t="s">
        <v>2693</v>
      </c>
      <c r="C119" s="2941" t="s">
        <v>3107</v>
      </c>
      <c r="D119" s="2941" t="s">
        <v>3108</v>
      </c>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95</v>
      </c>
      <c r="E120" s="544">
        <f t="shared" ref="E120:M120" si="29">D120-$K41</f>
        <v>90</v>
      </c>
      <c r="F120" s="544">
        <f t="shared" si="29"/>
        <v>85</v>
      </c>
      <c r="G120" s="544">
        <f t="shared" si="29"/>
        <v>80</v>
      </c>
      <c r="H120" s="544">
        <f t="shared" si="29"/>
        <v>75</v>
      </c>
      <c r="I120" s="544">
        <f t="shared" si="29"/>
        <v>70</v>
      </c>
      <c r="J120" s="544">
        <f t="shared" si="29"/>
        <v>65</v>
      </c>
      <c r="K120" s="544">
        <f t="shared" si="29"/>
        <v>60</v>
      </c>
      <c r="L120" s="544">
        <f t="shared" si="29"/>
        <v>55</v>
      </c>
      <c r="M120" s="544">
        <f t="shared" si="29"/>
        <v>50</v>
      </c>
      <c r="N120" s="1156"/>
      <c r="O120" s="1156"/>
      <c r="P120" s="2689"/>
      <c r="Q120" s="504"/>
    </row>
    <row r="121" spans="1:17" s="471" customFormat="1" ht="15" thickTop="1">
      <c r="A121" s="593"/>
      <c r="B121" s="538" t="s">
        <v>2676</v>
      </c>
      <c r="C121" s="434">
        <v>125.74</v>
      </c>
      <c r="D121" s="434">
        <v>90</v>
      </c>
      <c r="E121" s="434">
        <v>109</v>
      </c>
      <c r="F121" s="583">
        <v>65</v>
      </c>
      <c r="G121" s="555"/>
      <c r="H121" s="555"/>
      <c r="I121" s="555"/>
      <c r="J121" s="555"/>
      <c r="K121" s="555"/>
      <c r="L121" s="556"/>
      <c r="M121" s="557"/>
      <c r="N121" s="1157"/>
      <c r="O121" s="1157"/>
      <c r="P121" s="2690"/>
      <c r="Q121" s="559"/>
    </row>
    <row r="122" spans="1:17" s="471" customFormat="1" ht="15.75" thickBot="1">
      <c r="A122" s="553"/>
      <c r="B122" s="535"/>
      <c r="C122" s="560">
        <v>100</v>
      </c>
      <c r="D122" s="560">
        <v>100</v>
      </c>
      <c r="E122" s="560">
        <v>100</v>
      </c>
      <c r="F122" s="560">
        <v>101</v>
      </c>
      <c r="G122" s="560"/>
      <c r="H122" s="560"/>
      <c r="I122" s="560"/>
      <c r="J122" s="560"/>
      <c r="K122" s="560"/>
      <c r="L122" s="560"/>
      <c r="M122" s="560"/>
      <c r="N122" s="1157"/>
      <c r="O122" s="1157"/>
      <c r="P122" s="2690"/>
      <c r="Q122" s="559"/>
    </row>
    <row r="123" spans="1:17" ht="15" thickTop="1">
      <c r="A123" s="599"/>
      <c r="B123" s="538" t="s">
        <v>2612</v>
      </c>
      <c r="C123" s="554" t="s">
        <v>3066</v>
      </c>
      <c r="D123" s="554" t="s">
        <v>3061</v>
      </c>
      <c r="E123" s="554" t="s">
        <v>3098</v>
      </c>
      <c r="F123" s="583" t="s">
        <v>3072</v>
      </c>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9"/>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9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9"/>
      <c r="Q126" s="504"/>
    </row>
    <row r="127" spans="1:17" s="471" customFormat="1" ht="15" thickTop="1">
      <c r="A127" s="593"/>
      <c r="B127" s="538" t="str">
        <f>B45</f>
        <v>是否含地下室</v>
      </c>
      <c r="C127" s="2940" t="s">
        <v>3109</v>
      </c>
      <c r="D127" s="2940" t="s">
        <v>3071</v>
      </c>
      <c r="E127" s="554"/>
      <c r="F127" s="554"/>
      <c r="G127" s="554"/>
      <c r="H127" s="555"/>
      <c r="I127" s="555"/>
      <c r="J127" s="555"/>
      <c r="K127" s="555"/>
      <c r="L127" s="556"/>
      <c r="M127" s="557"/>
      <c r="N127" s="1157"/>
      <c r="O127" s="1157"/>
      <c r="P127" s="2690"/>
      <c r="Q127" s="559"/>
    </row>
    <row r="128" spans="1:17" s="471" customFormat="1" ht="15.75" thickBot="1">
      <c r="A128" s="553"/>
      <c r="B128" s="543"/>
      <c r="C128" s="560">
        <v>100</v>
      </c>
      <c r="D128" s="536">
        <v>105</v>
      </c>
      <c r="E128" s="536"/>
      <c r="F128" s="536"/>
      <c r="G128" s="560"/>
      <c r="H128" s="562"/>
      <c r="I128" s="562"/>
      <c r="J128" s="562"/>
      <c r="K128" s="562"/>
      <c r="L128" s="562"/>
      <c r="M128" s="563"/>
      <c r="N128" s="1157"/>
      <c r="O128" s="1157"/>
      <c r="P128" s="2690"/>
      <c r="Q128" s="559"/>
    </row>
    <row r="129" spans="1:17" ht="15" thickTop="1">
      <c r="A129" s="599"/>
      <c r="B129" s="538">
        <f>B46</f>
        <v>0</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0</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33" sqref="F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3206</v>
      </c>
      <c r="D1" s="1824" t="s">
        <v>70</v>
      </c>
      <c r="E1" s="1825" t="s">
        <v>1388</v>
      </c>
      <c r="F1" s="1286">
        <f ca="1">J53</f>
        <v>38</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401</v>
      </c>
      <c r="C2" s="1849" t="s">
        <v>1518</v>
      </c>
      <c r="D2" s="1849"/>
      <c r="E2" s="1850"/>
      <c r="F2" s="1851"/>
      <c r="G2" s="1852"/>
      <c r="H2" s="1844"/>
      <c r="I2" s="1844"/>
      <c r="J2" s="1844"/>
      <c r="K2" s="1845"/>
      <c r="L2" s="1844"/>
      <c r="M2" s="1844"/>
    </row>
    <row r="3" spans="1:37" ht="18" customHeight="1" thickBot="1">
      <c r="A3" s="1853" t="s">
        <v>1519</v>
      </c>
      <c r="B3" s="1854">
        <f ca="1">IF(ISERROR(B2*10000/F43),0,ROUND(B2*10000/F43,0))</f>
        <v>31891</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21</v>
      </c>
      <c r="D5" s="1826" t="s">
        <v>1403</v>
      </c>
      <c r="E5" s="1296"/>
      <c r="F5" s="1297"/>
      <c r="G5" s="1855"/>
      <c r="H5" s="344">
        <v>1</v>
      </c>
      <c r="I5" s="345" t="s">
        <v>1402</v>
      </c>
      <c r="J5" s="1295">
        <f ca="1">J6+J10+J12</f>
        <v>0</v>
      </c>
      <c r="K5" s="1826" t="s">
        <v>1403</v>
      </c>
      <c r="L5" s="1296"/>
      <c r="M5" s="1297"/>
    </row>
    <row r="6" spans="1:37" ht="18" customHeight="1">
      <c r="A6" s="1294" t="s">
        <v>1035</v>
      </c>
      <c r="B6" s="3237" t="s">
        <v>1404</v>
      </c>
      <c r="C6" s="1299">
        <f ca="1">ROUND(F6*F8*F7*(1-F9)/10000,0)</f>
        <v>21</v>
      </c>
      <c r="D6" s="164" t="s">
        <v>3019</v>
      </c>
      <c r="E6" s="347" t="s">
        <v>1406</v>
      </c>
      <c r="F6" s="348">
        <f ca="1">INDIRECT("'数据-取费表'!u"&amp;$G$1)</f>
        <v>5</v>
      </c>
      <c r="G6" s="1855"/>
      <c r="H6" s="1294" t="s">
        <v>1035</v>
      </c>
      <c r="I6" s="3237" t="s">
        <v>1404</v>
      </c>
      <c r="J6" s="346">
        <f ca="1">ROUND(M6*M8*M7*(1-M9)/10000,0)</f>
        <v>0</v>
      </c>
      <c r="K6" s="164" t="s">
        <v>3018</v>
      </c>
      <c r="L6" s="347" t="s">
        <v>1406</v>
      </c>
      <c r="M6" s="348">
        <f ca="1">INDIRECT("'数据-取费表'!z"&amp;$G$1)</f>
        <v>0</v>
      </c>
    </row>
    <row r="7" spans="1:37" ht="18" customHeight="1">
      <c r="A7" s="1298"/>
      <c r="B7" s="3238"/>
      <c r="C7" s="1300"/>
      <c r="D7" s="352"/>
      <c r="E7" s="1301" t="s">
        <v>1407</v>
      </c>
      <c r="F7" s="348">
        <f ca="1">IF(INDIRECT("'数据-取费表'!ah"&amp;$G$1)="",INDIRECT("'数据-取费表'!k"&amp;$G$1),INDIRECT("'数据-取费表'!ah"&amp;$G$1))</f>
        <v>125.74</v>
      </c>
      <c r="G7" s="1855"/>
      <c r="H7" s="349"/>
      <c r="I7" s="3238"/>
      <c r="J7" s="351"/>
      <c r="K7" s="352"/>
      <c r="L7" s="347" t="s">
        <v>1407</v>
      </c>
      <c r="M7" s="348">
        <f ca="1">F7</f>
        <v>125.74</v>
      </c>
    </row>
    <row r="8" spans="1:37" ht="18" customHeight="1">
      <c r="A8" s="349"/>
      <c r="B8" s="3238"/>
      <c r="C8" s="351"/>
      <c r="D8" s="352"/>
      <c r="E8" s="347" t="s">
        <v>1408</v>
      </c>
      <c r="F8" s="348">
        <f ca="1">INDIRECT("'数据-取费表'!ai"&amp;$G$1)</f>
        <v>365</v>
      </c>
      <c r="G8" s="1855"/>
      <c r="H8" s="349"/>
      <c r="I8" s="3238"/>
      <c r="J8" s="351"/>
      <c r="K8" s="352"/>
      <c r="L8" s="347" t="s">
        <v>1408</v>
      </c>
      <c r="M8" s="348">
        <f ca="1">INDIRECT("'数据-取费表'!ai"&amp;$G$1)</f>
        <v>365</v>
      </c>
    </row>
    <row r="9" spans="1:37" ht="18" customHeight="1">
      <c r="A9" s="349"/>
      <c r="B9" s="3239"/>
      <c r="C9" s="351"/>
      <c r="D9" s="352"/>
      <c r="E9" s="347" t="s">
        <v>1409</v>
      </c>
      <c r="F9" s="357">
        <f ca="1">INDIRECT("'数据-取费表'!w"&amp;$G$1)</f>
        <v>0.1</v>
      </c>
      <c r="G9" s="1855"/>
      <c r="H9" s="349"/>
      <c r="I9" s="3239"/>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0</v>
      </c>
      <c r="D10" s="1828" t="s">
        <v>3020</v>
      </c>
      <c r="E10" s="358" t="s">
        <v>1412</v>
      </c>
      <c r="F10" s="1369" t="s">
        <v>3077</v>
      </c>
      <c r="G10" s="1855"/>
      <c r="H10" s="1294" t="s">
        <v>1039</v>
      </c>
      <c r="I10" s="1827" t="s">
        <v>1410</v>
      </c>
      <c r="J10" s="346">
        <f ca="1">ROUND(IF(M10="押一",M6*M8*M7/12*M11,IF(M10="押二",M6*M8*M7/12*2*M11,IF(M10="押三",M6*M8*M7/12*3*M11,J11*M11)))/10000,0)</f>
        <v>0</v>
      </c>
      <c r="K10" s="1828" t="s">
        <v>3021</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50</v>
      </c>
      <c r="D13" s="1334" t="s">
        <v>1417</v>
      </c>
      <c r="E13" s="1334" t="s">
        <v>1418</v>
      </c>
      <c r="F13" s="1335">
        <f ca="1">INDIRECT("'数据-取费表'!y"&amp;$G$1)</f>
        <v>0.85</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35</v>
      </c>
      <c r="D14" s="1804" t="s">
        <v>1420</v>
      </c>
      <c r="E14" s="1798"/>
      <c r="F14" s="364"/>
      <c r="G14" s="1855"/>
      <c r="H14" s="1204" t="s">
        <v>1035</v>
      </c>
      <c r="I14" s="347" t="s">
        <v>1421</v>
      </c>
      <c r="J14" s="24">
        <f ca="1">C29</f>
        <v>59</v>
      </c>
      <c r="K14" s="15"/>
      <c r="L14" s="982"/>
      <c r="M14" s="983"/>
    </row>
    <row r="15" spans="1:37" s="1862" customFormat="1" ht="18" customHeight="1" thickBot="1">
      <c r="A15" s="1204" t="s">
        <v>1036</v>
      </c>
      <c r="B15" s="347" t="s">
        <v>1422</v>
      </c>
      <c r="C15" s="24">
        <f ca="1">ROUND(C14*F15,0)</f>
        <v>2</v>
      </c>
      <c r="D15" s="365" t="s">
        <v>1423</v>
      </c>
      <c r="E15" s="365" t="s">
        <v>1424</v>
      </c>
      <c r="F15" s="366">
        <f>'数据-取费表'!B33</f>
        <v>0.05</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1</v>
      </c>
      <c r="K16" s="1340" t="s">
        <v>1427</v>
      </c>
      <c r="L16" s="1341"/>
      <c r="M16" s="1297"/>
    </row>
    <row r="17" spans="1:37" s="1862" customFormat="1" ht="18" customHeight="1">
      <c r="A17" s="1204" t="s">
        <v>1391</v>
      </c>
      <c r="B17" s="347" t="s">
        <v>1428</v>
      </c>
      <c r="C17" s="24">
        <f ca="1">ROUND(F17*(F43+INDIRECT("'数据-取费表'!S"&amp;$G$1))/10000,0)</f>
        <v>3</v>
      </c>
      <c r="D17" s="347" t="s">
        <v>1429</v>
      </c>
      <c r="E17" s="347" t="s">
        <v>1430</v>
      </c>
      <c r="F17" s="26">
        <f>'数据-取费表'!B35</f>
        <v>200</v>
      </c>
      <c r="G17" s="1858"/>
      <c r="H17" s="1204" t="s">
        <v>1035</v>
      </c>
      <c r="I17" s="347" t="s">
        <v>1431</v>
      </c>
      <c r="J17" s="24">
        <f ca="1">ROUND(IF(项目基本情况!B11="自然人",J5*M17,J18+J19+J20),1)</f>
        <v>0.5</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1</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5.5000000000000007E-2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41</v>
      </c>
      <c r="D19" s="140" t="s">
        <v>1438</v>
      </c>
      <c r="E19" s="1822"/>
      <c r="F19" s="26"/>
      <c r="G19" s="1855"/>
      <c r="H19" s="1204" t="s">
        <v>1036</v>
      </c>
      <c r="I19" s="347" t="s">
        <v>1439</v>
      </c>
      <c r="J19" s="24">
        <f ca="1">IF(K19="按租金收入计税",ROUND(J5*M19,2),ROUND(C29*M19*0.7,2))</f>
        <v>0.5</v>
      </c>
      <c r="K19" s="1832" t="s">
        <v>1440</v>
      </c>
      <c r="L19" s="347" t="s">
        <v>1424</v>
      </c>
      <c r="M19" s="367">
        <f>IF(K19="按租金收入计税",'数据-取费表'!B51,'数据-取费表'!B50)</f>
        <v>1.2E-2</v>
      </c>
    </row>
    <row r="20" spans="1:37" s="1862" customFormat="1" ht="18" customHeight="1">
      <c r="A20" s="1204" t="s">
        <v>1039</v>
      </c>
      <c r="B20" s="347" t="s">
        <v>1441</v>
      </c>
      <c r="C20" s="24">
        <f ca="1">ROUND(C19*F20,0)</f>
        <v>1</v>
      </c>
      <c r="D20" s="369" t="s">
        <v>1442</v>
      </c>
      <c r="E20" s="347" t="s">
        <v>1424</v>
      </c>
      <c r="F20" s="367">
        <f>'数据-取费表'!B37</f>
        <v>0.02</v>
      </c>
      <c r="G20" s="1858"/>
      <c r="H20" s="1204" t="s">
        <v>1390</v>
      </c>
      <c r="I20" s="164" t="s">
        <v>1443</v>
      </c>
      <c r="J20" s="25">
        <f ca="1">ROUND(M20*M21/10000,2)</f>
        <v>0</v>
      </c>
      <c r="K20" s="370" t="s">
        <v>1444</v>
      </c>
      <c r="L20" s="347" t="s">
        <v>1445</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0.02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复利计息。建造成本、管理费用、销售费用产生的利息。</v>
      </c>
      <c r="E22" s="1822"/>
      <c r="F22" s="26"/>
      <c r="G22" s="1855"/>
      <c r="H22" s="1204" t="s">
        <v>1039</v>
      </c>
      <c r="I22" s="347" t="s">
        <v>1451</v>
      </c>
      <c r="J22" s="24">
        <f ca="1">ROUND(J14*M22,1)</f>
        <v>0.9</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1454</v>
      </c>
      <c r="F23" s="371">
        <f>'数据-取费表'!B20</f>
        <v>1.5</v>
      </c>
      <c r="G23" s="1858"/>
      <c r="H23" s="1204" t="s">
        <v>1075</v>
      </c>
      <c r="I23" s="347" t="s">
        <v>1455</v>
      </c>
      <c r="J23" s="24">
        <f ca="1">ROUND(J13*M23,1)</f>
        <v>0</v>
      </c>
      <c r="K23" s="1802" t="s">
        <v>1456</v>
      </c>
      <c r="L23" s="347" t="s">
        <v>1457</v>
      </c>
      <c r="M23" s="376">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6.9999999999999999E-4</v>
      </c>
      <c r="D24" s="375" t="str">
        <f>IF(F23&lt;=1,"销售费用×利率×(建设周期÷2)","销售费用×((1+利率)^(建设周期÷2)-1)")</f>
        <v>销售费用×((1+利率)^(建设周期÷2)-1)</v>
      </c>
      <c r="E24" s="347" t="s">
        <v>1460</v>
      </c>
      <c r="F24" s="377">
        <f ca="1">'数据-取费表'!B40</f>
        <v>4.7500000000000001E-2</v>
      </c>
      <c r="G24" s="1858"/>
      <c r="H24" s="1342" t="s">
        <v>1394</v>
      </c>
      <c r="I24" s="1343" t="s">
        <v>1441</v>
      </c>
      <c r="J24" s="1344">
        <f ca="1">ROUND(J5*M24,1)</f>
        <v>0</v>
      </c>
      <c r="K24" s="1345" t="s">
        <v>1461</v>
      </c>
      <c r="L24" s="1343" t="s">
        <v>1457</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-1</v>
      </c>
      <c r="K25" s="1348" t="s">
        <v>1466</v>
      </c>
      <c r="L25" s="1349"/>
      <c r="M25" s="1350"/>
    </row>
    <row r="26" spans="1:37">
      <c r="A26" s="1204" t="s">
        <v>1034</v>
      </c>
      <c r="B26" s="347" t="s">
        <v>1467</v>
      </c>
      <c r="C26" s="24">
        <f ca="1">ROUND((C19+C20)*F26,0)</f>
        <v>11</v>
      </c>
      <c r="D26" s="369" t="s">
        <v>1468</v>
      </c>
      <c r="E26" s="358" t="s">
        <v>1469</v>
      </c>
      <c r="F26" s="357">
        <f ca="1">INDIRECT("'数据-取费表'!q"&amp;$G$1)</f>
        <v>0.25</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4">
        <f ca="1">ROUND(F21*F26,4)</f>
        <v>5.0000000000000001E-3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5.2400000000000002E-2</v>
      </c>
      <c r="D28" s="369" t="s">
        <v>1478</v>
      </c>
      <c r="E28" s="347" t="s">
        <v>1424</v>
      </c>
      <c r="F28" s="367">
        <f>'数据-取费表'!B41</f>
        <v>5.5000000000000007E-2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59</v>
      </c>
      <c r="D29" s="1345"/>
      <c r="E29" s="1343"/>
      <c r="F29" s="1346"/>
      <c r="G29" s="1858"/>
      <c r="H29" s="380" t="s">
        <v>1033</v>
      </c>
      <c r="I29" s="381" t="s">
        <v>1481</v>
      </c>
      <c r="J29" s="382">
        <f ca="1">ROUND(J26/(1+F40)^F41,0)</f>
        <v>0</v>
      </c>
      <c r="K29" s="383" t="s">
        <v>1482</v>
      </c>
      <c r="L29" s="384"/>
      <c r="M29" s="385">
        <f ca="1">INDIRECT("'数据-取费表'!k"&amp;$G$1)</f>
        <v>125.74</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3</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1.6</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1.1000000000000001</v>
      </c>
      <c r="D32" s="1802" t="s">
        <v>1436</v>
      </c>
      <c r="E32" s="347" t="s">
        <v>1424</v>
      </c>
      <c r="F32" s="377">
        <f>'数据-取费表'!B41</f>
        <v>5.5000000000000007E-2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0.5</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0</v>
      </c>
      <c r="D34" s="370" t="s">
        <v>1444</v>
      </c>
      <c r="E34" s="347" t="s">
        <v>1445</v>
      </c>
      <c r="F34" s="371">
        <f>'数据-取费表'!B52</f>
        <v>1.5</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ROUND(C29*F36,1)</f>
        <v>0.9</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0.1</v>
      </c>
      <c r="D37" s="1802" t="s">
        <v>1456</v>
      </c>
      <c r="E37" s="347" t="s">
        <v>1457</v>
      </c>
      <c r="F37" s="376">
        <f ca="1">INDIRECT("'数据-取费表'!Al"&amp;$G$1)</f>
        <v>1.5E-3</v>
      </c>
      <c r="G37" s="1855"/>
      <c r="H37" s="1863"/>
      <c r="I37" s="1864"/>
      <c r="J37" s="1865"/>
      <c r="K37" s="751"/>
      <c r="L37" s="1863"/>
      <c r="M37" s="1863"/>
    </row>
    <row r="38" spans="1:18" ht="18" customHeight="1" thickBot="1">
      <c r="A38" s="1342" t="s">
        <v>1394</v>
      </c>
      <c r="B38" s="1343" t="s">
        <v>1441</v>
      </c>
      <c r="C38" s="1344">
        <f ca="1">ROUND(C5*F38,1)</f>
        <v>0.2</v>
      </c>
      <c r="D38" s="1345" t="s">
        <v>1461</v>
      </c>
      <c r="E38" s="1343" t="s">
        <v>1457</v>
      </c>
      <c r="F38" s="1339">
        <f ca="1">INDIRECT("'数据-取费表'!Am"&amp;$G$1)</f>
        <v>0.01</v>
      </c>
      <c r="G38" s="1855"/>
      <c r="H38" s="1863"/>
      <c r="I38" s="1864"/>
      <c r="J38" s="1865"/>
      <c r="K38" s="1869"/>
      <c r="L38" s="1863"/>
      <c r="M38" s="1863"/>
    </row>
    <row r="39" spans="1:18" ht="24.6" customHeight="1" thickTop="1">
      <c r="A39" s="1332" t="s">
        <v>1031</v>
      </c>
      <c r="B39" s="1347" t="s">
        <v>1485</v>
      </c>
      <c r="C39" s="355">
        <f ca="1">C5-C30</f>
        <v>18</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400</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38</v>
      </c>
      <c r="G41" s="1855"/>
      <c r="H41" s="732"/>
      <c r="I41" s="1864"/>
      <c r="J41" s="1865"/>
      <c r="K41" s="751"/>
      <c r="L41" s="732"/>
      <c r="M41" s="732"/>
    </row>
    <row r="42" spans="1:18" ht="18" customHeight="1">
      <c r="A42" s="353"/>
      <c r="B42" s="354"/>
      <c r="C42" s="355"/>
      <c r="D42" s="373"/>
      <c r="E42" s="347" t="s">
        <v>1479</v>
      </c>
      <c r="F42" s="357">
        <f ca="1">INDIRECT("'数据-取费表'!v"&amp;$G$1)</f>
        <v>2.5000000000000001E-2</v>
      </c>
      <c r="G42" s="1855"/>
      <c r="H42" s="732"/>
      <c r="I42" s="1864"/>
      <c r="J42" s="1865"/>
      <c r="K42" s="751"/>
      <c r="L42" s="732"/>
      <c r="M42" s="732"/>
    </row>
    <row r="43" spans="1:18" ht="18" customHeight="1" thickBot="1">
      <c r="A43" s="380" t="s">
        <v>1033</v>
      </c>
      <c r="B43" s="381" t="s">
        <v>1489</v>
      </c>
      <c r="C43" s="382">
        <f ca="1">ROUND(C40*10000/F43,0)</f>
        <v>31812</v>
      </c>
      <c r="D43" s="383" t="s">
        <v>1490</v>
      </c>
      <c r="E43" s="384" t="s">
        <v>1491</v>
      </c>
      <c r="F43" s="385">
        <f ca="1">INDIRECT("'数据-取费表'!k"&amp;$G$1)</f>
        <v>125.74</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-432</v>
      </c>
      <c r="D46" s="1876" t="str">
        <f>C2</f>
        <v>万元</v>
      </c>
      <c r="E46" s="1870"/>
      <c r="F46" s="1870"/>
      <c r="I46" s="1877" t="s">
        <v>1523</v>
      </c>
      <c r="J46" s="1878"/>
      <c r="K46" s="1879"/>
      <c r="L46" s="1880">
        <f ca="1">IF(M47="住宅",0,IF(L48&gt;J51,L60,J60))</f>
        <v>1</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3060</v>
      </c>
      <c r="K47" s="1886" t="s">
        <v>1529</v>
      </c>
      <c r="L47" s="1887">
        <f ca="1">INDIRECT("'数据-取费表'!d"&amp;$G$1)</f>
        <v>50</v>
      </c>
      <c r="M47" s="1842" t="str">
        <f>IF(ISNUMBER(FIND("住宅",C1)),"住宅","非住宅")</f>
        <v>非住宅</v>
      </c>
      <c r="O47" s="1888" t="s">
        <v>1040</v>
      </c>
      <c r="P47" s="1889" t="s">
        <v>1530</v>
      </c>
      <c r="Q47" s="1890">
        <f ca="1">C40+J29</f>
        <v>400</v>
      </c>
      <c r="R47" s="1890" t="s">
        <v>1531</v>
      </c>
    </row>
    <row r="48" spans="1:18" s="1846" customFormat="1" ht="28.5" thickBot="1">
      <c r="A48" s="1363" t="s">
        <v>1135</v>
      </c>
      <c r="B48" s="345" t="s">
        <v>1402</v>
      </c>
      <c r="C48" s="1821">
        <f ca="1">C49+C53+C55</f>
        <v>0</v>
      </c>
      <c r="D48" s="1365"/>
      <c r="E48" s="1366"/>
      <c r="F48" s="1184"/>
      <c r="G48" s="792"/>
      <c r="H48" s="793"/>
      <c r="I48" s="1891" t="s">
        <v>1532</v>
      </c>
      <c r="J48" s="1892" t="s">
        <v>3076</v>
      </c>
      <c r="K48" s="1893" t="s">
        <v>1533</v>
      </c>
      <c r="L48" s="1894">
        <f ca="1">INDIRECT("'数据-取费表'!f"&amp;$G$1)</f>
        <v>38</v>
      </c>
      <c r="O48" s="1888" t="s">
        <v>1041</v>
      </c>
      <c r="P48" s="1889" t="s">
        <v>1534</v>
      </c>
      <c r="Q48" s="1890">
        <f ca="1">J60</f>
        <v>1</v>
      </c>
      <c r="R48" s="1890" t="s">
        <v>1535</v>
      </c>
    </row>
    <row r="49" spans="1:18" s="1846" customFormat="1" ht="13.5" thickBot="1">
      <c r="A49" s="1197" t="s">
        <v>1136</v>
      </c>
      <c r="B49" s="1833" t="s">
        <v>1492</v>
      </c>
      <c r="C49" s="1367">
        <f ca="1">ROUND(F49*F51*F50*(1-F52)/10000,0)</f>
        <v>0</v>
      </c>
      <c r="D49" s="1279" t="s">
        <v>3022</v>
      </c>
      <c r="E49" s="1834" t="s">
        <v>1493</v>
      </c>
      <c r="F49" s="1284"/>
      <c r="G49" s="1895"/>
      <c r="H49" s="793"/>
      <c r="I49" s="1891" t="s">
        <v>1536</v>
      </c>
      <c r="J49" s="1896">
        <v>2007</v>
      </c>
      <c r="K49" s="1893" t="s">
        <v>1537</v>
      </c>
      <c r="L49" s="1897"/>
      <c r="O49" s="1898" t="s">
        <v>1042</v>
      </c>
      <c r="P49" s="1889" t="s">
        <v>1538</v>
      </c>
      <c r="Q49" s="1890">
        <f ca="1">C29</f>
        <v>59</v>
      </c>
      <c r="R49" s="1890" t="s">
        <v>1531</v>
      </c>
    </row>
    <row r="50" spans="1:18" s="1846" customFormat="1" ht="13.5" thickBot="1">
      <c r="A50" s="1198"/>
      <c r="B50" s="1201"/>
      <c r="C50" s="1371"/>
      <c r="D50" s="1175"/>
      <c r="E50" s="1280" t="s">
        <v>1407</v>
      </c>
      <c r="F50" s="1281">
        <f ca="1">F7</f>
        <v>125.74</v>
      </c>
      <c r="H50" s="793"/>
      <c r="I50" s="1891" t="s">
        <v>1539</v>
      </c>
      <c r="J50" s="1899">
        <f>SUMPRODUCT((I63:I65=J47)*(J62:L62=J48)*(J63:L65))</f>
        <v>60</v>
      </c>
      <c r="K50" s="1893" t="s">
        <v>1540</v>
      </c>
      <c r="L50" s="1897"/>
      <c r="M50" s="1900"/>
      <c r="O50" s="1898" t="s">
        <v>1043</v>
      </c>
      <c r="P50" s="1889" t="s">
        <v>1541</v>
      </c>
      <c r="Q50" s="1901">
        <f ca="1">J58</f>
        <v>0.4</v>
      </c>
      <c r="R50" s="1890"/>
    </row>
    <row r="51" spans="1:18" s="1846" customFormat="1" ht="13.5" thickBot="1">
      <c r="A51" s="1199"/>
      <c r="B51" s="1201"/>
      <c r="C51" s="1202"/>
      <c r="D51" s="1175"/>
      <c r="E51" s="1203" t="s">
        <v>1408</v>
      </c>
      <c r="F51" s="348">
        <f ca="1">F8</f>
        <v>365</v>
      </c>
      <c r="I51" s="1902" t="s">
        <v>1542</v>
      </c>
      <c r="J51" s="1903">
        <f>IF(J49="",J50,J49+J50-YEAR('数据-取费表'!B2))</f>
        <v>50</v>
      </c>
      <c r="K51" s="1904" t="s">
        <v>1543</v>
      </c>
      <c r="L51" s="1905">
        <f ca="1">ROUND(-PV(INDIRECT("'数据-取费表'!h"&amp;$G$1),L48,(C39-C13*C76),0),0)</f>
        <v>232</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v>4.4999999999999998E-2</v>
      </c>
      <c r="O52" s="1898" t="s">
        <v>1045</v>
      </c>
      <c r="P52" s="1889" t="s">
        <v>1547</v>
      </c>
      <c r="Q52" s="1890">
        <f ca="1">J53</f>
        <v>38</v>
      </c>
      <c r="R52" s="1890" t="s">
        <v>1548</v>
      </c>
    </row>
    <row r="53" spans="1:18" s="1846" customFormat="1" ht="24.75" thickBot="1">
      <c r="A53" s="1408" t="s">
        <v>1137</v>
      </c>
      <c r="B53" s="1835" t="s">
        <v>1410</v>
      </c>
      <c r="C53" s="361">
        <f ca="1">ROUND(IF(F53="押一",F49*F51*F50/12*F11,IF(F53="押二",F49*F51*F50/12*2*F11,IF(F53="押三",F49*F51*F50/12*3*F11,C54*F11)))/10000,0)</f>
        <v>0</v>
      </c>
      <c r="D53" s="1828" t="s">
        <v>3020</v>
      </c>
      <c r="E53" s="358" t="s">
        <v>1412</v>
      </c>
      <c r="F53" s="1369"/>
      <c r="I53" s="1909" t="s">
        <v>1549</v>
      </c>
      <c r="J53" s="1910">
        <f ca="1">IF(M47="住宅",J51,IF(D1="——",MIN(J51,L48),IF(D1="在建（套用方法）",MIN(J51,L48-'数据-取费表'!B24),IF(D1="土地（套用方法）",MIN(J51,L48-'数据-取费表'!B20)))))</f>
        <v>38</v>
      </c>
      <c r="K53" s="3235" t="s">
        <v>1550</v>
      </c>
      <c r="L53" s="3236"/>
      <c r="O53" s="1888" t="s">
        <v>1046</v>
      </c>
      <c r="P53" s="1889" t="s">
        <v>1551</v>
      </c>
      <c r="Q53" s="1890">
        <f ca="1">Q47+Q48</f>
        <v>401</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f ca="1">ROUND(IF(J47="钢混",J57/J50,1-(1-2%)*(J50-J57)/J50),3)</f>
        <v>0.2</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50</v>
      </c>
      <c r="D56" s="1918"/>
      <c r="E56" s="1919"/>
      <c r="F56" s="1911"/>
      <c r="I56" s="1920" t="s">
        <v>1556</v>
      </c>
      <c r="J56" s="1921" t="s">
        <v>3037</v>
      </c>
      <c r="K56" s="1891" t="s">
        <v>1557</v>
      </c>
      <c r="L56" s="1894" t="str">
        <f ca="1">IF(L48&lt;J51,"——",L48-J53)</f>
        <v>——</v>
      </c>
      <c r="O56" s="1888" t="s">
        <v>1040</v>
      </c>
      <c r="P56" s="1889" t="s">
        <v>1530</v>
      </c>
      <c r="Q56" s="1890">
        <f ca="1">C40+J29</f>
        <v>400</v>
      </c>
      <c r="R56" s="1890" t="s">
        <v>1531</v>
      </c>
    </row>
    <row r="57" spans="1:18" s="1846" customFormat="1" ht="24.75" thickBot="1">
      <c r="A57" s="1922"/>
      <c r="B57" s="1172" t="s">
        <v>1480</v>
      </c>
      <c r="C57" s="282">
        <f ca="1">C29</f>
        <v>59</v>
      </c>
      <c r="D57" s="1923"/>
      <c r="E57" s="1924"/>
      <c r="F57" s="1925"/>
      <c r="I57" s="1926" t="s">
        <v>1558</v>
      </c>
      <c r="J57" s="1927">
        <f ca="1">IF(OR(M47="住宅",J51&lt;L48,J56="是"),"——",J51-L48)</f>
        <v>12</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2</v>
      </c>
      <c r="D58" s="1182" t="s">
        <v>1427</v>
      </c>
      <c r="E58" s="1183"/>
      <c r="F58" s="1184"/>
      <c r="I58" s="1926" t="s">
        <v>1562</v>
      </c>
      <c r="J58" s="1928">
        <f ca="1">IF(J55&lt;0.4,0.4,J55)</f>
        <v>0.4</v>
      </c>
      <c r="K58" s="1904" t="s">
        <v>1563</v>
      </c>
      <c r="L58" s="1894">
        <f ca="1">ROUND(POWER(1+L52,L47-L48)*(POWER(1+L52,L48)-1)/(POWER(1+L52,L47)-1),4)</f>
        <v>0.91339999999999999</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ROUND(IF(项目基本情况!B11="自然人",C48*F59,C60+C61+C62),1)</f>
        <v>0.5</v>
      </c>
      <c r="D59" s="1185" t="s">
        <v>1432</v>
      </c>
      <c r="E59" s="1186" t="s">
        <v>1433</v>
      </c>
      <c r="F59" s="368" t="str">
        <f ca="1">IF(项目基本情况!B11="企业","",IF(INDIRECT("'数据-取费表'!c"&amp;$G$1)="住宅",5%,IF(F49*F50*F51/12/(1+'数据-取费表'!C42)&gt;20000,12%,7%)))</f>
        <v/>
      </c>
      <c r="I59" s="1926" t="s">
        <v>1565</v>
      </c>
      <c r="J59" s="1927">
        <f ca="1">IF(OR(M47="住宅",J51&lt;L48,J56="是"),"——",ROUND(C29*J58,0))</f>
        <v>24</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1</v>
      </c>
      <c r="M59" s="1842">
        <f ca="1">ROUND(POWER(1+L52,L47-(J51+'数据-取费表'!B24))*(POWER(1+L52,(J51+'数据-取费表'!B24))-1)/(POWER(1+L52,L47)-1),4)</f>
        <v>1</v>
      </c>
      <c r="N59" s="1842">
        <f ca="1">ROUND(POWER(1+L52,L47-(J51+'数据-取费表'!B20))*(POWER(1+L52,(J51+'数据-取费表'!B20))-1)/(POWER(1+L52,L47)-1),4)</f>
        <v>1.008</v>
      </c>
      <c r="O59" s="1898" t="s">
        <v>1043</v>
      </c>
      <c r="P59" s="1889" t="s">
        <v>1566</v>
      </c>
      <c r="Q59" s="1901">
        <f>L52</f>
        <v>4.4999999999999998E-2</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5.5000000000000007E-2</v>
      </c>
      <c r="I60" s="1929" t="s">
        <v>1567</v>
      </c>
      <c r="J60" s="1930">
        <f ca="1">IF(OR(M47="住宅",J51&lt;L48,J56="是"),"0",ROUND(J59/(1+J52)^J53,0))</f>
        <v>1</v>
      </c>
      <c r="K60" s="1931" t="s">
        <v>1568</v>
      </c>
      <c r="L60" s="1930">
        <f ca="1">IF(OR(M47="住宅",L48&lt;J51),0,ROUND(L57*(L58/L59-1),0))</f>
        <v>0</v>
      </c>
      <c r="O60" s="1898" t="s">
        <v>1044</v>
      </c>
      <c r="P60" s="1889" t="s">
        <v>1569</v>
      </c>
      <c r="Q60" s="1890">
        <f ca="1">L58</f>
        <v>0.91339999999999999</v>
      </c>
      <c r="R60" s="1890" t="s">
        <v>1570</v>
      </c>
    </row>
    <row r="61" spans="1:18" s="1846" customFormat="1" ht="13.5" thickBot="1">
      <c r="A61" s="1204" t="s">
        <v>1494</v>
      </c>
      <c r="B61" s="1172" t="s">
        <v>1495</v>
      </c>
      <c r="C61" s="24">
        <f ca="1">IF(项目基本情况!B11="自然人","——",IF(D61="按租金收入计税",ROUND(C48*F61,2),IF(D61="按房产原值计税",ROUND(C57*F61*0.7,2),INDIRECT("'数据-取费表'!Aj"&amp;$G$1))))</f>
        <v>0.5</v>
      </c>
      <c r="D61" s="1832" t="s">
        <v>1440</v>
      </c>
      <c r="E61" s="1172" t="s">
        <v>1496</v>
      </c>
      <c r="F61" s="367">
        <f t="shared" si="0"/>
        <v>1.2E-2</v>
      </c>
      <c r="I61" s="1932"/>
      <c r="J61" s="1932"/>
      <c r="K61" s="1932"/>
      <c r="L61" s="1932"/>
      <c r="O61" s="1898" t="s">
        <v>1045</v>
      </c>
      <c r="P61" s="1889" t="str">
        <f>K59</f>
        <v>建筑物剩余耐用年限下的土地年期修正系数Kn</v>
      </c>
      <c r="Q61" s="1890">
        <f ca="1">L59</f>
        <v>1</v>
      </c>
      <c r="R61" s="1890" t="s">
        <v>1571</v>
      </c>
    </row>
    <row r="62" spans="1:18" s="1846" customFormat="1" ht="13.5" thickBot="1">
      <c r="A62" s="1204" t="s">
        <v>1497</v>
      </c>
      <c r="B62" s="1171" t="s">
        <v>1498</v>
      </c>
      <c r="C62" s="25">
        <f ca="1">IF(项目基本情况!B11="自然人","——",ROUND(F62*F63/10000,2))</f>
        <v>0</v>
      </c>
      <c r="D62" s="1187" t="s">
        <v>1499</v>
      </c>
      <c r="E62" s="1172" t="s">
        <v>1500</v>
      </c>
      <c r="F62" s="371">
        <f t="shared" si="0"/>
        <v>1.5</v>
      </c>
      <c r="I62" s="1933" t="s">
        <v>1572</v>
      </c>
      <c r="J62" s="1934" t="s">
        <v>1573</v>
      </c>
      <c r="K62" s="1934" t="s">
        <v>1574</v>
      </c>
      <c r="L62" s="1934" t="s">
        <v>1575</v>
      </c>
      <c r="M62" s="1935" t="s">
        <v>1576</v>
      </c>
      <c r="O62" s="1888" t="s">
        <v>1046</v>
      </c>
      <c r="P62" s="1889" t="s">
        <v>1577</v>
      </c>
      <c r="Q62" s="1890">
        <f ca="1">Q56+Q57</f>
        <v>400</v>
      </c>
      <c r="R62" s="1890" t="s">
        <v>1047</v>
      </c>
    </row>
    <row r="63" spans="1:18" s="1846" customFormat="1" ht="13.5" thickBot="1">
      <c r="A63" s="372"/>
      <c r="B63" s="1178"/>
      <c r="C63" s="29"/>
      <c r="D63" s="1188"/>
      <c r="E63" s="1172" t="s">
        <v>1501</v>
      </c>
      <c r="F63" s="348">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ROUND(C57*F64,1)</f>
        <v>0.9</v>
      </c>
      <c r="D64" s="1186" t="s">
        <v>1504</v>
      </c>
      <c r="E64" s="1172" t="s">
        <v>1496</v>
      </c>
      <c r="F64" s="374">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0.1</v>
      </c>
      <c r="D65" s="1186" t="s">
        <v>1456</v>
      </c>
      <c r="E65" s="1172" t="s">
        <v>1457</v>
      </c>
      <c r="F65" s="376">
        <f t="shared" ca="1" si="0"/>
        <v>1.5E-3</v>
      </c>
      <c r="I65" s="1933" t="s">
        <v>1581</v>
      </c>
      <c r="J65" s="1934">
        <v>40</v>
      </c>
      <c r="K65" s="1934">
        <v>30</v>
      </c>
      <c r="L65" s="1934">
        <v>50</v>
      </c>
      <c r="M65" s="1936">
        <v>0.02</v>
      </c>
      <c r="O65" s="1888" t="s">
        <v>1040</v>
      </c>
      <c r="P65" s="1889" t="s">
        <v>1582</v>
      </c>
      <c r="Q65" s="1890">
        <f ca="1">C40+J29</f>
        <v>400</v>
      </c>
      <c r="R65" s="1890" t="s">
        <v>1531</v>
      </c>
    </row>
    <row r="66" spans="1:18" s="1846" customFormat="1" ht="16.5" thickBot="1">
      <c r="A66" s="1204" t="s">
        <v>1506</v>
      </c>
      <c r="B66" s="1172" t="s">
        <v>1441</v>
      </c>
      <c r="C66" s="24">
        <f ca="1">ROUND(C48*F66,1)</f>
        <v>0</v>
      </c>
      <c r="D66" s="1186" t="s">
        <v>1507</v>
      </c>
      <c r="E66" s="1172" t="s">
        <v>1424</v>
      </c>
      <c r="F66" s="357">
        <f t="shared" ca="1" si="0"/>
        <v>0.01</v>
      </c>
      <c r="O66" s="1888" t="s">
        <v>1041</v>
      </c>
      <c r="P66" s="1889" t="s">
        <v>1560</v>
      </c>
      <c r="Q66" s="1890">
        <f ca="1">L60</f>
        <v>0</v>
      </c>
      <c r="R66" s="1890" t="s">
        <v>1583</v>
      </c>
    </row>
    <row r="67" spans="1:18" s="1846" customFormat="1" ht="16.5" thickBot="1">
      <c r="A67" s="1179" t="s">
        <v>1031</v>
      </c>
      <c r="B67" s="1189" t="s">
        <v>1465</v>
      </c>
      <c r="C67" s="361">
        <f ca="1">C48-C58</f>
        <v>-2</v>
      </c>
      <c r="D67" s="1185" t="s">
        <v>1466</v>
      </c>
      <c r="E67" s="1190"/>
      <c r="F67" s="1191"/>
      <c r="O67" s="1898" t="s">
        <v>1042</v>
      </c>
      <c r="P67" s="1889" t="s">
        <v>1564</v>
      </c>
      <c r="Q67" s="1937">
        <f ca="1">L51</f>
        <v>232</v>
      </c>
      <c r="R67" s="1890" t="s">
        <v>1584</v>
      </c>
    </row>
    <row r="68" spans="1:18" s="1846" customFormat="1" ht="16.5" thickBot="1">
      <c r="A68" s="1169" t="s">
        <v>1032</v>
      </c>
      <c r="B68" s="1170" t="s">
        <v>1487</v>
      </c>
      <c r="C68" s="346">
        <f ca="1">ROUND(C67*(1-((1+F70)/(1+F68))^F69)/(F68-F70),0)</f>
        <v>-32</v>
      </c>
      <c r="D68" s="1187" t="s">
        <v>1471</v>
      </c>
      <c r="E68" s="1172" t="s">
        <v>1472</v>
      </c>
      <c r="F68" s="357">
        <f ca="1">F40</f>
        <v>5.5E-2</v>
      </c>
      <c r="O68" s="1898" t="s">
        <v>1043</v>
      </c>
      <c r="P68" s="1938" t="s">
        <v>1585</v>
      </c>
      <c r="Q68" s="1890">
        <f ca="1">ROUND(Q69-Q70*Q71,0)</f>
        <v>14</v>
      </c>
      <c r="R68" s="1890" t="s">
        <v>1051</v>
      </c>
    </row>
    <row r="69" spans="1:18" s="1846" customFormat="1" ht="13.5" thickBot="1">
      <c r="A69" s="1173"/>
      <c r="B69" s="1174"/>
      <c r="C69" s="351"/>
      <c r="D69" s="1192" t="s">
        <v>1475</v>
      </c>
      <c r="E69" s="1172" t="s">
        <v>1476</v>
      </c>
      <c r="F69" s="379">
        <f ca="1">F41</f>
        <v>38</v>
      </c>
      <c r="O69" s="1898" t="s">
        <v>1048</v>
      </c>
      <c r="P69" s="1938" t="s">
        <v>1586</v>
      </c>
      <c r="Q69" s="1890">
        <f ca="1">C39</f>
        <v>18</v>
      </c>
      <c r="R69" s="1890" t="s">
        <v>1531</v>
      </c>
    </row>
    <row r="70" spans="1:18" s="1846" customFormat="1" ht="13.5" thickBot="1">
      <c r="A70" s="1176"/>
      <c r="B70" s="1177"/>
      <c r="C70" s="355"/>
      <c r="D70" s="1188"/>
      <c r="E70" s="1172" t="s">
        <v>1479</v>
      </c>
      <c r="F70" s="1278"/>
      <c r="O70" s="1898" t="s">
        <v>1049</v>
      </c>
      <c r="P70" s="1938" t="s">
        <v>1587</v>
      </c>
      <c r="Q70" s="1890">
        <f ca="1">C13</f>
        <v>50</v>
      </c>
      <c r="R70" s="1890" t="s">
        <v>1531</v>
      </c>
    </row>
    <row r="71" spans="1:18" s="1846" customFormat="1" ht="13.5" thickBot="1">
      <c r="A71" s="1193" t="s">
        <v>1033</v>
      </c>
      <c r="B71" s="1194" t="s">
        <v>1489</v>
      </c>
      <c r="C71" s="382">
        <f ca="1">ROUND(C68*10000/F71,0)</f>
        <v>-2545</v>
      </c>
      <c r="D71" s="1195" t="s">
        <v>1490</v>
      </c>
      <c r="E71" s="1196" t="s">
        <v>1491</v>
      </c>
      <c r="F71" s="385">
        <f ca="1">F43</f>
        <v>125.74</v>
      </c>
      <c r="O71" s="1898" t="s">
        <v>1050</v>
      </c>
      <c r="P71" s="1938" t="s">
        <v>1588</v>
      </c>
      <c r="Q71" s="1901">
        <f ca="1">C76</f>
        <v>8.5000000000000006E-2</v>
      </c>
      <c r="R71" s="1890"/>
    </row>
    <row r="72" spans="1:18" s="1846" customFormat="1" ht="13.5" thickBot="1">
      <c r="B72" s="796"/>
      <c r="C72" s="796"/>
      <c r="O72" s="1898" t="s">
        <v>1044</v>
      </c>
      <c r="P72" s="1889" t="s">
        <v>1566</v>
      </c>
      <c r="Q72" s="1901">
        <f>L52</f>
        <v>4.4999999999999998E-2</v>
      </c>
      <c r="R72" s="1890"/>
    </row>
    <row r="73" spans="1:18" ht="16.5" thickBot="1">
      <c r="A73" s="1846"/>
      <c r="B73" s="796"/>
      <c r="C73" s="796"/>
      <c r="D73" s="1846"/>
      <c r="E73" s="1846"/>
      <c r="F73" s="1846"/>
      <c r="O73" s="1898" t="s">
        <v>1045</v>
      </c>
      <c r="P73" s="1889" t="s">
        <v>1569</v>
      </c>
      <c r="Q73" s="1890">
        <f ca="1">L58</f>
        <v>0.91339999999999999</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f ca="1">L59</f>
        <v>1</v>
      </c>
      <c r="R74" s="1890" t="s">
        <v>1571</v>
      </c>
    </row>
    <row r="75" spans="1:18" ht="13.5" thickBot="1">
      <c r="A75" s="1846"/>
      <c r="B75" s="386" t="s">
        <v>1508</v>
      </c>
      <c r="C75" s="387">
        <f ca="1">ROUND(C13*C76,0)</f>
        <v>4</v>
      </c>
      <c r="D75" s="1846"/>
      <c r="E75" s="1846"/>
      <c r="F75" s="1846"/>
      <c r="K75" s="1872"/>
      <c r="L75" s="1846"/>
      <c r="O75" s="1888" t="s">
        <v>1046</v>
      </c>
      <c r="P75" s="1889" t="s">
        <v>1551</v>
      </c>
      <c r="Q75" s="1890">
        <f ca="1">Q65+Q66</f>
        <v>400</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0.77800000000000002</v>
      </c>
    </row>
    <row r="80" spans="1:18">
      <c r="B80" s="386" t="s">
        <v>1513</v>
      </c>
      <c r="C80" s="318">
        <f ca="1">ROUND(C75/C39,3)</f>
        <v>0.222</v>
      </c>
    </row>
    <row r="81" spans="2:3">
      <c r="B81" s="314" t="s">
        <v>1514</v>
      </c>
      <c r="C81" s="282"/>
    </row>
    <row r="82" spans="2:3">
      <c r="B82" s="317" t="s">
        <v>1515</v>
      </c>
      <c r="C82" s="319">
        <f ca="1">1-C83</f>
        <v>0.875</v>
      </c>
    </row>
    <row r="83" spans="2:3">
      <c r="B83" s="317" t="s">
        <v>1516</v>
      </c>
      <c r="C83" s="318">
        <f ca="1">ROUND(C13/C40,3)</f>
        <v>0.125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3206</v>
      </c>
      <c r="D1" s="1824" t="s">
        <v>70</v>
      </c>
      <c r="E1" s="1825" t="s">
        <v>1388</v>
      </c>
      <c r="F1" s="1286">
        <f ca="1">J53</f>
        <v>38</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f ca="1">ROUND(D2/10000,0)</f>
        <v>400</v>
      </c>
      <c r="C2" s="1849" t="s">
        <v>1593</v>
      </c>
      <c r="D2" s="1942">
        <f ca="1">C40+J29+L46</f>
        <v>4001021</v>
      </c>
      <c r="E2" s="1850" t="s">
        <v>1594</v>
      </c>
      <c r="F2" s="1851"/>
      <c r="G2" s="1852"/>
      <c r="H2" s="1844"/>
      <c r="I2" s="1844"/>
      <c r="J2" s="1844"/>
      <c r="K2" s="1845"/>
      <c r="L2" s="1844"/>
      <c r="M2" s="1844"/>
    </row>
    <row r="3" spans="1:37" ht="18" customHeight="1" thickBot="1">
      <c r="A3" s="1853" t="s">
        <v>1595</v>
      </c>
      <c r="B3" s="1854">
        <f ca="1">IF(ISERROR(D2/F43),0,ROUND(D2/F43,0))</f>
        <v>31820</v>
      </c>
      <c r="C3" s="1849" t="s">
        <v>1596</v>
      </c>
      <c r="D3" s="1849"/>
      <c r="E3" s="1850"/>
      <c r="F3" s="1851"/>
      <c r="G3" s="1852"/>
      <c r="H3" s="744" t="s">
        <v>1590</v>
      </c>
      <c r="I3" s="1844"/>
      <c r="J3" s="1844"/>
      <c r="K3" s="1845"/>
      <c r="L3" s="1844"/>
      <c r="M3" s="1844"/>
    </row>
    <row r="4" spans="1:37" ht="18" customHeight="1">
      <c r="A4" s="340" t="s">
        <v>1597</v>
      </c>
      <c r="B4" s="341" t="s">
        <v>1598</v>
      </c>
      <c r="C4" s="341" t="s">
        <v>1599</v>
      </c>
      <c r="D4" s="341" t="s">
        <v>1600</v>
      </c>
      <c r="E4" s="342" t="s">
        <v>1601</v>
      </c>
      <c r="F4" s="343"/>
      <c r="G4" s="1855"/>
      <c r="H4" s="340" t="s">
        <v>1597</v>
      </c>
      <c r="I4" s="341" t="s">
        <v>1598</v>
      </c>
      <c r="J4" s="341" t="s">
        <v>1599</v>
      </c>
      <c r="K4" s="341" t="s">
        <v>1600</v>
      </c>
      <c r="L4" s="342" t="s">
        <v>1601</v>
      </c>
      <c r="M4" s="343"/>
    </row>
    <row r="5" spans="1:37" ht="18" customHeight="1">
      <c r="A5" s="344">
        <v>1</v>
      </c>
      <c r="B5" s="345" t="s">
        <v>1602</v>
      </c>
      <c r="C5" s="1295">
        <f ca="1">C6+C10+C12</f>
        <v>206815</v>
      </c>
      <c r="D5" s="1826" t="s">
        <v>1603</v>
      </c>
      <c r="E5" s="1296"/>
      <c r="F5" s="1297"/>
      <c r="G5" s="1855"/>
      <c r="H5" s="344">
        <v>1</v>
      </c>
      <c r="I5" s="345" t="s">
        <v>1602</v>
      </c>
      <c r="J5" s="1295">
        <f ca="1">J6+J10+J12</f>
        <v>0</v>
      </c>
      <c r="K5" s="1826" t="s">
        <v>1603</v>
      </c>
      <c r="L5" s="1296"/>
      <c r="M5" s="1297"/>
    </row>
    <row r="6" spans="1:37" ht="18" customHeight="1">
      <c r="A6" s="1294" t="s">
        <v>1035</v>
      </c>
      <c r="B6" s="3237" t="s">
        <v>1404</v>
      </c>
      <c r="C6" s="1299">
        <f ca="1">ROUND(F6*F8*F7*(1-F9),0)</f>
        <v>206528</v>
      </c>
      <c r="D6" s="164" t="s">
        <v>3014</v>
      </c>
      <c r="E6" s="347" t="s">
        <v>1406</v>
      </c>
      <c r="F6" s="348">
        <f ca="1">INDIRECT("'数据-取费表'!u"&amp;$G$1)</f>
        <v>5</v>
      </c>
      <c r="G6" s="1855"/>
      <c r="H6" s="1294" t="s">
        <v>1035</v>
      </c>
      <c r="I6" s="3237" t="s">
        <v>1404</v>
      </c>
      <c r="J6" s="346">
        <f ca="1">ROUND(M6*M8*M7*(1-M9),0)</f>
        <v>0</v>
      </c>
      <c r="K6" s="1838" t="s">
        <v>3017</v>
      </c>
      <c r="L6" s="347" t="s">
        <v>1406</v>
      </c>
      <c r="M6" s="348">
        <f ca="1">INDIRECT("'数据-取费表'!z"&amp;$G$1)</f>
        <v>0</v>
      </c>
    </row>
    <row r="7" spans="1:37" ht="18" customHeight="1">
      <c r="A7" s="1298"/>
      <c r="B7" s="3238"/>
      <c r="C7" s="1300"/>
      <c r="D7" s="352"/>
      <c r="E7" s="1301" t="s">
        <v>1407</v>
      </c>
      <c r="F7" s="348">
        <f ca="1">IF(INDIRECT("'数据-取费表'!ah"&amp;$G$1)="",INDIRECT("'数据-取费表'!k"&amp;$G$1),INDIRECT("'数据-取费表'!ah"&amp;$G$1))</f>
        <v>125.74</v>
      </c>
      <c r="G7" s="1855"/>
      <c r="H7" s="349"/>
      <c r="I7" s="3238"/>
      <c r="J7" s="351"/>
      <c r="K7" s="352"/>
      <c r="L7" s="347" t="s">
        <v>1407</v>
      </c>
      <c r="M7" s="348">
        <f ca="1">F7</f>
        <v>125.74</v>
      </c>
    </row>
    <row r="8" spans="1:37" ht="18" customHeight="1">
      <c r="A8" s="349"/>
      <c r="B8" s="3238"/>
      <c r="C8" s="351"/>
      <c r="D8" s="352"/>
      <c r="E8" s="347" t="s">
        <v>1408</v>
      </c>
      <c r="F8" s="348">
        <f ca="1">INDIRECT("'数据-取费表'!ai"&amp;$G$1)</f>
        <v>365</v>
      </c>
      <c r="G8" s="1855"/>
      <c r="H8" s="349"/>
      <c r="I8" s="3238"/>
      <c r="J8" s="351"/>
      <c r="K8" s="352"/>
      <c r="L8" s="347" t="s">
        <v>1408</v>
      </c>
      <c r="M8" s="348">
        <f ca="1">INDIRECT("'数据-取费表'!ai"&amp;$G$1)</f>
        <v>365</v>
      </c>
    </row>
    <row r="9" spans="1:37" ht="18" customHeight="1">
      <c r="A9" s="349"/>
      <c r="B9" s="3239"/>
      <c r="C9" s="351"/>
      <c r="D9" s="352"/>
      <c r="E9" s="347" t="s">
        <v>1409</v>
      </c>
      <c r="F9" s="357">
        <f ca="1">INDIRECT("'数据-取费表'!w"&amp;$G$1)</f>
        <v>0.1</v>
      </c>
      <c r="G9" s="1855"/>
      <c r="H9" s="349"/>
      <c r="I9" s="3239"/>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287</v>
      </c>
      <c r="D10" s="1828" t="s">
        <v>3015</v>
      </c>
      <c r="E10" s="358" t="s">
        <v>1412</v>
      </c>
      <c r="F10" s="1369" t="s">
        <v>3224</v>
      </c>
      <c r="G10" s="1855"/>
      <c r="H10" s="1294" t="s">
        <v>1039</v>
      </c>
      <c r="I10" s="1827" t="s">
        <v>1410</v>
      </c>
      <c r="J10" s="346">
        <f ca="1">ROUND(IF(M10="押一",M6*M8*M7/12*M11,IF(M10="押二",M6*M8*M7/12*2*M11,IF(M10="押三",M6*M8*M7/12*3*M11,J11*M11))),0)</f>
        <v>0</v>
      </c>
      <c r="K10" s="1839" t="s">
        <v>3016</v>
      </c>
      <c r="L10" s="358" t="s">
        <v>1412</v>
      </c>
      <c r="M10" s="1369"/>
    </row>
    <row r="11" spans="1:37" ht="18" customHeight="1">
      <c r="A11" s="353"/>
      <c r="B11" s="1829" t="s">
        <v>1604</v>
      </c>
      <c r="C11" s="1181"/>
      <c r="D11" s="352"/>
      <c r="E11" s="358" t="s">
        <v>1414</v>
      </c>
      <c r="F11" s="359">
        <f ca="1">'数据-取费表'!B39</f>
        <v>1.4999999999999999E-2</v>
      </c>
      <c r="G11" s="1855"/>
      <c r="H11" s="1302"/>
      <c r="I11" s="1829" t="s">
        <v>1605</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483675</v>
      </c>
      <c r="D13" s="1334" t="s">
        <v>1417</v>
      </c>
      <c r="E13" s="1334" t="s">
        <v>1418</v>
      </c>
      <c r="F13" s="1335">
        <f ca="1">INDIRECT("'数据-取费表'!y"&amp;$G$1)</f>
        <v>0.85</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352072</v>
      </c>
      <c r="D14" s="1804" t="s">
        <v>1420</v>
      </c>
      <c r="E14" s="1798"/>
      <c r="F14" s="364"/>
      <c r="G14" s="1855"/>
      <c r="H14" s="1204" t="s">
        <v>1035</v>
      </c>
      <c r="I14" s="347" t="s">
        <v>1421</v>
      </c>
      <c r="J14" s="24">
        <f ca="1">C29</f>
        <v>569029</v>
      </c>
      <c r="K14" s="15"/>
      <c r="L14" s="982"/>
      <c r="M14" s="983"/>
    </row>
    <row r="15" spans="1:37" s="1862" customFormat="1" ht="18" customHeight="1" thickBot="1">
      <c r="A15" s="1204" t="s">
        <v>1036</v>
      </c>
      <c r="B15" s="347" t="s">
        <v>1422</v>
      </c>
      <c r="C15" s="24">
        <f ca="1">ROUND(C14*F15,0)</f>
        <v>17604</v>
      </c>
      <c r="D15" s="365" t="s">
        <v>1423</v>
      </c>
      <c r="E15" s="365" t="s">
        <v>1424</v>
      </c>
      <c r="F15" s="366">
        <f>'数据-取费表'!B33</f>
        <v>0.05</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13315</v>
      </c>
      <c r="K16" s="1340" t="s">
        <v>1427</v>
      </c>
      <c r="L16" s="1341"/>
      <c r="M16" s="1297"/>
    </row>
    <row r="17" spans="1:37" s="1862" customFormat="1" ht="18" customHeight="1">
      <c r="A17" s="1204" t="s">
        <v>1391</v>
      </c>
      <c r="B17" s="347" t="s">
        <v>1428</v>
      </c>
      <c r="C17" s="24">
        <f ca="1">ROUND(F17*(F43+INDIRECT("'数据-取费表'!S"&amp;$G$1)),0)</f>
        <v>25148</v>
      </c>
      <c r="D17" s="347" t="s">
        <v>1429</v>
      </c>
      <c r="E17" s="347" t="s">
        <v>1430</v>
      </c>
      <c r="F17" s="26">
        <f>'数据-取费表'!B35</f>
        <v>200</v>
      </c>
      <c r="G17" s="1858"/>
      <c r="H17" s="1204" t="s">
        <v>1035</v>
      </c>
      <c r="I17" s="347" t="s">
        <v>1431</v>
      </c>
      <c r="J17" s="24">
        <f ca="1">ROUND(IF(项目基本情况!B11="自然人",J5*M17,J18+J19+J20),0)</f>
        <v>4780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5281</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5.5000000000000007E-2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400105</v>
      </c>
      <c r="D19" s="140" t="s">
        <v>1438</v>
      </c>
      <c r="E19" s="1822"/>
      <c r="F19" s="26"/>
      <c r="G19" s="1855"/>
      <c r="H19" s="1204" t="s">
        <v>1036</v>
      </c>
      <c r="I19" s="347" t="s">
        <v>1439</v>
      </c>
      <c r="J19" s="24">
        <f ca="1">IF(K19="按租金收入计税",ROUND(J5*M19,0),ROUND(C29*M19*0.7,0))</f>
        <v>4780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8002</v>
      </c>
      <c r="D20" s="369" t="s">
        <v>1442</v>
      </c>
      <c r="E20" s="347" t="s">
        <v>1424</v>
      </c>
      <c r="F20" s="367">
        <f>'数据-取费表'!B37</f>
        <v>0.02</v>
      </c>
      <c r="G20" s="1858"/>
      <c r="H20" s="1204" t="s">
        <v>1390</v>
      </c>
      <c r="I20" s="164" t="s">
        <v>1443</v>
      </c>
      <c r="J20" s="25">
        <f ca="1">ROUND(M20*M21,0)</f>
        <v>0</v>
      </c>
      <c r="K20" s="370" t="s">
        <v>1444</v>
      </c>
      <c r="L20" s="347" t="s">
        <v>1445</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0.02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复利计息。建造成本、管理费用、销售费用产生的利息。</v>
      </c>
      <c r="E22" s="1822"/>
      <c r="F22" s="26"/>
      <c r="G22" s="1855"/>
      <c r="H22" s="1204" t="s">
        <v>1039</v>
      </c>
      <c r="I22" s="347" t="s">
        <v>1451</v>
      </c>
      <c r="J22" s="24">
        <f ca="1">ROUND(J14*M22,0)</f>
        <v>8535</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14454</v>
      </c>
      <c r="D23" s="375" t="str">
        <f>IF(F23&lt;=1,"(建造成本+管理费用)×利率×(建设周期÷2)","(建造成本+管理费用)×((1+利率)^(建设周期÷2)-1)")</f>
        <v>(建造成本+管理费用)×((1+利率)^(建设周期÷2)-1)</v>
      </c>
      <c r="E23" s="347" t="s">
        <v>1454</v>
      </c>
      <c r="F23" s="371">
        <f>'数据-取费表'!B20</f>
        <v>1.5</v>
      </c>
      <c r="G23" s="1858"/>
      <c r="H23" s="1204" t="s">
        <v>1075</v>
      </c>
      <c r="I23" s="347" t="s">
        <v>1455</v>
      </c>
      <c r="J23" s="24">
        <f ca="1">ROUND(J13*M23,0)</f>
        <v>0</v>
      </c>
      <c r="K23" s="1802" t="s">
        <v>1456</v>
      </c>
      <c r="L23" s="347" t="s">
        <v>1457</v>
      </c>
      <c r="M23" s="376">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6.9999999999999999E-4</v>
      </c>
      <c r="D24" s="375" t="str">
        <f>IF(F23&lt;=1,"销售费用×利率×(建设周期÷2)","销售费用×((1+利率)^(建设周期÷2)-1)")</f>
        <v>销售费用×((1+利率)^(建设周期÷2)-1)</v>
      </c>
      <c r="E24" s="347" t="s">
        <v>1460</v>
      </c>
      <c r="F24" s="377">
        <f ca="1">'数据-取费表'!B40</f>
        <v>4.7500000000000001E-2</v>
      </c>
      <c r="G24" s="1858"/>
      <c r="H24" s="1342" t="s">
        <v>1394</v>
      </c>
      <c r="I24" s="1343" t="s">
        <v>1441</v>
      </c>
      <c r="J24" s="1344">
        <f ca="1">ROUND(J5*M24,0)</f>
        <v>0</v>
      </c>
      <c r="K24" s="1345" t="s">
        <v>1461</v>
      </c>
      <c r="L24" s="1343" t="s">
        <v>1457</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-13315</v>
      </c>
      <c r="K25" s="1348" t="s">
        <v>1466</v>
      </c>
      <c r="L25" s="1349"/>
      <c r="M25" s="1350"/>
    </row>
    <row r="26" spans="1:37" ht="18" customHeight="1">
      <c r="A26" s="1204" t="s">
        <v>1034</v>
      </c>
      <c r="B26" s="347" t="s">
        <v>1467</v>
      </c>
      <c r="C26" s="24">
        <f ca="1">ROUND((C19+C20)*F26,0)</f>
        <v>102027</v>
      </c>
      <c r="D26" s="369" t="s">
        <v>1468</v>
      </c>
      <c r="E26" s="358" t="s">
        <v>1469</v>
      </c>
      <c r="F26" s="357">
        <f ca="1">INDIRECT("'数据-取费表'!q"&amp;$G$1)</f>
        <v>0.25</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4">
        <f ca="1">ROUND(F21*F26,4)</f>
        <v>5.0000000000000001E-3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5.2400000000000002E-2</v>
      </c>
      <c r="D28" s="369" t="s">
        <v>1478</v>
      </c>
      <c r="E28" s="347" t="s">
        <v>1424</v>
      </c>
      <c r="F28" s="367">
        <f>'数据-取费表'!B41</f>
        <v>5.5000000000000007E-2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569029</v>
      </c>
      <c r="D29" s="1345"/>
      <c r="E29" s="1343"/>
      <c r="F29" s="1346"/>
      <c r="G29" s="1858"/>
      <c r="H29" s="380" t="s">
        <v>1033</v>
      </c>
      <c r="I29" s="381" t="s">
        <v>1481</v>
      </c>
      <c r="J29" s="382">
        <f ca="1">ROUND(J26/(1+F40)^F41,0)</f>
        <v>0</v>
      </c>
      <c r="K29" s="383" t="s">
        <v>1482</v>
      </c>
      <c r="L29" s="384"/>
      <c r="M29" s="385">
        <f ca="1">INDIRECT("'数据-取费表'!k"&amp;$G$1)</f>
        <v>125.74</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26942</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15613</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10833</v>
      </c>
      <c r="D32" s="1802" t="s">
        <v>1436</v>
      </c>
      <c r="E32" s="347" t="s">
        <v>1424</v>
      </c>
      <c r="F32" s="377">
        <f>'数据-取费表'!B41</f>
        <v>5.5000000000000007E-2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4780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1.5</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8535</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ROUND(C13*F37,0)</f>
        <v>726</v>
      </c>
      <c r="D37" s="1802" t="s">
        <v>1456</v>
      </c>
      <c r="E37" s="347" t="s">
        <v>1457</v>
      </c>
      <c r="F37" s="376">
        <f ca="1">INDIRECT("'数据-取费表'!Al"&amp;$G$1)</f>
        <v>1.5E-3</v>
      </c>
      <c r="G37" s="1855"/>
      <c r="H37" s="1863"/>
      <c r="I37" s="1864"/>
      <c r="J37" s="1865"/>
      <c r="K37" s="751"/>
      <c r="L37" s="1863"/>
      <c r="M37" s="1863"/>
    </row>
    <row r="38" spans="1:18" ht="18" customHeight="1" thickBot="1">
      <c r="A38" s="1342" t="s">
        <v>1394</v>
      </c>
      <c r="B38" s="1343" t="s">
        <v>1441</v>
      </c>
      <c r="C38" s="1344">
        <f ca="1">ROUND(C5*F38,1)</f>
        <v>2068.1999999999998</v>
      </c>
      <c r="D38" s="1345" t="s">
        <v>1461</v>
      </c>
      <c r="E38" s="1343" t="s">
        <v>1457</v>
      </c>
      <c r="F38" s="1339">
        <f ca="1">INDIRECT("'数据-取费表'!Am"&amp;$G$1)</f>
        <v>0.01</v>
      </c>
      <c r="G38" s="1855"/>
      <c r="H38" s="1863"/>
      <c r="I38" s="1864"/>
      <c r="J38" s="1865"/>
      <c r="K38" s="1869"/>
      <c r="L38" s="1863"/>
      <c r="M38" s="1863"/>
    </row>
    <row r="39" spans="1:18" ht="24.6" customHeight="1" thickTop="1">
      <c r="A39" s="1332" t="s">
        <v>1031</v>
      </c>
      <c r="B39" s="1347" t="s">
        <v>1485</v>
      </c>
      <c r="C39" s="355">
        <f ca="1">C5-C30</f>
        <v>179873</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3992411</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38</v>
      </c>
      <c r="G41" s="1855"/>
      <c r="H41" s="732"/>
      <c r="I41" s="1864"/>
      <c r="J41" s="1865"/>
      <c r="K41" s="751"/>
      <c r="L41" s="732"/>
      <c r="M41" s="732"/>
    </row>
    <row r="42" spans="1:18" ht="18" customHeight="1">
      <c r="A42" s="353"/>
      <c r="B42" s="354"/>
      <c r="C42" s="355"/>
      <c r="D42" s="373"/>
      <c r="E42" s="347" t="s">
        <v>1479</v>
      </c>
      <c r="F42" s="357">
        <f ca="1">INDIRECT("'数据-取费表'!v"&amp;$G$1)</f>
        <v>2.5000000000000001E-2</v>
      </c>
      <c r="G42" s="1855"/>
      <c r="H42" s="732"/>
      <c r="I42" s="1864"/>
      <c r="J42" s="1865"/>
      <c r="K42" s="751"/>
      <c r="L42" s="732"/>
      <c r="M42" s="732"/>
    </row>
    <row r="43" spans="1:18" ht="18" customHeight="1" thickBot="1">
      <c r="A43" s="380" t="s">
        <v>1033</v>
      </c>
      <c r="B43" s="381" t="s">
        <v>1489</v>
      </c>
      <c r="C43" s="382">
        <f ca="1">ROUND(C40/F43,0)</f>
        <v>31751</v>
      </c>
      <c r="D43" s="383" t="s">
        <v>1490</v>
      </c>
      <c r="E43" s="384" t="s">
        <v>1491</v>
      </c>
      <c r="F43" s="385">
        <f ca="1">INDIRECT("'数据-取费表'!k"&amp;$G$1)</f>
        <v>125.74</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f ca="1">C68-C40</f>
        <v>-4304061</v>
      </c>
      <c r="D45" s="1944" t="s">
        <v>1606</v>
      </c>
      <c r="E45" s="1870"/>
      <c r="F45" s="1870"/>
      <c r="O45" s="1873" t="s">
        <v>1521</v>
      </c>
      <c r="P45" s="1843"/>
      <c r="Q45" s="1843"/>
      <c r="R45" s="1843"/>
    </row>
    <row r="46" spans="1:18" s="1846" customFormat="1" ht="13.5" thickBot="1">
      <c r="A46" s="1874" t="s">
        <v>1522</v>
      </c>
      <c r="C46" s="1875">
        <f ca="1">ROUND(C45/10000,0)</f>
        <v>-430</v>
      </c>
      <c r="D46" s="1876" t="str">
        <f>C2</f>
        <v>万元</v>
      </c>
      <c r="I46" s="1877" t="s">
        <v>1523</v>
      </c>
      <c r="J46" s="1878"/>
      <c r="K46" s="1879"/>
      <c r="L46" s="1880">
        <f ca="1">IF(M47="住宅",0,IF(L48&gt;J51,L60,J60))</f>
        <v>8610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t="s">
        <v>3060</v>
      </c>
      <c r="K47" s="1886" t="s">
        <v>1529</v>
      </c>
      <c r="L47" s="1887">
        <f ca="1">INDIRECT("'数据-取费表'!d"&amp;$G$1)</f>
        <v>50</v>
      </c>
      <c r="M47" s="1842" t="str">
        <f>IF(ISNUMBER(FIND("住宅",C1)),"住宅","非住宅")</f>
        <v>非住宅</v>
      </c>
      <c r="O47" s="1888" t="s">
        <v>1040</v>
      </c>
      <c r="P47" s="1889" t="s">
        <v>1530</v>
      </c>
      <c r="Q47" s="1890">
        <f ca="1">C40+J29</f>
        <v>3992411</v>
      </c>
      <c r="R47" s="1890" t="s">
        <v>1531</v>
      </c>
    </row>
    <row r="48" spans="1:18" s="1846" customFormat="1" ht="28.5" thickBot="1">
      <c r="A48" s="1363" t="s">
        <v>1135</v>
      </c>
      <c r="B48" s="345" t="s">
        <v>1402</v>
      </c>
      <c r="C48" s="1821">
        <f ca="1">C49+C53+C55</f>
        <v>0</v>
      </c>
      <c r="D48" s="1365"/>
      <c r="E48" s="1366"/>
      <c r="F48" s="1184"/>
      <c r="G48" s="792"/>
      <c r="H48" s="793"/>
      <c r="I48" s="1891" t="s">
        <v>1532</v>
      </c>
      <c r="J48" s="1892" t="s">
        <v>3076</v>
      </c>
      <c r="K48" s="1893" t="s">
        <v>1533</v>
      </c>
      <c r="L48" s="1894">
        <f ca="1">INDIRECT("'数据-取费表'!f"&amp;$G$1)</f>
        <v>38</v>
      </c>
      <c r="O48" s="1888" t="s">
        <v>1041</v>
      </c>
      <c r="P48" s="1889" t="s">
        <v>1534</v>
      </c>
      <c r="Q48" s="1890">
        <f ca="1">J60</f>
        <v>8610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v>2007</v>
      </c>
      <c r="K49" s="1893" t="s">
        <v>1537</v>
      </c>
      <c r="L49" s="1897"/>
      <c r="O49" s="1898" t="s">
        <v>1042</v>
      </c>
      <c r="P49" s="1889" t="s">
        <v>1538</v>
      </c>
      <c r="Q49" s="1890">
        <f ca="1">C29</f>
        <v>569029</v>
      </c>
      <c r="R49" s="1890" t="s">
        <v>1531</v>
      </c>
    </row>
    <row r="50" spans="1:18" s="1846" customFormat="1" ht="13.5" thickBot="1">
      <c r="A50" s="1198"/>
      <c r="B50" s="1201"/>
      <c r="C50" s="1202"/>
      <c r="D50" s="1175"/>
      <c r="E50" s="1280" t="s">
        <v>1407</v>
      </c>
      <c r="F50" s="1281">
        <f ca="1">F7</f>
        <v>125.74</v>
      </c>
      <c r="H50" s="793"/>
      <c r="I50" s="1891" t="s">
        <v>1539</v>
      </c>
      <c r="J50" s="1899">
        <f>SUMPRODUCT((I63:I65=J47)*(J62:L62=J48)*(J63:L65))</f>
        <v>60</v>
      </c>
      <c r="K50" s="1893" t="s">
        <v>1540</v>
      </c>
      <c r="L50" s="1897"/>
      <c r="M50" s="1900"/>
      <c r="O50" s="1898" t="s">
        <v>1043</v>
      </c>
      <c r="P50" s="1889" t="s">
        <v>1541</v>
      </c>
      <c r="Q50" s="1901">
        <f ca="1">J58</f>
        <v>0.4</v>
      </c>
      <c r="R50" s="1890"/>
    </row>
    <row r="51" spans="1:18" s="1846" customFormat="1" ht="13.5" thickBot="1">
      <c r="A51" s="1199"/>
      <c r="B51" s="1201"/>
      <c r="C51" s="1202"/>
      <c r="D51" s="1175"/>
      <c r="E51" s="1203" t="s">
        <v>1408</v>
      </c>
      <c r="F51" s="348">
        <f ca="1">F8</f>
        <v>365</v>
      </c>
      <c r="I51" s="1902" t="s">
        <v>1542</v>
      </c>
      <c r="J51" s="1903">
        <f>IF(J49="",J50,J49+J50-YEAR('数据-取费表'!B2))</f>
        <v>50</v>
      </c>
      <c r="K51" s="1904" t="s">
        <v>1543</v>
      </c>
      <c r="L51" s="1905">
        <f ca="1">ROUND(-PV(INDIRECT("'数据-取费表'!h"&amp;$G$1),L48,(C39-C13*C76),0),0)</f>
        <v>2340599</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v>0.05</v>
      </c>
      <c r="O52" s="1898" t="s">
        <v>1045</v>
      </c>
      <c r="P52" s="1889" t="s">
        <v>1547</v>
      </c>
      <c r="Q52" s="1890">
        <f ca="1">J53</f>
        <v>38</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f ca="1">IF(M47="住宅",J51,IF(D1="——",MIN(J51,L48),IF(D1="在建（套用方法）",MIN(J51,L48-'数据-取费表'!B24),IF(D1="土地（套用方法）",MIN(J51,L48-'数据-取费表'!B20)))))</f>
        <v>38</v>
      </c>
      <c r="K53" s="3235" t="s">
        <v>1550</v>
      </c>
      <c r="L53" s="3236"/>
      <c r="O53" s="1888" t="s">
        <v>1046</v>
      </c>
      <c r="P53" s="1889" t="s">
        <v>1551</v>
      </c>
      <c r="Q53" s="1890">
        <f ca="1">Q47+Q48</f>
        <v>4001021</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f ca="1">ROUND(IF(J47="钢混",J57/J50,1-(1-2%)*(J50-J57)/J50),3)</f>
        <v>0.2</v>
      </c>
      <c r="K55" s="1916" t="s">
        <v>1554</v>
      </c>
      <c r="L55" s="1917" t="s">
        <v>3223</v>
      </c>
      <c r="O55" s="1881" t="s">
        <v>1524</v>
      </c>
      <c r="P55" s="1882" t="s">
        <v>1525</v>
      </c>
      <c r="Q55" s="1883" t="s">
        <v>1526</v>
      </c>
      <c r="R55" s="1883" t="s">
        <v>1527</v>
      </c>
    </row>
    <row r="56" spans="1:18" s="1846" customFormat="1" ht="36" customHeight="1" thickTop="1" thickBot="1">
      <c r="A56" s="1179">
        <v>2</v>
      </c>
      <c r="B56" s="1180" t="s">
        <v>1416</v>
      </c>
      <c r="C56" s="276">
        <f ca="1">C13</f>
        <v>483675</v>
      </c>
      <c r="D56" s="1918"/>
      <c r="E56" s="1919"/>
      <c r="F56" s="1911"/>
      <c r="I56" s="1920" t="s">
        <v>1556</v>
      </c>
      <c r="J56" s="1921" t="s">
        <v>3037</v>
      </c>
      <c r="K56" s="1891" t="s">
        <v>1557</v>
      </c>
      <c r="L56" s="1894" t="str">
        <f ca="1">IF(L48&lt;J51,"——",L48-J51)</f>
        <v>——</v>
      </c>
      <c r="O56" s="1888" t="s">
        <v>1040</v>
      </c>
      <c r="P56" s="1889" t="s">
        <v>1530</v>
      </c>
      <c r="Q56" s="1890">
        <f ca="1">C40+J29</f>
        <v>3992411</v>
      </c>
      <c r="R56" s="1890" t="s">
        <v>1531</v>
      </c>
    </row>
    <row r="57" spans="1:18" s="1846" customFormat="1" ht="24.75" thickBot="1">
      <c r="A57" s="1922"/>
      <c r="B57" s="1172" t="s">
        <v>1480</v>
      </c>
      <c r="C57" s="282">
        <f ca="1">C29</f>
        <v>569029</v>
      </c>
      <c r="D57" s="1923"/>
      <c r="E57" s="1924"/>
      <c r="F57" s="1925"/>
      <c r="I57" s="1926" t="s">
        <v>1558</v>
      </c>
      <c r="J57" s="1927">
        <f ca="1">IF(OR(M47="住宅",J51&lt;L48,J56="是"),"——",J51-L48)</f>
        <v>12</v>
      </c>
      <c r="K57" s="1891" t="s">
        <v>1607</v>
      </c>
      <c r="L57" s="1894" t="str">
        <f ca="1">IF(L48&lt;J51,"——",IF(L55="比较法",L49,IF(L55="基准地价",L50,L51)))</f>
        <v>——</v>
      </c>
      <c r="O57" s="1888" t="s">
        <v>1041</v>
      </c>
      <c r="P57" s="1889" t="s">
        <v>1608</v>
      </c>
      <c r="Q57" s="1890">
        <f ca="1">L60</f>
        <v>0</v>
      </c>
      <c r="R57" s="1890" t="s">
        <v>1609</v>
      </c>
    </row>
    <row r="58" spans="1:18" s="1846" customFormat="1" ht="24.75" thickBot="1">
      <c r="A58" s="360" t="s">
        <v>1030</v>
      </c>
      <c r="B58" s="1180" t="s">
        <v>1426</v>
      </c>
      <c r="C58" s="361">
        <f ca="1">ROUND(C59+C64+C65+C66,0)</f>
        <v>14041</v>
      </c>
      <c r="D58" s="1182" t="s">
        <v>1427</v>
      </c>
      <c r="E58" s="1183"/>
      <c r="F58" s="1184"/>
      <c r="I58" s="1926" t="s">
        <v>1562</v>
      </c>
      <c r="J58" s="1928">
        <f ca="1">IF(J55&lt;0.4,0.4,J55)</f>
        <v>0.4</v>
      </c>
      <c r="K58" s="1904" t="s">
        <v>1610</v>
      </c>
      <c r="L58" s="1894">
        <f ca="1">ROUND(POWER(1+L52,L47-L48)*(POWER(1+L52,L48)-1)/(POWER(1+L52,L47)-1),4)</f>
        <v>0.92400000000000004</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ROUND(IF(项目基本情况!B11="自然人",C48*F59,C60+C61+C62),0)</f>
        <v>4780</v>
      </c>
      <c r="D59" s="1185" t="s">
        <v>1432</v>
      </c>
      <c r="E59" s="1186" t="s">
        <v>1433</v>
      </c>
      <c r="F59" s="368" t="str">
        <f ca="1">IF(项目基本情况!B11="企业","",IF(INDIRECT("'数据-取费表'!c"&amp;$G$1)="住宅",5%,IF(F49*F50*F51/12/(1+'数据-取费表'!C42)&gt;20000,12%,7%)))</f>
        <v/>
      </c>
      <c r="I59" s="1926" t="s">
        <v>1565</v>
      </c>
      <c r="J59" s="1927">
        <f ca="1">IF(OR(M47="住宅",J51&lt;L48,J56="是"),"——",ROUND(C29*J58,0))</f>
        <v>227612</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1</v>
      </c>
      <c r="M59" s="1843">
        <f ca="1">ROUND(POWER(1+L52,L47-(J51+'数据-取费表'!B24))*(POWER(1+L52,(J51+'数据-取费表'!B24))-1)/(POWER(1+L52,L47)-1),4)</f>
        <v>1</v>
      </c>
      <c r="N59" s="1843">
        <f ca="1">ROUND(POWER(1+L52,L47-(J51+'数据-取费表'!B20))*(POWER(1+L52,(J51+'数据-取费表'!B20))-1)/(POWER(1+L52,L47)-1),4)</f>
        <v>1.0066999999999999</v>
      </c>
      <c r="O59" s="1898" t="s">
        <v>1043</v>
      </c>
      <c r="P59" s="1889" t="s">
        <v>1566</v>
      </c>
      <c r="Q59" s="1901">
        <f>L52</f>
        <v>0.05</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5.5000000000000007E-2</v>
      </c>
      <c r="I60" s="1929" t="s">
        <v>1567</v>
      </c>
      <c r="J60" s="1930">
        <f ca="1">IF(OR(M47="住宅",J51&lt;L48,J56="是"),"0",ROUND(J59/(1+J52)^J53,0))</f>
        <v>8610</v>
      </c>
      <c r="K60" s="1931" t="s">
        <v>1568</v>
      </c>
      <c r="L60" s="1930">
        <f ca="1">IF(OR(M47="住宅",L48&lt;J51),0,ROUND(L57*(L58/L59-1),0))</f>
        <v>0</v>
      </c>
      <c r="O60" s="1898" t="s">
        <v>1044</v>
      </c>
      <c r="P60" s="1889" t="s">
        <v>1569</v>
      </c>
      <c r="Q60" s="1890">
        <f ca="1">L58</f>
        <v>0.92400000000000004</v>
      </c>
      <c r="R60" s="1890" t="s">
        <v>1570</v>
      </c>
    </row>
    <row r="61" spans="1:18" s="1846" customFormat="1" ht="13.5" thickBot="1">
      <c r="A61" s="1204" t="s">
        <v>1494</v>
      </c>
      <c r="B61" s="1172" t="s">
        <v>1495</v>
      </c>
      <c r="C61" s="24">
        <f ca="1">IF(项目基本情况!B11="自然人","——",IF(D61="按租金收入计税",ROUND(C48*F61,0),IF(D61="按房产原值计税",ROUND(C57*F61*0.7,0),INDIRECT("'数据-取费表'!Aj"&amp;$G$1))))</f>
        <v>4780</v>
      </c>
      <c r="D61" s="1832" t="s">
        <v>1440</v>
      </c>
      <c r="E61" s="1172" t="s">
        <v>1496</v>
      </c>
      <c r="F61" s="367">
        <f t="shared" si="0"/>
        <v>1.2E-2</v>
      </c>
      <c r="I61" s="1932"/>
      <c r="J61" s="1932"/>
      <c r="K61" s="1932"/>
      <c r="L61" s="1932"/>
      <c r="O61" s="1898" t="s">
        <v>1045</v>
      </c>
      <c r="P61" s="1889" t="str">
        <f>K59</f>
        <v>建筑物剩余耐用年限下的土地年期修正系数Kn</v>
      </c>
      <c r="Q61" s="1890">
        <f ca="1">L59</f>
        <v>1</v>
      </c>
      <c r="R61" s="1890" t="s">
        <v>1571</v>
      </c>
    </row>
    <row r="62" spans="1:18" s="1846" customFormat="1" ht="13.5" thickBot="1">
      <c r="A62" s="1204" t="s">
        <v>1497</v>
      </c>
      <c r="B62" s="1171" t="s">
        <v>1498</v>
      </c>
      <c r="C62" s="25">
        <f ca="1">IF(项目基本情况!B11="自然人","——",ROUND(F62*F63,0))</f>
        <v>0</v>
      </c>
      <c r="D62" s="1187" t="s">
        <v>1499</v>
      </c>
      <c r="E62" s="1172" t="s">
        <v>1500</v>
      </c>
      <c r="F62" s="371">
        <f t="shared" si="0"/>
        <v>1.5</v>
      </c>
      <c r="I62" s="1933" t="s">
        <v>1572</v>
      </c>
      <c r="J62" s="1934" t="s">
        <v>1573</v>
      </c>
      <c r="K62" s="1934" t="s">
        <v>1574</v>
      </c>
      <c r="L62" s="1934" t="s">
        <v>1575</v>
      </c>
      <c r="M62" s="1935" t="s">
        <v>1576</v>
      </c>
      <c r="O62" s="1888" t="s">
        <v>1046</v>
      </c>
      <c r="P62" s="1889" t="s">
        <v>1577</v>
      </c>
      <c r="Q62" s="1890">
        <f ca="1">Q56+Q57</f>
        <v>3992411</v>
      </c>
      <c r="R62" s="1890" t="s">
        <v>1047</v>
      </c>
    </row>
    <row r="63" spans="1:18" s="1846" customFormat="1" ht="13.5" thickBot="1">
      <c r="A63" s="372"/>
      <c r="B63" s="1178"/>
      <c r="C63" s="29"/>
      <c r="D63" s="1188"/>
      <c r="E63" s="1172" t="s">
        <v>1501</v>
      </c>
      <c r="F63" s="348">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ROUND(C57*F64,0)</f>
        <v>8535</v>
      </c>
      <c r="D64" s="1186" t="s">
        <v>1504</v>
      </c>
      <c r="E64" s="1172" t="s">
        <v>1496</v>
      </c>
      <c r="F64" s="374">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726</v>
      </c>
      <c r="D65" s="1186" t="s">
        <v>1456</v>
      </c>
      <c r="E65" s="1172" t="s">
        <v>1457</v>
      </c>
      <c r="F65" s="376">
        <f t="shared" ca="1" si="0"/>
        <v>1.5E-3</v>
      </c>
      <c r="I65" s="1933" t="s">
        <v>1581</v>
      </c>
      <c r="J65" s="1934">
        <v>40</v>
      </c>
      <c r="K65" s="1934">
        <v>30</v>
      </c>
      <c r="L65" s="1934">
        <v>50</v>
      </c>
      <c r="M65" s="1936">
        <v>0.02</v>
      </c>
      <c r="O65" s="1888" t="s">
        <v>1040</v>
      </c>
      <c r="P65" s="1889" t="s">
        <v>1582</v>
      </c>
      <c r="Q65" s="1890">
        <f ca="1">C40+J29</f>
        <v>3992411</v>
      </c>
      <c r="R65" s="1890" t="s">
        <v>1531</v>
      </c>
    </row>
    <row r="66" spans="1:18" s="1846" customFormat="1" ht="16.5" thickBot="1">
      <c r="A66" s="1204" t="s">
        <v>1506</v>
      </c>
      <c r="B66" s="1172" t="s">
        <v>1441</v>
      </c>
      <c r="C66" s="24">
        <f ca="1">ROUND(C48*F66,0)</f>
        <v>0</v>
      </c>
      <c r="D66" s="1186" t="s">
        <v>1507</v>
      </c>
      <c r="E66" s="1172" t="s">
        <v>1424</v>
      </c>
      <c r="F66" s="357">
        <f t="shared" ca="1" si="0"/>
        <v>0.01</v>
      </c>
      <c r="O66" s="1888" t="s">
        <v>1041</v>
      </c>
      <c r="P66" s="1889" t="s">
        <v>1560</v>
      </c>
      <c r="Q66" s="1890">
        <f ca="1">L60</f>
        <v>0</v>
      </c>
      <c r="R66" s="1890" t="s">
        <v>1583</v>
      </c>
    </row>
    <row r="67" spans="1:18" s="1846" customFormat="1" ht="16.5" thickBot="1">
      <c r="A67" s="1179" t="s">
        <v>1031</v>
      </c>
      <c r="B67" s="1189" t="s">
        <v>1465</v>
      </c>
      <c r="C67" s="361">
        <f ca="1">C48-C58</f>
        <v>-14041</v>
      </c>
      <c r="D67" s="1185" t="s">
        <v>1466</v>
      </c>
      <c r="E67" s="1190"/>
      <c r="F67" s="1191"/>
      <c r="O67" s="1898" t="s">
        <v>1042</v>
      </c>
      <c r="P67" s="1889" t="s">
        <v>1564</v>
      </c>
      <c r="Q67" s="1937">
        <f ca="1">L51</f>
        <v>2340599</v>
      </c>
      <c r="R67" s="1890" t="s">
        <v>1584</v>
      </c>
    </row>
    <row r="68" spans="1:18" s="1846" customFormat="1" ht="16.5" thickBot="1">
      <c r="A68" s="1169" t="s">
        <v>1032</v>
      </c>
      <c r="B68" s="1170" t="s">
        <v>1487</v>
      </c>
      <c r="C68" s="346">
        <f ca="1">ROUND(C67*(1-((1+F70)/(1+F68))^F69)/(F68-F70),0)</f>
        <v>-311650</v>
      </c>
      <c r="D68" s="1187" t="s">
        <v>1471</v>
      </c>
      <c r="E68" s="1172" t="s">
        <v>1472</v>
      </c>
      <c r="F68" s="357">
        <f ca="1">F40</f>
        <v>5.5E-2</v>
      </c>
      <c r="O68" s="1898" t="s">
        <v>1043</v>
      </c>
      <c r="P68" s="1938" t="s">
        <v>1585</v>
      </c>
      <c r="Q68" s="1890">
        <f ca="1">ROUND(Q69-Q70*Q71,0)</f>
        <v>138761</v>
      </c>
      <c r="R68" s="1890" t="s">
        <v>1051</v>
      </c>
    </row>
    <row r="69" spans="1:18" s="1846" customFormat="1" ht="13.5" thickBot="1">
      <c r="A69" s="1173"/>
      <c r="B69" s="1174"/>
      <c r="C69" s="351"/>
      <c r="D69" s="1192" t="s">
        <v>1475</v>
      </c>
      <c r="E69" s="1172" t="s">
        <v>1476</v>
      </c>
      <c r="F69" s="379">
        <f ca="1">F41</f>
        <v>38</v>
      </c>
      <c r="O69" s="1898" t="s">
        <v>1048</v>
      </c>
      <c r="P69" s="1938" t="s">
        <v>1586</v>
      </c>
      <c r="Q69" s="1890">
        <f ca="1">C39</f>
        <v>179873</v>
      </c>
      <c r="R69" s="1890" t="s">
        <v>1531</v>
      </c>
    </row>
    <row r="70" spans="1:18" s="1846" customFormat="1" ht="13.5" thickBot="1">
      <c r="A70" s="1176"/>
      <c r="B70" s="1177"/>
      <c r="C70" s="355"/>
      <c r="D70" s="1188"/>
      <c r="E70" s="1172" t="s">
        <v>1479</v>
      </c>
      <c r="F70" s="1278">
        <f ca="1">F42</f>
        <v>2.5000000000000001E-2</v>
      </c>
      <c r="O70" s="1898" t="s">
        <v>1049</v>
      </c>
      <c r="P70" s="1938" t="s">
        <v>1587</v>
      </c>
      <c r="Q70" s="1890">
        <f ca="1">C13</f>
        <v>483675</v>
      </c>
      <c r="R70" s="1890" t="s">
        <v>1531</v>
      </c>
    </row>
    <row r="71" spans="1:18" s="1846" customFormat="1" ht="13.5" thickBot="1">
      <c r="A71" s="1193" t="s">
        <v>1033</v>
      </c>
      <c r="B71" s="1194" t="s">
        <v>1489</v>
      </c>
      <c r="C71" s="382">
        <f ca="1">ROUND(C68/F71,0)</f>
        <v>-2479</v>
      </c>
      <c r="D71" s="1195" t="s">
        <v>1490</v>
      </c>
      <c r="E71" s="1196" t="s">
        <v>1491</v>
      </c>
      <c r="F71" s="385">
        <f ca="1">F43</f>
        <v>125.74</v>
      </c>
      <c r="O71" s="1898" t="s">
        <v>1050</v>
      </c>
      <c r="P71" s="1938" t="s">
        <v>1588</v>
      </c>
      <c r="Q71" s="1901">
        <f ca="1">C76</f>
        <v>8.5000000000000006E-2</v>
      </c>
      <c r="R71" s="1890"/>
    </row>
    <row r="72" spans="1:18" s="1846" customFormat="1" ht="13.5" thickBot="1">
      <c r="B72" s="796"/>
      <c r="C72" s="796"/>
      <c r="O72" s="1898" t="s">
        <v>1044</v>
      </c>
      <c r="P72" s="1889" t="s">
        <v>1566</v>
      </c>
      <c r="Q72" s="1901">
        <f>L52</f>
        <v>0.05</v>
      </c>
      <c r="R72" s="1890"/>
    </row>
    <row r="73" spans="1:18" ht="16.5" thickBot="1">
      <c r="A73" s="1846"/>
      <c r="B73" s="796"/>
      <c r="C73" s="796"/>
      <c r="D73" s="1846"/>
      <c r="E73" s="1846"/>
      <c r="F73" s="1846"/>
      <c r="O73" s="1898" t="s">
        <v>1045</v>
      </c>
      <c r="P73" s="1889" t="s">
        <v>1569</v>
      </c>
      <c r="Q73" s="1890">
        <f ca="1">L58</f>
        <v>0.92400000000000004</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f ca="1">L59</f>
        <v>1</v>
      </c>
      <c r="R74" s="1890" t="s">
        <v>1571</v>
      </c>
    </row>
    <row r="75" spans="1:18" ht="13.5" thickBot="1">
      <c r="A75" s="1846"/>
      <c r="B75" s="386" t="s">
        <v>1508</v>
      </c>
      <c r="C75" s="387">
        <f ca="1">ROUND(C13*C76,0)</f>
        <v>41112</v>
      </c>
      <c r="D75" s="1846"/>
      <c r="E75" s="1846"/>
      <c r="F75" s="1846"/>
      <c r="K75" s="1872"/>
      <c r="L75" s="1846"/>
      <c r="O75" s="1888" t="s">
        <v>1046</v>
      </c>
      <c r="P75" s="1889" t="s">
        <v>1551</v>
      </c>
      <c r="Q75" s="1890">
        <f ca="1">Q65+Q66</f>
        <v>3992411</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0.77100000000000002</v>
      </c>
    </row>
    <row r="80" spans="1:18">
      <c r="B80" s="386" t="s">
        <v>1513</v>
      </c>
      <c r="C80" s="318">
        <f ca="1">ROUND(C75/C39,3)</f>
        <v>0.22900000000000001</v>
      </c>
    </row>
    <row r="81" spans="2:3">
      <c r="B81" s="314" t="s">
        <v>1514</v>
      </c>
      <c r="C81" s="282"/>
    </row>
    <row r="82" spans="2:3">
      <c r="B82" s="317" t="s">
        <v>1515</v>
      </c>
      <c r="C82" s="319">
        <f ca="1">1-C83</f>
        <v>0.879</v>
      </c>
    </row>
    <row r="83" spans="2:3">
      <c r="B83" s="317" t="s">
        <v>1516</v>
      </c>
      <c r="C83" s="318">
        <f ca="1">ROUND(C13/C40,3)</f>
        <v>0.121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6" t="s">
        <v>2518</v>
      </c>
      <c r="B1" s="2567"/>
      <c r="C1" s="2567"/>
      <c r="D1" s="2567"/>
      <c r="E1" s="2568"/>
    </row>
    <row r="2" spans="1:6" ht="15.75">
      <c r="A2" s="2569" t="s">
        <v>2319</v>
      </c>
      <c r="B2" s="2570">
        <f ca="1">SUMIF(B6:B13,"&lt;&gt;#ref!",B6:B13)</f>
        <v>400</v>
      </c>
      <c r="C2" s="2571" t="s">
        <v>2511</v>
      </c>
      <c r="D2" s="2572" t="s">
        <v>2512</v>
      </c>
      <c r="E2" s="2573">
        <f>SUM(E6:E13)</f>
        <v>125.74</v>
      </c>
    </row>
    <row r="3" spans="1:6" ht="15.75">
      <c r="A3" s="2569" t="s">
        <v>1396</v>
      </c>
      <c r="B3" s="2570">
        <f ca="1">ROUND(B2*10000/E2,0)</f>
        <v>31812</v>
      </c>
      <c r="C3" s="2571" t="s">
        <v>2519</v>
      </c>
      <c r="D3" s="2574"/>
      <c r="E3" s="2575"/>
    </row>
    <row r="4" spans="1:6" ht="15.75">
      <c r="A4" s="2576"/>
      <c r="B4" s="2574"/>
      <c r="C4" s="2574"/>
      <c r="D4" s="2574"/>
      <c r="E4" s="2575"/>
    </row>
    <row r="5" spans="1:6" ht="15">
      <c r="A5" s="2577" t="s">
        <v>2513</v>
      </c>
      <c r="B5" s="3240" t="s">
        <v>2514</v>
      </c>
      <c r="C5" s="3240"/>
      <c r="D5" s="2578"/>
      <c r="E5" s="2579" t="s">
        <v>2515</v>
      </c>
      <c r="F5" s="2580" t="s">
        <v>2516</v>
      </c>
    </row>
    <row r="6" spans="1:6">
      <c r="A6" s="2581" t="str">
        <f>'数据-取费表'!AN6</f>
        <v>收益法 (元)</v>
      </c>
      <c r="B6" s="2580">
        <f ca="1">IF(F6="是",'数据-取费表'!AO6,0)</f>
        <v>400</v>
      </c>
      <c r="C6" s="2571" t="s">
        <v>2511</v>
      </c>
      <c r="D6" s="2574"/>
      <c r="E6" s="2582">
        <f>IF(OR(A6=0,F6="否"),0,'数据-取费表'!K6+'数据-取费表'!S6)</f>
        <v>125.74</v>
      </c>
      <c r="F6" s="2583" t="s">
        <v>2517</v>
      </c>
    </row>
    <row r="7" spans="1:6">
      <c r="A7" s="2581">
        <f>'数据-取费表'!AN7</f>
        <v>0</v>
      </c>
      <c r="B7" s="2580" t="e">
        <f ca="1">IF(F7="是",'数据-取费表'!AO7,0)</f>
        <v>#REF!</v>
      </c>
      <c r="C7" s="2571" t="s">
        <v>2511</v>
      </c>
      <c r="D7" s="2574"/>
      <c r="E7" s="2582">
        <f>IF(OR(A7=0,F7="否"),0,'数据-取费表'!K7+'数据-取费表'!S7)</f>
        <v>0</v>
      </c>
      <c r="F7" s="2583" t="s">
        <v>2517</v>
      </c>
    </row>
    <row r="8" spans="1:6">
      <c r="A8" s="2581">
        <f>'数据-取费表'!AN8</f>
        <v>0</v>
      </c>
      <c r="B8" s="2580" t="e">
        <f ca="1">IF(F8="是",'数据-取费表'!AO8,0)</f>
        <v>#REF!</v>
      </c>
      <c r="C8" s="2571" t="s">
        <v>2511</v>
      </c>
      <c r="D8" s="2574"/>
      <c r="E8" s="2582">
        <f>IF(OR(A8=0,F8="否"),0,'数据-取费表'!K8+'数据-取费表'!S8)</f>
        <v>0</v>
      </c>
      <c r="F8" s="2583" t="s">
        <v>2517</v>
      </c>
    </row>
    <row r="9" spans="1:6">
      <c r="A9" s="2581">
        <f>'数据-取费表'!AN9</f>
        <v>0</v>
      </c>
      <c r="B9" s="2580" t="e">
        <f ca="1">IF(F9="是",'数据-取费表'!AO9,0)</f>
        <v>#REF!</v>
      </c>
      <c r="C9" s="2571" t="s">
        <v>2511</v>
      </c>
      <c r="D9" s="2574"/>
      <c r="E9" s="2582">
        <f>IF(OR(A9=0,F9="否"),0,'数据-取费表'!K9+'数据-取费表'!S9)</f>
        <v>0</v>
      </c>
      <c r="F9" s="2583" t="s">
        <v>2517</v>
      </c>
    </row>
    <row r="10" spans="1:6">
      <c r="A10" s="2581">
        <f>'数据-取费表'!AN10</f>
        <v>0</v>
      </c>
      <c r="B10" s="2580" t="e">
        <f ca="1">IF(F10="是",'数据-取费表'!AO10,0)</f>
        <v>#REF!</v>
      </c>
      <c r="C10" s="2571" t="s">
        <v>2511</v>
      </c>
      <c r="D10" s="2574"/>
      <c r="E10" s="2582">
        <f>IF(OR(A10=0,F10="否"),0,'数据-取费表'!K10+'数据-取费表'!S10)</f>
        <v>0</v>
      </c>
      <c r="F10" s="2583" t="s">
        <v>2517</v>
      </c>
    </row>
    <row r="11" spans="1:6">
      <c r="A11" s="2581">
        <f>'数据-取费表'!AN11</f>
        <v>0</v>
      </c>
      <c r="B11" s="2580" t="e">
        <f ca="1">IF(F11="是",'数据-取费表'!AO11,0)</f>
        <v>#REF!</v>
      </c>
      <c r="C11" s="2571" t="s">
        <v>2511</v>
      </c>
      <c r="D11" s="2574"/>
      <c r="E11" s="2582">
        <f>IF(OR(A11=0,F11="否"),0,'数据-取费表'!K11+'数据-取费表'!S11)</f>
        <v>0</v>
      </c>
      <c r="F11" s="2583" t="s">
        <v>2517</v>
      </c>
    </row>
    <row r="12" spans="1:6">
      <c r="A12" s="2581">
        <f>'数据-取费表'!AN12</f>
        <v>0</v>
      </c>
      <c r="B12" s="2580" t="e">
        <f ca="1">IF(F12="是",'数据-取费表'!AO12,0)</f>
        <v>#REF!</v>
      </c>
      <c r="C12" s="2571" t="s">
        <v>2511</v>
      </c>
      <c r="D12" s="2574"/>
      <c r="E12" s="2582">
        <f>IF(OR(A12=0,F12="否"),0,'数据-取费表'!K12+'数据-取费表'!S12)</f>
        <v>0</v>
      </c>
      <c r="F12" s="2583" t="s">
        <v>2517</v>
      </c>
    </row>
    <row r="13" spans="1:6" ht="15" thickBot="1">
      <c r="A13" s="2584">
        <f>'数据-取费表'!AN13</f>
        <v>0</v>
      </c>
      <c r="B13" s="2580" t="e">
        <f ca="1">IF(F13="是",'数据-取费表'!AO13,0)</f>
        <v>#REF!</v>
      </c>
      <c r="C13" s="2585" t="s">
        <v>2511</v>
      </c>
      <c r="D13" s="2586"/>
      <c r="E13" s="2582">
        <f>IF(OR(A13=0,F13="否"),0,'数据-取费表'!K13+'数据-取费表'!S13)</f>
        <v>0</v>
      </c>
      <c r="F13" s="2583"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1" t="s">
        <v>1076</v>
      </c>
      <c r="B1" s="3242"/>
      <c r="C1" s="3243"/>
      <c r="D1" s="3244">
        <f>SUM(I10,I15,I20,I21,I23)</f>
        <v>0</v>
      </c>
      <c r="E1" s="3244"/>
      <c r="F1" s="3244"/>
      <c r="G1" s="3244"/>
      <c r="H1" s="3244"/>
      <c r="I1" s="3245"/>
    </row>
    <row r="2" spans="1:9">
      <c r="A2" s="3246" t="s">
        <v>1077</v>
      </c>
      <c r="B2" s="3247" t="s">
        <v>1078</v>
      </c>
      <c r="C2" s="3247"/>
      <c r="D2" s="1304" t="s">
        <v>1079</v>
      </c>
      <c r="E2" s="1304" t="s">
        <v>1080</v>
      </c>
      <c r="F2" s="1304" t="s">
        <v>1081</v>
      </c>
      <c r="G2" s="1304" t="s">
        <v>1082</v>
      </c>
      <c r="H2" s="1304" t="s">
        <v>1083</v>
      </c>
      <c r="I2" s="1305" t="s">
        <v>1084</v>
      </c>
    </row>
    <row r="3" spans="1:9">
      <c r="A3" s="3246"/>
      <c r="B3" s="3247" t="s">
        <v>1085</v>
      </c>
      <c r="C3" s="3247"/>
      <c r="D3" s="1306"/>
      <c r="E3" s="1304"/>
      <c r="F3" s="1307"/>
      <c r="G3" s="1307"/>
      <c r="H3" s="1308"/>
      <c r="I3" s="1309">
        <f>ROUND(D3*E3*F3*G3*H3/10000,0)</f>
        <v>0</v>
      </c>
    </row>
    <row r="4" spans="1:9">
      <c r="A4" s="3246"/>
      <c r="B4" s="3247" t="s">
        <v>1086</v>
      </c>
      <c r="C4" s="3247"/>
      <c r="D4" s="1306"/>
      <c r="E4" s="1304"/>
      <c r="F4" s="1307"/>
      <c r="G4" s="1307"/>
      <c r="H4" s="1308"/>
      <c r="I4" s="1309">
        <f t="shared" ref="I4:I9" si="0">ROUND(D4*E4*F4*G4*H4/10000,0)</f>
        <v>0</v>
      </c>
    </row>
    <row r="5" spans="1:9">
      <c r="A5" s="3246"/>
      <c r="B5" s="3247" t="s">
        <v>1087</v>
      </c>
      <c r="C5" s="3247"/>
      <c r="D5" s="1306"/>
      <c r="E5" s="1304"/>
      <c r="F5" s="1307"/>
      <c r="G5" s="1307"/>
      <c r="H5" s="1308"/>
      <c r="I5" s="1309">
        <f t="shared" si="0"/>
        <v>0</v>
      </c>
    </row>
    <row r="6" spans="1:9">
      <c r="A6" s="3246"/>
      <c r="B6" s="3247" t="s">
        <v>1088</v>
      </c>
      <c r="C6" s="3247"/>
      <c r="D6" s="1306"/>
      <c r="E6" s="1304"/>
      <c r="F6" s="1307"/>
      <c r="G6" s="1307"/>
      <c r="H6" s="1308"/>
      <c r="I6" s="1309">
        <f t="shared" si="0"/>
        <v>0</v>
      </c>
    </row>
    <row r="7" spans="1:9">
      <c r="A7" s="3246"/>
      <c r="B7" s="3247" t="s">
        <v>1089</v>
      </c>
      <c r="C7" s="3247"/>
      <c r="D7" s="1306"/>
      <c r="E7" s="1304"/>
      <c r="F7" s="1307"/>
      <c r="G7" s="1307"/>
      <c r="H7" s="1308"/>
      <c r="I7" s="1309">
        <f t="shared" si="0"/>
        <v>0</v>
      </c>
    </row>
    <row r="8" spans="1:9">
      <c r="A8" s="3246"/>
      <c r="B8" s="3247" t="s">
        <v>1090</v>
      </c>
      <c r="C8" s="3247"/>
      <c r="D8" s="1306"/>
      <c r="E8" s="1304"/>
      <c r="F8" s="1307"/>
      <c r="G8" s="1307"/>
      <c r="H8" s="1308"/>
      <c r="I8" s="1309">
        <f t="shared" si="0"/>
        <v>0</v>
      </c>
    </row>
    <row r="9" spans="1:9">
      <c r="A9" s="3246"/>
      <c r="B9" s="3247" t="s">
        <v>1091</v>
      </c>
      <c r="C9" s="3247"/>
      <c r="D9" s="1306"/>
      <c r="E9" s="1304"/>
      <c r="F9" s="1307"/>
      <c r="G9" s="1307"/>
      <c r="H9" s="1308"/>
      <c r="I9" s="1309">
        <f t="shared" si="0"/>
        <v>0</v>
      </c>
    </row>
    <row r="10" spans="1:9">
      <c r="A10" s="3246"/>
      <c r="B10" s="3248" t="s">
        <v>1092</v>
      </c>
      <c r="C10" s="3248"/>
      <c r="D10" s="1310"/>
      <c r="E10" s="1310" t="e">
        <f>ROUND(D1*10000/D10/H9,0)</f>
        <v>#DIV/0!</v>
      </c>
      <c r="F10" s="1311"/>
      <c r="G10" s="1311"/>
      <c r="H10" s="1312"/>
      <c r="I10" s="1313">
        <f>SUM(I3:I9)</f>
        <v>0</v>
      </c>
    </row>
    <row r="11" spans="1:9" ht="14.25">
      <c r="A11" s="3246" t="s">
        <v>1093</v>
      </c>
      <c r="B11" s="3247" t="s">
        <v>1094</v>
      </c>
      <c r="C11" s="3247"/>
      <c r="D11" s="1306" t="s">
        <v>1095</v>
      </c>
      <c r="E11" s="1306" t="s">
        <v>1096</v>
      </c>
      <c r="F11" s="1307" t="s">
        <v>1097</v>
      </c>
      <c r="G11" s="1307" t="s">
        <v>1083</v>
      </c>
      <c r="H11" s="1314" t="s">
        <v>1098</v>
      </c>
      <c r="I11" s="1305" t="s">
        <v>1084</v>
      </c>
    </row>
    <row r="12" spans="1:9">
      <c r="A12" s="3246"/>
      <c r="B12" s="3247" t="s">
        <v>1099</v>
      </c>
      <c r="C12" s="3247"/>
      <c r="D12" s="1306"/>
      <c r="E12" s="1306"/>
      <c r="F12" s="1307"/>
      <c r="G12" s="1308"/>
      <c r="H12" s="1315"/>
      <c r="I12" s="1305">
        <f>ROUND(D12*E12*F12*G12/10000,0)</f>
        <v>0</v>
      </c>
    </row>
    <row r="13" spans="1:9">
      <c r="A13" s="3246"/>
      <c r="B13" s="3247" t="s">
        <v>1100</v>
      </c>
      <c r="C13" s="3247"/>
      <c r="D13" s="1306"/>
      <c r="E13" s="1306"/>
      <c r="F13" s="1307"/>
      <c r="G13" s="1308"/>
      <c r="H13" s="1315"/>
      <c r="I13" s="1305">
        <f>ROUND(D13*E13*F13*G13/10000,0)</f>
        <v>0</v>
      </c>
    </row>
    <row r="14" spans="1:9">
      <c r="A14" s="3246"/>
      <c r="B14" s="3247" t="s">
        <v>1101</v>
      </c>
      <c r="C14" s="3247"/>
      <c r="D14" s="1306"/>
      <c r="E14" s="1306"/>
      <c r="F14" s="1307"/>
      <c r="G14" s="1308"/>
      <c r="H14" s="1315"/>
      <c r="I14" s="1305">
        <f>ROUND(D14*E14*F14*G14/10000,0)</f>
        <v>0</v>
      </c>
    </row>
    <row r="15" spans="1:9">
      <c r="A15" s="3246"/>
      <c r="B15" s="3248" t="s">
        <v>1092</v>
      </c>
      <c r="C15" s="3248"/>
      <c r="D15" s="1310"/>
      <c r="E15" s="1310">
        <f>SUM(E12:E14)</f>
        <v>0</v>
      </c>
      <c r="F15" s="1311"/>
      <c r="G15" s="1308"/>
      <c r="H15" s="1315"/>
      <c r="I15" s="1316">
        <f>SUM(I12:I14)</f>
        <v>0</v>
      </c>
    </row>
    <row r="16" spans="1:9" ht="24">
      <c r="A16" s="3246" t="s">
        <v>1102</v>
      </c>
      <c r="B16" s="3247" t="s">
        <v>1103</v>
      </c>
      <c r="C16" s="3247"/>
      <c r="D16" s="1306" t="s">
        <v>1079</v>
      </c>
      <c r="E16" s="1317" t="s">
        <v>1104</v>
      </c>
      <c r="F16" s="1307" t="s">
        <v>1105</v>
      </c>
      <c r="G16" s="1308" t="s">
        <v>1083</v>
      </c>
      <c r="H16" s="1314" t="s">
        <v>1098</v>
      </c>
      <c r="I16" s="1305" t="s">
        <v>1084</v>
      </c>
    </row>
    <row r="17" spans="1:9" ht="14.25">
      <c r="A17" s="3246"/>
      <c r="B17" s="3247" t="s">
        <v>1106</v>
      </c>
      <c r="C17" s="3247"/>
      <c r="D17" s="1306"/>
      <c r="E17" s="1306"/>
      <c r="F17" s="1307"/>
      <c r="G17" s="1308"/>
      <c r="H17" s="1318"/>
      <c r="I17" s="1319">
        <f>ROUND(D17*E17*F17*G17/10000,0)</f>
        <v>0</v>
      </c>
    </row>
    <row r="18" spans="1:9" ht="14.25">
      <c r="A18" s="3246"/>
      <c r="B18" s="3247" t="s">
        <v>1107</v>
      </c>
      <c r="C18" s="3247"/>
      <c r="D18" s="1306"/>
      <c r="E18" s="1306"/>
      <c r="F18" s="1307"/>
      <c r="G18" s="1308"/>
      <c r="H18" s="1318"/>
      <c r="I18" s="1319">
        <f>ROUND(D18*E18*F18*G18/10000,0)</f>
        <v>0</v>
      </c>
    </row>
    <row r="19" spans="1:9" ht="14.25">
      <c r="A19" s="3246"/>
      <c r="B19" s="3247" t="s">
        <v>1108</v>
      </c>
      <c r="C19" s="3247"/>
      <c r="D19" s="1306"/>
      <c r="E19" s="1306"/>
      <c r="F19" s="1307"/>
      <c r="G19" s="1308"/>
      <c r="H19" s="1318"/>
      <c r="I19" s="1319">
        <f>ROUND(D19*E19*F19*G19/10000,0)</f>
        <v>0</v>
      </c>
    </row>
    <row r="20" spans="1:9">
      <c r="A20" s="3246"/>
      <c r="B20" s="3248" t="s">
        <v>1092</v>
      </c>
      <c r="C20" s="3248"/>
      <c r="D20" s="1310">
        <f>SUM(D17:D19)</f>
        <v>0</v>
      </c>
      <c r="E20" s="1310"/>
      <c r="F20" s="1311"/>
      <c r="G20" s="1308"/>
      <c r="H20" s="1315"/>
      <c r="I20" s="1316">
        <f>SUM(I17:I19)</f>
        <v>0</v>
      </c>
    </row>
    <row r="21" spans="1:9">
      <c r="A21" s="3246" t="s">
        <v>1109</v>
      </c>
      <c r="B21" s="3250"/>
      <c r="C21" s="3250"/>
      <c r="D21" s="3250"/>
      <c r="E21" s="3250"/>
      <c r="F21" s="3250"/>
      <c r="G21" s="3250"/>
      <c r="H21" s="1769">
        <v>0.1</v>
      </c>
      <c r="I21" s="1313">
        <f>ROUND(I10*H21,0)</f>
        <v>0</v>
      </c>
    </row>
    <row r="22" spans="1:9" ht="14.25">
      <c r="A22" s="3251" t="s">
        <v>1110</v>
      </c>
      <c r="B22" s="3252"/>
      <c r="C22" s="3253"/>
      <c r="D22" s="1320" t="s">
        <v>1111</v>
      </c>
      <c r="E22" s="1320" t="s">
        <v>1112</v>
      </c>
      <c r="F22" s="1321" t="s">
        <v>1113</v>
      </c>
      <c r="G22" s="1321" t="s">
        <v>1114</v>
      </c>
      <c r="H22" s="1314" t="s">
        <v>1115</v>
      </c>
      <c r="I22" s="1305" t="s">
        <v>1116</v>
      </c>
    </row>
    <row r="23" spans="1:9" ht="14.25" thickBot="1">
      <c r="A23" s="3254"/>
      <c r="B23" s="3255"/>
      <c r="C23" s="3256"/>
      <c r="D23" s="1322"/>
      <c r="E23" s="1322"/>
      <c r="F23" s="1322"/>
      <c r="G23" s="1323"/>
      <c r="H23" s="1324"/>
      <c r="I23" s="1325">
        <f>ROUND(E23*D23*F23*(1-G23)/10000,0)</f>
        <v>0</v>
      </c>
    </row>
    <row r="26" spans="1:9">
      <c r="A26" s="1326" t="s">
        <v>1117</v>
      </c>
      <c r="B26" s="1326"/>
      <c r="C26" s="1326"/>
      <c r="D26" s="1326"/>
      <c r="E26" s="3257">
        <f>C27-C30-C31-C32</f>
        <v>0</v>
      </c>
      <c r="F26" s="3257"/>
      <c r="G26" s="3257"/>
      <c r="H26" s="1741" t="s">
        <v>1341</v>
      </c>
    </row>
    <row r="27" spans="1:9">
      <c r="A27" s="1327">
        <v>1</v>
      </c>
      <c r="B27" s="1328" t="s">
        <v>1118</v>
      </c>
      <c r="C27" s="1328">
        <f>C28+C29</f>
        <v>0</v>
      </c>
      <c r="D27" s="1328"/>
      <c r="E27" s="3258"/>
      <c r="F27" s="3258"/>
      <c r="G27" s="3258"/>
    </row>
    <row r="28" spans="1:9">
      <c r="A28" s="1329" t="s">
        <v>1119</v>
      </c>
      <c r="B28" s="1328" t="s">
        <v>1120</v>
      </c>
      <c r="C28" s="1328"/>
      <c r="D28" s="1328"/>
      <c r="E28" s="3258"/>
      <c r="F28" s="3258"/>
      <c r="G28" s="325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9"/>
      <c r="F32" s="3249"/>
      <c r="G32" s="3249"/>
    </row>
    <row r="33" spans="1:7" hidden="1">
      <c r="A33" s="3259" t="s">
        <v>1129</v>
      </c>
      <c r="B33" s="3260"/>
      <c r="C33" s="3260"/>
      <c r="D33" s="3261"/>
      <c r="E33" s="3257"/>
      <c r="F33" s="3257"/>
      <c r="G33" s="3257"/>
    </row>
    <row r="34" spans="1:7" hidden="1">
      <c r="A34" s="1331">
        <v>1</v>
      </c>
      <c r="B34" s="1328" t="s">
        <v>1130</v>
      </c>
      <c r="C34" s="1328"/>
      <c r="D34" s="1328"/>
      <c r="E34" s="3258"/>
      <c r="F34" s="3258"/>
      <c r="G34" s="3258"/>
    </row>
    <row r="35" spans="1:7" hidden="1">
      <c r="A35" s="1331">
        <v>2</v>
      </c>
      <c r="B35" s="1328" t="s">
        <v>1131</v>
      </c>
      <c r="C35" s="1328"/>
      <c r="D35" s="1328"/>
      <c r="E35" s="3258"/>
      <c r="F35" s="3258"/>
      <c r="G35" s="3258"/>
    </row>
    <row r="36" spans="1:7" hidden="1">
      <c r="A36" s="1331">
        <v>3</v>
      </c>
      <c r="B36" s="1328" t="s">
        <v>1132</v>
      </c>
      <c r="C36" s="1328"/>
      <c r="D36" s="1328"/>
      <c r="E36" s="3258"/>
      <c r="F36" s="3258"/>
      <c r="G36" s="3258"/>
    </row>
    <row r="37" spans="1:7" hidden="1">
      <c r="A37" s="1331">
        <v>4</v>
      </c>
      <c r="B37" s="1328" t="s">
        <v>1133</v>
      </c>
      <c r="C37" s="1328"/>
      <c r="D37" s="1328"/>
      <c r="E37" s="3258"/>
      <c r="F37" s="3258"/>
      <c r="G37" s="3258"/>
    </row>
    <row r="38" spans="1:7" hidden="1">
      <c r="A38" s="3259" t="s">
        <v>1134</v>
      </c>
      <c r="B38" s="3260"/>
      <c r="C38" s="3260"/>
      <c r="D38" s="3261"/>
      <c r="E38" s="3257"/>
      <c r="F38" s="3257"/>
      <c r="G38" s="32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2520</v>
      </c>
      <c r="B1" s="2587" t="s">
        <v>2521</v>
      </c>
      <c r="C1" s="1638" t="s">
        <v>2522</v>
      </c>
      <c r="D1" s="1625"/>
      <c r="E1" s="2588"/>
      <c r="F1" s="2589" t="s">
        <v>2523</v>
      </c>
      <c r="G1" s="1635" t="s">
        <v>2524</v>
      </c>
      <c r="H1" s="1634"/>
      <c r="I1" s="1634"/>
      <c r="J1" s="1634"/>
      <c r="K1" s="1636"/>
      <c r="L1" s="1637"/>
      <c r="M1" s="1638"/>
      <c r="N1" s="1638"/>
      <c r="O1" s="1638"/>
      <c r="P1" s="2590"/>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1"/>
      <c r="D2" s="1368" t="e">
        <f ca="1">SUMIF(INDIRECT("'"&amp;F2&amp;"'"&amp;"!A:A"),"承租人权益价值",INDIRECT("'"&amp;F2&amp;"'"&amp;"!c:c"))</f>
        <v>#REF!</v>
      </c>
      <c r="E2" s="2592" t="s">
        <v>2525</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1396</v>
      </c>
      <c r="B3" s="399" t="e">
        <f ca="1">IF(C2="——",C49,ROUND(B2*10000/D3,0))</f>
        <v>#DIV/0!</v>
      </c>
      <c r="C3" s="400" t="s">
        <v>2526</v>
      </c>
      <c r="D3" s="399">
        <f>IF(D1="",'数据-汇总表'!E3,SUMIF('数据-汇总表'!$C19:$C33,D1,'数据-汇总表'!$E19:$E33))</f>
        <v>1266.6499999999999</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2527</v>
      </c>
      <c r="B4" s="402"/>
      <c r="C4" s="3205" t="s">
        <v>2528</v>
      </c>
      <c r="D4" s="3206"/>
      <c r="E4" s="3207" t="s">
        <v>2529</v>
      </c>
      <c r="F4" s="3208"/>
      <c r="G4" s="3205" t="s">
        <v>2530</v>
      </c>
      <c r="H4" s="3206"/>
      <c r="I4" s="3205" t="s">
        <v>2531</v>
      </c>
      <c r="J4" s="3206"/>
      <c r="K4" s="2601" t="s">
        <v>2532</v>
      </c>
      <c r="L4" s="1133"/>
      <c r="M4" s="1134"/>
      <c r="N4" s="1134"/>
      <c r="O4" s="1134"/>
      <c r="P4" s="3267" t="s">
        <v>2533</v>
      </c>
      <c r="Q4" s="3268"/>
      <c r="R4" s="3263" t="s">
        <v>2529</v>
      </c>
      <c r="S4" s="3264"/>
      <c r="T4" s="3263" t="s">
        <v>2530</v>
      </c>
      <c r="U4" s="3264"/>
      <c r="V4" s="3218" t="s">
        <v>2531</v>
      </c>
      <c r="W4" s="3218"/>
      <c r="X4" s="1817"/>
      <c r="Y4" s="3263" t="s">
        <v>2533</v>
      </c>
      <c r="Z4" s="3264"/>
      <c r="AA4" s="3262" t="s">
        <v>2529</v>
      </c>
      <c r="AB4" s="3262" t="s">
        <v>2530</v>
      </c>
      <c r="AC4" s="3262" t="s">
        <v>2531</v>
      </c>
    </row>
    <row r="5" spans="1:29" ht="15">
      <c r="A5" s="404"/>
      <c r="B5" s="405"/>
      <c r="C5" s="3266" t="s">
        <v>2534</v>
      </c>
      <c r="D5" s="3195"/>
      <c r="E5" s="3265" t="s">
        <v>2535</v>
      </c>
      <c r="F5" s="3193"/>
      <c r="G5" s="3266" t="s">
        <v>2536</v>
      </c>
      <c r="H5" s="3195"/>
      <c r="I5" s="3266" t="s">
        <v>2537</v>
      </c>
      <c r="J5" s="3195"/>
      <c r="K5" s="2602"/>
      <c r="L5" s="1133"/>
      <c r="M5" s="1134"/>
      <c r="N5" s="1134"/>
      <c r="O5" s="1134"/>
      <c r="P5" s="3269"/>
      <c r="Q5" s="3212"/>
      <c r="R5" s="3190"/>
      <c r="S5" s="3191"/>
      <c r="T5" s="3190"/>
      <c r="U5" s="3191"/>
      <c r="V5" s="3218"/>
      <c r="W5" s="3218"/>
      <c r="X5" s="1817"/>
      <c r="Y5" s="3190"/>
      <c r="Z5" s="3191"/>
      <c r="AA5" s="3184"/>
      <c r="AB5" s="3184"/>
      <c r="AC5" s="3184"/>
    </row>
    <row r="6" spans="1:29" ht="15.75" thickBot="1">
      <c r="A6" s="406"/>
      <c r="B6" s="407"/>
      <c r="C6" s="3196" t="s">
        <v>2538</v>
      </c>
      <c r="D6" s="3197"/>
      <c r="E6" s="3199" t="s">
        <v>2538</v>
      </c>
      <c r="F6" s="3200"/>
      <c r="G6" s="3196" t="s">
        <v>2538</v>
      </c>
      <c r="H6" s="3197"/>
      <c r="I6" s="3196" t="s">
        <v>2538</v>
      </c>
      <c r="J6" s="3197"/>
      <c r="K6" s="2602" t="s">
        <v>2539</v>
      </c>
      <c r="L6" s="1133"/>
      <c r="M6" s="1134"/>
      <c r="N6" s="1134"/>
      <c r="O6" s="1134"/>
      <c r="P6" s="3270"/>
      <c r="Q6" s="3214"/>
      <c r="R6" s="3190"/>
      <c r="S6" s="3191"/>
      <c r="T6" s="3215"/>
      <c r="U6" s="3216"/>
      <c r="V6" s="3218"/>
      <c r="W6" s="3218"/>
      <c r="X6" s="1817"/>
      <c r="Y6" s="3215"/>
      <c r="Z6" s="3216"/>
      <c r="AA6" s="3185"/>
      <c r="AB6" s="3185"/>
      <c r="AC6" s="3185"/>
    </row>
    <row r="7" spans="1:29" s="117" customFormat="1" ht="15.75" thickBot="1">
      <c r="A7" s="408" t="s">
        <v>2540</v>
      </c>
      <c r="B7" s="409"/>
      <c r="C7" s="410">
        <f>'数据-取费表'!B2</f>
        <v>43056</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86" t="s">
        <v>2541</v>
      </c>
      <c r="Q7" s="3220"/>
      <c r="R7" s="770" t="s">
        <v>23</v>
      </c>
      <c r="S7" s="771">
        <f t="shared" ref="S7:S15" si="0">F7</f>
        <v>0</v>
      </c>
      <c r="T7" s="770" t="s">
        <v>23</v>
      </c>
      <c r="U7" s="771">
        <f t="shared" ref="U7:U15" si="1">H7</f>
        <v>0</v>
      </c>
      <c r="V7" s="770" t="s">
        <v>23</v>
      </c>
      <c r="W7" s="771">
        <f t="shared" ref="W7:W15" si="2">J7</f>
        <v>0</v>
      </c>
      <c r="X7" s="772"/>
      <c r="Y7" s="3186" t="s">
        <v>2541</v>
      </c>
      <c r="Z7" s="3187"/>
      <c r="AA7" s="773" t="e">
        <f>D7/F7</f>
        <v>#DIV/0!</v>
      </c>
      <c r="AB7" s="773" t="e">
        <f>D7/H7</f>
        <v>#DIV/0!</v>
      </c>
      <c r="AC7" s="773" t="e">
        <f>D7/J7</f>
        <v>#DIV/0!</v>
      </c>
    </row>
    <row r="8" spans="1:29" s="117" customFormat="1" ht="15.75" thickBot="1">
      <c r="A8" s="408" t="s">
        <v>2542</v>
      </c>
      <c r="B8" s="409"/>
      <c r="C8" s="414" t="s">
        <v>2543</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86" t="s">
        <v>2544</v>
      </c>
      <c r="Q8" s="3187"/>
      <c r="R8" s="770" t="s">
        <v>23</v>
      </c>
      <c r="S8" s="771">
        <f t="shared" si="0"/>
        <v>0</v>
      </c>
      <c r="T8" s="770" t="s">
        <v>23</v>
      </c>
      <c r="U8" s="771">
        <f t="shared" si="1"/>
        <v>0</v>
      </c>
      <c r="V8" s="770" t="s">
        <v>23</v>
      </c>
      <c r="W8" s="771">
        <f t="shared" si="2"/>
        <v>0</v>
      </c>
      <c r="X8" s="772"/>
      <c r="Y8" s="3186" t="s">
        <v>2544</v>
      </c>
      <c r="Z8" s="3187"/>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01" t="s">
        <v>2547</v>
      </c>
      <c r="Q9" s="1799" t="str">
        <f t="shared" ref="Q9:Q15" si="6">B9</f>
        <v>用途</v>
      </c>
      <c r="R9" s="770" t="s">
        <v>17</v>
      </c>
      <c r="S9" s="771">
        <f t="shared" si="0"/>
        <v>100</v>
      </c>
      <c r="T9" s="770" t="s">
        <v>17</v>
      </c>
      <c r="U9" s="771">
        <f t="shared" si="1"/>
        <v>100</v>
      </c>
      <c r="V9" s="770" t="s">
        <v>17</v>
      </c>
      <c r="W9" s="771">
        <f t="shared" si="2"/>
        <v>100</v>
      </c>
      <c r="X9" s="772"/>
      <c r="Y9" s="306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9"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9" t="str">
        <f t="shared" si="6"/>
        <v>容积率</v>
      </c>
      <c r="R11" s="770" t="s">
        <v>21</v>
      </c>
      <c r="S11" s="771" t="e">
        <f t="shared" si="0"/>
        <v>#N/A</v>
      </c>
      <c r="T11" s="770" t="s">
        <v>21</v>
      </c>
      <c r="U11" s="771" t="e">
        <f t="shared" si="1"/>
        <v>#N/A</v>
      </c>
      <c r="V11" s="770" t="s">
        <v>21</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01"/>
      <c r="Q12" s="1799">
        <f t="shared" si="6"/>
        <v>111</v>
      </c>
      <c r="R12" s="770" t="s">
        <v>21</v>
      </c>
      <c r="S12" s="771">
        <f t="shared" si="0"/>
        <v>100</v>
      </c>
      <c r="T12" s="770" t="s">
        <v>21</v>
      </c>
      <c r="U12" s="771">
        <f t="shared" si="1"/>
        <v>100</v>
      </c>
      <c r="V12" s="770" t="s">
        <v>21</v>
      </c>
      <c r="W12" s="771">
        <f t="shared" si="2"/>
        <v>100</v>
      </c>
      <c r="X12" s="772"/>
      <c r="Y12" s="306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01"/>
      <c r="Q13" s="1799">
        <f t="shared" si="6"/>
        <v>111</v>
      </c>
      <c r="R13" s="770" t="s">
        <v>21</v>
      </c>
      <c r="S13" s="771">
        <f t="shared" si="0"/>
        <v>100</v>
      </c>
      <c r="T13" s="770" t="s">
        <v>21</v>
      </c>
      <c r="U13" s="771">
        <f t="shared" si="1"/>
        <v>100</v>
      </c>
      <c r="V13" s="770" t="s">
        <v>21</v>
      </c>
      <c r="W13" s="771">
        <f t="shared" si="2"/>
        <v>100</v>
      </c>
      <c r="X13" s="772"/>
      <c r="Y13" s="3060"/>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01"/>
      <c r="Q14" s="1799">
        <f t="shared" si="6"/>
        <v>111</v>
      </c>
      <c r="R14" s="770" t="s">
        <v>21</v>
      </c>
      <c r="S14" s="771">
        <f t="shared" si="0"/>
        <v>100</v>
      </c>
      <c r="T14" s="770" t="s">
        <v>21</v>
      </c>
      <c r="U14" s="771">
        <f t="shared" si="1"/>
        <v>100</v>
      </c>
      <c r="V14" s="770" t="s">
        <v>21</v>
      </c>
      <c r="W14" s="771">
        <f t="shared" si="2"/>
        <v>100</v>
      </c>
      <c r="X14" s="772"/>
      <c r="Y14" s="3060"/>
      <c r="Z14" s="55">
        <f t="shared" si="7"/>
        <v>111</v>
      </c>
      <c r="AA14" s="773">
        <f t="shared" si="3"/>
        <v>1</v>
      </c>
      <c r="AB14" s="773">
        <f t="shared" si="4"/>
        <v>1</v>
      </c>
      <c r="AC14" s="773">
        <f t="shared" si="5"/>
        <v>1</v>
      </c>
    </row>
    <row r="15" spans="1:29" ht="15">
      <c r="A15" s="440" t="s">
        <v>2551</v>
      </c>
      <c r="B15" s="69" t="s">
        <v>2087</v>
      </c>
      <c r="C15" s="260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1" t="s">
        <v>2552</v>
      </c>
      <c r="Q15" s="1814" t="str">
        <f t="shared" si="6"/>
        <v>居住社区成熟度</v>
      </c>
      <c r="R15" s="774" t="s">
        <v>21</v>
      </c>
      <c r="S15" s="775">
        <f t="shared" si="0"/>
        <v>100</v>
      </c>
      <c r="T15" s="774" t="s">
        <v>21</v>
      </c>
      <c r="U15" s="775">
        <f t="shared" si="1"/>
        <v>100</v>
      </c>
      <c r="V15" s="774" t="s">
        <v>21</v>
      </c>
      <c r="W15" s="775">
        <f t="shared" si="2"/>
        <v>100</v>
      </c>
      <c r="X15" s="1817"/>
      <c r="Y15" s="3223" t="s">
        <v>2552</v>
      </c>
      <c r="Z15" s="1818" t="str">
        <f t="shared" si="7"/>
        <v>居住社区成熟度</v>
      </c>
      <c r="AA15" s="1815">
        <f t="shared" si="3"/>
        <v>1</v>
      </c>
      <c r="AB15" s="1815">
        <f t="shared" si="4"/>
        <v>1</v>
      </c>
      <c r="AC15" s="1815">
        <f t="shared" si="5"/>
        <v>1</v>
      </c>
    </row>
    <row r="16" spans="1:29" ht="15">
      <c r="A16" s="428"/>
      <c r="B16" s="446"/>
      <c r="C16" s="447"/>
      <c r="D16" s="448"/>
      <c r="E16" s="2609"/>
      <c r="F16" s="448"/>
      <c r="G16" s="2610"/>
      <c r="H16" s="450"/>
      <c r="I16" s="2610"/>
      <c r="J16" s="448"/>
      <c r="K16" s="2611"/>
      <c r="L16" s="1143"/>
      <c r="M16" s="1134"/>
      <c r="N16" s="1134"/>
      <c r="O16" s="1134"/>
      <c r="P16" s="3222"/>
      <c r="Q16" s="1814"/>
      <c r="R16" s="774"/>
      <c r="S16" s="775"/>
      <c r="T16" s="774"/>
      <c r="U16" s="775"/>
      <c r="V16" s="774"/>
      <c r="W16" s="775"/>
      <c r="X16" s="1817"/>
      <c r="Y16" s="3224"/>
      <c r="Z16" s="1818"/>
      <c r="AA16" s="1815">
        <v>1</v>
      </c>
      <c r="AB16" s="1815">
        <v>1</v>
      </c>
      <c r="AC16" s="1815">
        <v>1</v>
      </c>
    </row>
    <row r="17" spans="1:29" ht="185.25">
      <c r="A17" s="428"/>
      <c r="B17" s="451" t="s">
        <v>2096</v>
      </c>
      <c r="C17" s="261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2"/>
      <c r="Q17" s="1814" t="str">
        <f>B17</f>
        <v>交通便捷度</v>
      </c>
      <c r="R17" s="774" t="s">
        <v>21</v>
      </c>
      <c r="S17" s="775">
        <f>F17</f>
        <v>100</v>
      </c>
      <c r="T17" s="774" t="s">
        <v>21</v>
      </c>
      <c r="U17" s="775">
        <f>H17</f>
        <v>100</v>
      </c>
      <c r="V17" s="774" t="s">
        <v>21</v>
      </c>
      <c r="W17" s="775">
        <f>J17</f>
        <v>100</v>
      </c>
      <c r="X17" s="1817"/>
      <c r="Y17" s="3224"/>
      <c r="Z17" s="1818" t="str">
        <f>Q17</f>
        <v>交通便捷度</v>
      </c>
      <c r="AA17" s="1815">
        <f t="shared" si="3"/>
        <v>1</v>
      </c>
      <c r="AB17" s="1815">
        <f t="shared" si="4"/>
        <v>1</v>
      </c>
      <c r="AC17" s="1815">
        <f t="shared" si="5"/>
        <v>1</v>
      </c>
    </row>
    <row r="18" spans="1:29" ht="15">
      <c r="A18" s="428"/>
      <c r="B18" s="456"/>
      <c r="C18" s="2613"/>
      <c r="D18" s="450"/>
      <c r="E18" s="2614"/>
      <c r="F18" s="450"/>
      <c r="G18" s="2615"/>
      <c r="H18" s="448"/>
      <c r="I18" s="2615"/>
      <c r="J18" s="448"/>
      <c r="K18" s="2611"/>
      <c r="L18" s="1143"/>
      <c r="M18" s="1134"/>
      <c r="N18" s="1134"/>
      <c r="O18" s="1134"/>
      <c r="P18" s="3222"/>
      <c r="Q18" s="1814"/>
      <c r="R18" s="774"/>
      <c r="S18" s="775"/>
      <c r="T18" s="774"/>
      <c r="U18" s="775"/>
      <c r="V18" s="774"/>
      <c r="W18" s="775"/>
      <c r="X18" s="1817"/>
      <c r="Y18" s="3224"/>
      <c r="Z18" s="1818"/>
      <c r="AA18" s="1815">
        <v>1</v>
      </c>
      <c r="AB18" s="1815">
        <v>1</v>
      </c>
      <c r="AC18" s="1815">
        <v>1</v>
      </c>
    </row>
    <row r="19" spans="1:29" ht="228">
      <c r="A19" s="428"/>
      <c r="B19" s="451" t="s">
        <v>2094</v>
      </c>
      <c r="C19" s="261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2"/>
      <c r="Q19" s="1814" t="str">
        <f>B19</f>
        <v>公共配套设施</v>
      </c>
      <c r="R19" s="774" t="s">
        <v>21</v>
      </c>
      <c r="S19" s="775">
        <f>F19</f>
        <v>100</v>
      </c>
      <c r="T19" s="774" t="s">
        <v>21</v>
      </c>
      <c r="U19" s="775">
        <f>H19</f>
        <v>100</v>
      </c>
      <c r="V19" s="774" t="s">
        <v>21</v>
      </c>
      <c r="W19" s="775">
        <f>J19</f>
        <v>100</v>
      </c>
      <c r="X19" s="1817"/>
      <c r="Y19" s="3224"/>
      <c r="Z19" s="1818" t="str">
        <f>Q19</f>
        <v>公共配套设施</v>
      </c>
      <c r="AA19" s="1815">
        <f t="shared" si="3"/>
        <v>1</v>
      </c>
      <c r="AB19" s="1815">
        <f t="shared" si="4"/>
        <v>1</v>
      </c>
      <c r="AC19" s="1815">
        <f t="shared" si="5"/>
        <v>1</v>
      </c>
    </row>
    <row r="20" spans="1:29" ht="15">
      <c r="A20" s="428"/>
      <c r="B20" s="456"/>
      <c r="C20" s="447"/>
      <c r="D20" s="448"/>
      <c r="E20" s="2609"/>
      <c r="F20" s="448"/>
      <c r="G20" s="2610"/>
      <c r="H20" s="448"/>
      <c r="I20" s="2610"/>
      <c r="J20" s="448"/>
      <c r="K20" s="2611"/>
      <c r="L20" s="1143"/>
      <c r="M20" s="1134"/>
      <c r="N20" s="1134"/>
      <c r="O20" s="1134"/>
      <c r="P20" s="3222"/>
      <c r="Q20" s="1814"/>
      <c r="R20" s="774"/>
      <c r="S20" s="775"/>
      <c r="T20" s="774"/>
      <c r="U20" s="775"/>
      <c r="V20" s="774"/>
      <c r="W20" s="775"/>
      <c r="X20" s="1817"/>
      <c r="Y20" s="3224"/>
      <c r="Z20" s="1818"/>
      <c r="AA20" s="1815">
        <v>1</v>
      </c>
      <c r="AB20" s="1815">
        <v>1</v>
      </c>
      <c r="AC20" s="1815">
        <v>1</v>
      </c>
    </row>
    <row r="21" spans="1:29" ht="42.75">
      <c r="A21" s="428"/>
      <c r="B21" s="1387" t="s">
        <v>2097</v>
      </c>
      <c r="C21" s="2612"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2"/>
      <c r="Q21" s="1814" t="str">
        <f>B21</f>
        <v>基础设施水平</v>
      </c>
      <c r="R21" s="774" t="s">
        <v>17</v>
      </c>
      <c r="S21" s="775">
        <f>F21</f>
        <v>100</v>
      </c>
      <c r="T21" s="774" t="s">
        <v>17</v>
      </c>
      <c r="U21" s="775">
        <f>H21</f>
        <v>100</v>
      </c>
      <c r="V21" s="774" t="s">
        <v>17</v>
      </c>
      <c r="W21" s="775">
        <f>J21</f>
        <v>100</v>
      </c>
      <c r="X21" s="1817"/>
      <c r="Y21" s="3224"/>
      <c r="Z21" s="1818" t="str">
        <f>Q21</f>
        <v>基础设施水平</v>
      </c>
      <c r="AA21" s="1815">
        <f t="shared" ref="AA21" si="8">D21/F21</f>
        <v>1</v>
      </c>
      <c r="AB21" s="1815">
        <f t="shared" ref="AB21" si="9">D21/H21</f>
        <v>1</v>
      </c>
      <c r="AC21" s="1815">
        <f t="shared" ref="AC21" si="10">D21/J21</f>
        <v>1</v>
      </c>
    </row>
    <row r="22" spans="1:29" ht="15">
      <c r="A22" s="428"/>
      <c r="B22" s="1387"/>
      <c r="C22" s="2613"/>
      <c r="D22" s="448"/>
      <c r="E22" s="447"/>
      <c r="F22" s="448"/>
      <c r="G22" s="2616"/>
      <c r="H22" s="448"/>
      <c r="I22" s="447"/>
      <c r="J22" s="448"/>
      <c r="K22" s="2617"/>
      <c r="L22" s="1143"/>
      <c r="M22" s="1134"/>
      <c r="N22" s="1134"/>
      <c r="O22" s="1134"/>
      <c r="P22" s="3222"/>
      <c r="Q22" s="1814"/>
      <c r="R22" s="774"/>
      <c r="S22" s="775"/>
      <c r="T22" s="774"/>
      <c r="U22" s="775"/>
      <c r="V22" s="774"/>
      <c r="W22" s="775"/>
      <c r="X22" s="1817"/>
      <c r="Y22" s="3224"/>
      <c r="Z22" s="1818"/>
      <c r="AA22" s="1815">
        <v>1</v>
      </c>
      <c r="AB22" s="1815">
        <v>1</v>
      </c>
      <c r="AC22" s="1815">
        <v>1</v>
      </c>
    </row>
    <row r="23" spans="1:29" ht="99.75">
      <c r="A23" s="428"/>
      <c r="B23" s="451" t="s">
        <v>2101</v>
      </c>
      <c r="C23" s="2612" t="str">
        <f>估价对象房地状况!C9</f>
        <v>估价对象2公里内有西湖园，自然环境一般，区域内有首都机场体育馆，人文环境一般。综合评价环境状况一般。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2"/>
      <c r="Q23" s="1814" t="str">
        <f>B23</f>
        <v>自然及人文环境</v>
      </c>
      <c r="R23" s="774" t="s">
        <v>21</v>
      </c>
      <c r="S23" s="775">
        <f>F23</f>
        <v>100</v>
      </c>
      <c r="T23" s="774" t="s">
        <v>21</v>
      </c>
      <c r="U23" s="775">
        <f>H23</f>
        <v>100</v>
      </c>
      <c r="V23" s="774" t="s">
        <v>21</v>
      </c>
      <c r="W23" s="775">
        <f>J23</f>
        <v>100</v>
      </c>
      <c r="X23" s="1817"/>
      <c r="Y23" s="3224"/>
      <c r="Z23" s="1818" t="str">
        <f>Q23</f>
        <v>自然及人文环境</v>
      </c>
      <c r="AA23" s="1815">
        <f>D23/F23</f>
        <v>1</v>
      </c>
      <c r="AB23" s="1815">
        <f>D23/H23</f>
        <v>1</v>
      </c>
      <c r="AC23" s="1815">
        <f>D23/J23</f>
        <v>1</v>
      </c>
    </row>
    <row r="24" spans="1:29" ht="15">
      <c r="A24" s="428"/>
      <c r="B24" s="456"/>
      <c r="C24" s="447"/>
      <c r="D24" s="448"/>
      <c r="E24" s="2609"/>
      <c r="F24" s="448"/>
      <c r="G24" s="2610"/>
      <c r="H24" s="448"/>
      <c r="I24" s="2610"/>
      <c r="J24" s="448"/>
      <c r="K24" s="2611"/>
      <c r="L24" s="1143"/>
      <c r="M24" s="1134"/>
      <c r="N24" s="1134"/>
      <c r="O24" s="1134"/>
      <c r="P24" s="3222"/>
      <c r="Q24" s="1814"/>
      <c r="R24" s="774"/>
      <c r="S24" s="775"/>
      <c r="T24" s="774"/>
      <c r="U24" s="775"/>
      <c r="V24" s="774"/>
      <c r="W24" s="775"/>
      <c r="X24" s="1817"/>
      <c r="Y24" s="3224"/>
      <c r="Z24" s="1818"/>
      <c r="AA24" s="1815">
        <v>1</v>
      </c>
      <c r="AB24" s="1815">
        <v>1</v>
      </c>
      <c r="AC24" s="1815">
        <v>1</v>
      </c>
    </row>
    <row r="25" spans="1:29" ht="15">
      <c r="A25" s="428"/>
      <c r="B25" s="422" t="s">
        <v>2553</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22"/>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24"/>
      <c r="Z25" s="1818" t="str">
        <f>Q25</f>
        <v>楼层-1</v>
      </c>
      <c r="AA25" s="1815">
        <f t="shared" ref="AA25:AA46" si="15">D25/F25</f>
        <v>1</v>
      </c>
      <c r="AB25" s="1815">
        <f t="shared" ref="AB25:AB46" si="16">D25/H25</f>
        <v>1</v>
      </c>
      <c r="AC25" s="1815">
        <f t="shared" ref="AC25:AC46" si="17">D25/J25</f>
        <v>1</v>
      </c>
    </row>
    <row r="26" spans="1:29" ht="15">
      <c r="A26" s="428"/>
      <c r="B26" s="422" t="s">
        <v>2554</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22"/>
      <c r="Q26" s="1814" t="str">
        <f t="shared" si="11"/>
        <v>朝向</v>
      </c>
      <c r="R26" s="774" t="s">
        <v>21</v>
      </c>
      <c r="S26" s="775">
        <f t="shared" si="12"/>
        <v>100</v>
      </c>
      <c r="T26" s="774" t="s">
        <v>21</v>
      </c>
      <c r="U26" s="775">
        <f t="shared" si="13"/>
        <v>100</v>
      </c>
      <c r="V26" s="774" t="s">
        <v>21</v>
      </c>
      <c r="W26" s="775">
        <f t="shared" si="14"/>
        <v>100</v>
      </c>
      <c r="X26" s="1817"/>
      <c r="Y26" s="3224"/>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22"/>
      <c r="Q27" s="1799">
        <f t="shared" si="11"/>
        <v>111</v>
      </c>
      <c r="R27" s="770" t="s">
        <v>21</v>
      </c>
      <c r="S27" s="771">
        <f t="shared" si="12"/>
        <v>100</v>
      </c>
      <c r="T27" s="770" t="s">
        <v>21</v>
      </c>
      <c r="U27" s="771">
        <f t="shared" si="13"/>
        <v>100</v>
      </c>
      <c r="V27" s="770" t="s">
        <v>21</v>
      </c>
      <c r="W27" s="771">
        <f t="shared" si="14"/>
        <v>100</v>
      </c>
      <c r="X27" s="772"/>
      <c r="Y27" s="3224"/>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22"/>
      <c r="Q28" s="1814">
        <f t="shared" si="11"/>
        <v>111</v>
      </c>
      <c r="R28" s="774" t="s">
        <v>21</v>
      </c>
      <c r="S28" s="775">
        <f t="shared" si="12"/>
        <v>100</v>
      </c>
      <c r="T28" s="774" t="s">
        <v>21</v>
      </c>
      <c r="U28" s="775">
        <f t="shared" si="13"/>
        <v>100</v>
      </c>
      <c r="V28" s="774" t="s">
        <v>21</v>
      </c>
      <c r="W28" s="775">
        <f t="shared" si="14"/>
        <v>100</v>
      </c>
      <c r="X28" s="1817"/>
      <c r="Y28" s="3224"/>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22"/>
      <c r="Q29" s="1814">
        <f t="shared" si="11"/>
        <v>111</v>
      </c>
      <c r="R29" s="774" t="s">
        <v>21</v>
      </c>
      <c r="S29" s="775">
        <f t="shared" si="12"/>
        <v>100</v>
      </c>
      <c r="T29" s="774" t="s">
        <v>21</v>
      </c>
      <c r="U29" s="775">
        <f t="shared" si="13"/>
        <v>100</v>
      </c>
      <c r="V29" s="774" t="s">
        <v>21</v>
      </c>
      <c r="W29" s="775">
        <f t="shared" si="14"/>
        <v>100</v>
      </c>
      <c r="X29" s="1817"/>
      <c r="Y29" s="3224"/>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22"/>
      <c r="Q30" s="1814">
        <f t="shared" si="11"/>
        <v>111</v>
      </c>
      <c r="R30" s="774" t="s">
        <v>21</v>
      </c>
      <c r="S30" s="775">
        <f t="shared" si="12"/>
        <v>100</v>
      </c>
      <c r="T30" s="774" t="s">
        <v>21</v>
      </c>
      <c r="U30" s="775">
        <f t="shared" si="13"/>
        <v>100</v>
      </c>
      <c r="V30" s="774" t="s">
        <v>21</v>
      </c>
      <c r="W30" s="775">
        <f t="shared" si="14"/>
        <v>100</v>
      </c>
      <c r="X30" s="1817"/>
      <c r="Y30" s="3224"/>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22"/>
      <c r="Q31" s="1814">
        <f t="shared" si="11"/>
        <v>111</v>
      </c>
      <c r="R31" s="774" t="s">
        <v>21</v>
      </c>
      <c r="S31" s="775">
        <f t="shared" si="12"/>
        <v>100</v>
      </c>
      <c r="T31" s="774" t="s">
        <v>21</v>
      </c>
      <c r="U31" s="775">
        <f t="shared" si="13"/>
        <v>100</v>
      </c>
      <c r="V31" s="774" t="s">
        <v>21</v>
      </c>
      <c r="W31" s="775">
        <f t="shared" si="14"/>
        <v>100</v>
      </c>
      <c r="X31" s="1817"/>
      <c r="Y31" s="3224"/>
      <c r="Z31" s="1818">
        <f t="shared" si="18"/>
        <v>111</v>
      </c>
      <c r="AA31" s="1815">
        <f t="shared" si="15"/>
        <v>1</v>
      </c>
      <c r="AB31" s="1815">
        <f t="shared" si="16"/>
        <v>1</v>
      </c>
      <c r="AC31" s="1815">
        <f t="shared" si="17"/>
        <v>1</v>
      </c>
    </row>
    <row r="32" spans="1:29" ht="15">
      <c r="A32" s="440" t="s">
        <v>2555</v>
      </c>
      <c r="B32" s="71" t="s">
        <v>2556</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25" t="s">
        <v>2557</v>
      </c>
      <c r="Q32" s="1814" t="str">
        <f t="shared" si="11"/>
        <v>建筑类型</v>
      </c>
      <c r="R32" s="774" t="s">
        <v>21</v>
      </c>
      <c r="S32" s="775">
        <f t="shared" si="12"/>
        <v>100</v>
      </c>
      <c r="T32" s="774" t="s">
        <v>21</v>
      </c>
      <c r="U32" s="775">
        <f t="shared" si="13"/>
        <v>100</v>
      </c>
      <c r="V32" s="774" t="s">
        <v>21</v>
      </c>
      <c r="W32" s="775">
        <f t="shared" si="14"/>
        <v>100</v>
      </c>
      <c r="X32" s="1817"/>
      <c r="Y32" s="3228" t="s">
        <v>2557</v>
      </c>
      <c r="Z32" s="1818" t="str">
        <f t="shared" si="18"/>
        <v>建筑类型</v>
      </c>
      <c r="AA32" s="1815">
        <f t="shared" si="15"/>
        <v>1</v>
      </c>
      <c r="AB32" s="1815">
        <f t="shared" si="16"/>
        <v>1</v>
      </c>
      <c r="AC32" s="1815">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26"/>
      <c r="Q33" s="776" t="str">
        <f t="shared" si="11"/>
        <v>项目建筑规模</v>
      </c>
      <c r="R33" s="777" t="s">
        <v>21</v>
      </c>
      <c r="S33" s="778" t="e">
        <f t="shared" si="12"/>
        <v>#N/A</v>
      </c>
      <c r="T33" s="777" t="s">
        <v>21</v>
      </c>
      <c r="U33" s="778" t="e">
        <f t="shared" si="13"/>
        <v>#N/A</v>
      </c>
      <c r="V33" s="777" t="s">
        <v>21</v>
      </c>
      <c r="W33" s="778" t="e">
        <f t="shared" si="14"/>
        <v>#N/A</v>
      </c>
      <c r="X33" s="779"/>
      <c r="Y33" s="3228"/>
      <c r="Z33" s="780" t="str">
        <f t="shared" si="18"/>
        <v>项目建筑规模</v>
      </c>
      <c r="AA33" s="1815" t="e">
        <f t="shared" si="15"/>
        <v>#N/A</v>
      </c>
      <c r="AB33" s="1815" t="e">
        <f t="shared" si="16"/>
        <v>#N/A</v>
      </c>
      <c r="AC33" s="1815" t="e">
        <f t="shared" si="17"/>
        <v>#N/A</v>
      </c>
    </row>
    <row r="34" spans="1:29" ht="15">
      <c r="A34" s="472"/>
      <c r="B34" s="422" t="s">
        <v>2559</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26"/>
      <c r="Q34" s="1814" t="str">
        <f t="shared" si="11"/>
        <v>建筑结构</v>
      </c>
      <c r="R34" s="774" t="s">
        <v>21</v>
      </c>
      <c r="S34" s="775">
        <f t="shared" si="12"/>
        <v>100</v>
      </c>
      <c r="T34" s="774" t="s">
        <v>21</v>
      </c>
      <c r="U34" s="775">
        <f t="shared" si="13"/>
        <v>100</v>
      </c>
      <c r="V34" s="774" t="s">
        <v>21</v>
      </c>
      <c r="W34" s="775">
        <f t="shared" si="14"/>
        <v>100</v>
      </c>
      <c r="X34" s="1817"/>
      <c r="Y34" s="3228"/>
      <c r="Z34" s="1818" t="str">
        <f t="shared" si="18"/>
        <v>建筑结构</v>
      </c>
      <c r="AA34" s="1815">
        <f t="shared" si="15"/>
        <v>1</v>
      </c>
      <c r="AB34" s="1815">
        <f t="shared" si="16"/>
        <v>1</v>
      </c>
      <c r="AC34" s="1815">
        <f t="shared" si="17"/>
        <v>1</v>
      </c>
    </row>
    <row r="35" spans="1:29" ht="15">
      <c r="A35" s="472"/>
      <c r="B35" s="422" t="s">
        <v>2560</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26"/>
      <c r="Q35" s="1814" t="str">
        <f t="shared" si="11"/>
        <v>建筑品质</v>
      </c>
      <c r="R35" s="774" t="s">
        <v>21</v>
      </c>
      <c r="S35" s="775">
        <f t="shared" si="12"/>
        <v>100</v>
      </c>
      <c r="T35" s="774" t="s">
        <v>21</v>
      </c>
      <c r="U35" s="775">
        <f t="shared" si="13"/>
        <v>100</v>
      </c>
      <c r="V35" s="774" t="s">
        <v>21</v>
      </c>
      <c r="W35" s="775">
        <f t="shared" si="14"/>
        <v>100</v>
      </c>
      <c r="X35" s="1817"/>
      <c r="Y35" s="3228"/>
      <c r="Z35" s="1818" t="str">
        <f t="shared" si="18"/>
        <v>建筑品质</v>
      </c>
      <c r="AA35" s="1815">
        <f t="shared" si="15"/>
        <v>1</v>
      </c>
      <c r="AB35" s="1815">
        <f t="shared" si="16"/>
        <v>1</v>
      </c>
      <c r="AC35" s="1815">
        <f t="shared" si="17"/>
        <v>1</v>
      </c>
    </row>
    <row r="36" spans="1:29" ht="15">
      <c r="A36" s="472"/>
      <c r="B36" s="422" t="s">
        <v>2561</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26"/>
      <c r="Q36" s="1814" t="str">
        <f t="shared" si="11"/>
        <v>公共部分装修</v>
      </c>
      <c r="R36" s="774" t="s">
        <v>21</v>
      </c>
      <c r="S36" s="775">
        <f t="shared" si="12"/>
        <v>100</v>
      </c>
      <c r="T36" s="774" t="s">
        <v>21</v>
      </c>
      <c r="U36" s="775">
        <f t="shared" si="13"/>
        <v>100</v>
      </c>
      <c r="V36" s="774" t="s">
        <v>21</v>
      </c>
      <c r="W36" s="775">
        <f t="shared" si="14"/>
        <v>100</v>
      </c>
      <c r="X36" s="1817"/>
      <c r="Y36" s="3228"/>
      <c r="Z36" s="1818" t="str">
        <f t="shared" si="18"/>
        <v>公共部分装修</v>
      </c>
      <c r="AA36" s="1815">
        <f t="shared" si="15"/>
        <v>1</v>
      </c>
      <c r="AB36" s="1815">
        <f t="shared" si="16"/>
        <v>1</v>
      </c>
      <c r="AC36" s="1815">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6"/>
      <c r="Q37" s="1799" t="str">
        <f t="shared" si="11"/>
        <v>成新度</v>
      </c>
      <c r="R37" s="770" t="s">
        <v>21</v>
      </c>
      <c r="S37" s="771" t="e">
        <f t="shared" si="12"/>
        <v>#N/A</v>
      </c>
      <c r="T37" s="770" t="s">
        <v>21</v>
      </c>
      <c r="U37" s="771" t="e">
        <f t="shared" si="13"/>
        <v>#N/A</v>
      </c>
      <c r="V37" s="770" t="s">
        <v>21</v>
      </c>
      <c r="W37" s="771" t="e">
        <f t="shared" si="14"/>
        <v>#N/A</v>
      </c>
      <c r="X37" s="772"/>
      <c r="Y37" s="3228"/>
      <c r="Z37" s="55" t="str">
        <f t="shared" si="18"/>
        <v>成新度</v>
      </c>
      <c r="AA37" s="773" t="e">
        <f t="shared" si="15"/>
        <v>#N/A</v>
      </c>
      <c r="AB37" s="773" t="e">
        <f t="shared" si="16"/>
        <v>#N/A</v>
      </c>
      <c r="AC37" s="773" t="e">
        <f t="shared" si="17"/>
        <v>#N/A</v>
      </c>
    </row>
    <row r="38" spans="1:29" ht="15">
      <c r="A38" s="472"/>
      <c r="B38" s="422" t="s">
        <v>2563</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26" t="s">
        <v>2557</v>
      </c>
      <c r="Q38" s="1814" t="str">
        <f t="shared" si="11"/>
        <v>物业管理</v>
      </c>
      <c r="R38" s="774" t="s">
        <v>21</v>
      </c>
      <c r="S38" s="775">
        <f t="shared" si="12"/>
        <v>100</v>
      </c>
      <c r="T38" s="774" t="s">
        <v>21</v>
      </c>
      <c r="U38" s="775">
        <f t="shared" si="13"/>
        <v>100</v>
      </c>
      <c r="V38" s="774" t="s">
        <v>21</v>
      </c>
      <c r="W38" s="775">
        <f t="shared" si="14"/>
        <v>100</v>
      </c>
      <c r="X38" s="1817"/>
      <c r="Y38" s="3228" t="s">
        <v>2557</v>
      </c>
      <c r="Z38" s="1818" t="str">
        <f t="shared" si="18"/>
        <v>物业管理</v>
      </c>
      <c r="AA38" s="1815">
        <f t="shared" si="15"/>
        <v>1</v>
      </c>
      <c r="AB38" s="1815">
        <f t="shared" si="16"/>
        <v>1</v>
      </c>
      <c r="AC38" s="1815">
        <f t="shared" si="17"/>
        <v>1</v>
      </c>
    </row>
    <row r="39" spans="1:29" ht="15">
      <c r="A39" s="472"/>
      <c r="B39" s="422" t="s">
        <v>2564</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26"/>
      <c r="Q39" s="1814" t="str">
        <f t="shared" si="11"/>
        <v>市政基础设施</v>
      </c>
      <c r="R39" s="774" t="s">
        <v>21</v>
      </c>
      <c r="S39" s="775">
        <f t="shared" si="12"/>
        <v>100</v>
      </c>
      <c r="T39" s="774" t="s">
        <v>21</v>
      </c>
      <c r="U39" s="775">
        <f t="shared" si="13"/>
        <v>100</v>
      </c>
      <c r="V39" s="774" t="s">
        <v>21</v>
      </c>
      <c r="W39" s="775">
        <f t="shared" si="14"/>
        <v>100</v>
      </c>
      <c r="X39" s="1817"/>
      <c r="Y39" s="3228"/>
      <c r="Z39" s="1818" t="str">
        <f t="shared" si="18"/>
        <v>市政基础设施</v>
      </c>
      <c r="AA39" s="1815">
        <f t="shared" si="15"/>
        <v>1</v>
      </c>
      <c r="AB39" s="1815">
        <f t="shared" si="16"/>
        <v>1</v>
      </c>
      <c r="AC39" s="1815">
        <f t="shared" si="17"/>
        <v>1</v>
      </c>
    </row>
    <row r="40" spans="1:29" ht="15">
      <c r="A40" s="472"/>
      <c r="B40" s="422" t="s">
        <v>2565</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26"/>
      <c r="Q40" s="1814" t="str">
        <f t="shared" si="11"/>
        <v>房型</v>
      </c>
      <c r="R40" s="774" t="s">
        <v>21</v>
      </c>
      <c r="S40" s="775">
        <f t="shared" si="12"/>
        <v>100</v>
      </c>
      <c r="T40" s="774" t="s">
        <v>21</v>
      </c>
      <c r="U40" s="775">
        <f t="shared" si="13"/>
        <v>100</v>
      </c>
      <c r="V40" s="774" t="s">
        <v>21</v>
      </c>
      <c r="W40" s="775">
        <f t="shared" si="14"/>
        <v>100</v>
      </c>
      <c r="X40" s="1817"/>
      <c r="Y40" s="3228"/>
      <c r="Z40" s="1818" t="str">
        <f t="shared" si="18"/>
        <v>房型</v>
      </c>
      <c r="AA40" s="1815">
        <f t="shared" si="15"/>
        <v>1</v>
      </c>
      <c r="AB40" s="1815">
        <f t="shared" si="16"/>
        <v>1</v>
      </c>
      <c r="AC40" s="1815">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26"/>
      <c r="Q41" s="776" t="str">
        <f t="shared" si="11"/>
        <v>单套/主力户型建筑面积</v>
      </c>
      <c r="R41" s="777" t="s">
        <v>21</v>
      </c>
      <c r="S41" s="778">
        <f t="shared" si="12"/>
        <v>100</v>
      </c>
      <c r="T41" s="777" t="s">
        <v>21</v>
      </c>
      <c r="U41" s="778">
        <f t="shared" si="13"/>
        <v>100</v>
      </c>
      <c r="V41" s="777" t="s">
        <v>21</v>
      </c>
      <c r="W41" s="778">
        <f t="shared" si="14"/>
        <v>100</v>
      </c>
      <c r="X41" s="779"/>
      <c r="Y41" s="3228"/>
      <c r="Z41" s="780" t="str">
        <f t="shared" si="18"/>
        <v>单套/主力户型建筑面积</v>
      </c>
      <c r="AA41" s="1815">
        <f t="shared" si="15"/>
        <v>1</v>
      </c>
      <c r="AB41" s="1815">
        <f t="shared" si="16"/>
        <v>1</v>
      </c>
      <c r="AC41" s="1815">
        <f t="shared" si="17"/>
        <v>1</v>
      </c>
    </row>
    <row r="42" spans="1:29" ht="15">
      <c r="A42" s="472"/>
      <c r="B42" s="422" t="s">
        <v>2567</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26"/>
      <c r="Q42" s="1814" t="str">
        <f t="shared" si="11"/>
        <v>内部装修</v>
      </c>
      <c r="R42" s="774" t="s">
        <v>21</v>
      </c>
      <c r="S42" s="775">
        <f t="shared" si="12"/>
        <v>100</v>
      </c>
      <c r="T42" s="774" t="s">
        <v>21</v>
      </c>
      <c r="U42" s="775">
        <f t="shared" si="13"/>
        <v>100</v>
      </c>
      <c r="V42" s="774" t="s">
        <v>21</v>
      </c>
      <c r="W42" s="775">
        <f t="shared" si="14"/>
        <v>100</v>
      </c>
      <c r="X42" s="1817"/>
      <c r="Y42" s="3228"/>
      <c r="Z42" s="1818" t="str">
        <f t="shared" si="18"/>
        <v>内部装修</v>
      </c>
      <c r="AA42" s="1815">
        <f t="shared" si="15"/>
        <v>1</v>
      </c>
      <c r="AB42" s="1815">
        <f t="shared" si="16"/>
        <v>1</v>
      </c>
      <c r="AC42" s="1815">
        <f t="shared" si="17"/>
        <v>1</v>
      </c>
    </row>
    <row r="43" spans="1:29" ht="15">
      <c r="A43" s="472"/>
      <c r="B43" s="422" t="s">
        <v>2568</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26"/>
      <c r="Q43" s="1814" t="str">
        <f t="shared" si="11"/>
        <v>内部装修维护情况</v>
      </c>
      <c r="R43" s="774" t="s">
        <v>21</v>
      </c>
      <c r="S43" s="775">
        <f t="shared" si="12"/>
        <v>100</v>
      </c>
      <c r="T43" s="774" t="s">
        <v>21</v>
      </c>
      <c r="U43" s="775">
        <f t="shared" si="13"/>
        <v>100</v>
      </c>
      <c r="V43" s="774" t="s">
        <v>21</v>
      </c>
      <c r="W43" s="775">
        <f t="shared" si="14"/>
        <v>100</v>
      </c>
      <c r="X43" s="1817"/>
      <c r="Y43" s="3228"/>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26"/>
      <c r="Q44" s="1799">
        <f t="shared" si="11"/>
        <v>111</v>
      </c>
      <c r="R44" s="770" t="s">
        <v>21</v>
      </c>
      <c r="S44" s="771">
        <f t="shared" si="12"/>
        <v>100</v>
      </c>
      <c r="T44" s="770" t="s">
        <v>21</v>
      </c>
      <c r="U44" s="771">
        <f t="shared" si="13"/>
        <v>100</v>
      </c>
      <c r="V44" s="770" t="s">
        <v>21</v>
      </c>
      <c r="W44" s="771">
        <f t="shared" si="14"/>
        <v>100</v>
      </c>
      <c r="X44" s="772"/>
      <c r="Y44" s="322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26"/>
      <c r="Q45" s="1814">
        <f t="shared" si="11"/>
        <v>111</v>
      </c>
      <c r="R45" s="774" t="s">
        <v>21</v>
      </c>
      <c r="S45" s="775">
        <f t="shared" si="12"/>
        <v>100</v>
      </c>
      <c r="T45" s="774" t="s">
        <v>21</v>
      </c>
      <c r="U45" s="775">
        <f t="shared" si="13"/>
        <v>100</v>
      </c>
      <c r="V45" s="774" t="s">
        <v>21</v>
      </c>
      <c r="W45" s="775">
        <f t="shared" si="14"/>
        <v>100</v>
      </c>
      <c r="X45" s="1817"/>
      <c r="Y45" s="3228"/>
      <c r="Z45" s="1818">
        <f t="shared" si="18"/>
        <v>111</v>
      </c>
      <c r="AA45" s="1815">
        <f t="shared" si="15"/>
        <v>1</v>
      </c>
      <c r="AB45" s="1815">
        <f t="shared" si="16"/>
        <v>1</v>
      </c>
      <c r="AC45" s="1815">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27"/>
      <c r="Q46" s="1814">
        <f t="shared" si="11"/>
        <v>111</v>
      </c>
      <c r="R46" s="774" t="s">
        <v>20</v>
      </c>
      <c r="S46" s="775">
        <f t="shared" si="12"/>
        <v>100</v>
      </c>
      <c r="T46" s="774" t="s">
        <v>20</v>
      </c>
      <c r="U46" s="775">
        <f t="shared" si="13"/>
        <v>100</v>
      </c>
      <c r="V46" s="774" t="s">
        <v>20</v>
      </c>
      <c r="W46" s="775">
        <f t="shared" si="14"/>
        <v>100</v>
      </c>
      <c r="X46" s="1817"/>
      <c r="Y46" s="3229"/>
      <c r="Z46" s="1818">
        <f t="shared" si="18"/>
        <v>111</v>
      </c>
      <c r="AA46" s="1815">
        <f t="shared" si="15"/>
        <v>1</v>
      </c>
      <c r="AB46" s="1815">
        <f t="shared" si="16"/>
        <v>1</v>
      </c>
      <c r="AC46" s="1815">
        <f t="shared" si="17"/>
        <v>1</v>
      </c>
    </row>
    <row r="47" spans="1:29" ht="15">
      <c r="A47" s="479" t="s">
        <v>2569</v>
      </c>
      <c r="B47" s="480"/>
      <c r="C47" s="1410" t="s">
        <v>19</v>
      </c>
      <c r="D47" s="1411"/>
      <c r="E47" s="1412"/>
      <c r="F47" s="1413"/>
      <c r="G47" s="1414"/>
      <c r="H47" s="1415"/>
      <c r="I47" s="1412"/>
      <c r="J47" s="1415"/>
      <c r="K47" s="2626"/>
      <c r="L47" s="1146"/>
      <c r="M47" s="1147"/>
      <c r="N47" s="1134"/>
      <c r="O47" s="1147"/>
      <c r="P47" s="3230" t="str">
        <f>A47</f>
        <v>成交单价（元/平方米）</v>
      </c>
      <c r="Q47" s="3230"/>
      <c r="R47" s="3231">
        <f>E47</f>
        <v>0</v>
      </c>
      <c r="S47" s="3231"/>
      <c r="T47" s="3231">
        <f>G47</f>
        <v>0</v>
      </c>
      <c r="U47" s="3231"/>
      <c r="V47" s="3231">
        <f>I47</f>
        <v>0</v>
      </c>
      <c r="W47" s="3231"/>
      <c r="X47" s="759"/>
      <c r="Y47" s="781"/>
      <c r="Z47" s="759"/>
      <c r="AA47" s="759"/>
      <c r="AB47" s="759"/>
      <c r="AC47" s="759"/>
    </row>
    <row r="48" spans="1:29" ht="15.75" thickBot="1">
      <c r="A48" s="486" t="s">
        <v>2570</v>
      </c>
      <c r="B48" s="487"/>
      <c r="C48" s="1416" t="e">
        <f>R49</f>
        <v>#DIV/0!</v>
      </c>
      <c r="D48" s="1417"/>
      <c r="E48" s="1418" t="e">
        <f>R48</f>
        <v>#DIV/0!</v>
      </c>
      <c r="F48" s="1418"/>
      <c r="G48" s="1416" t="e">
        <f>T48</f>
        <v>#DIV/0!</v>
      </c>
      <c r="H48" s="1417"/>
      <c r="I48" s="1418" t="e">
        <f>V48</f>
        <v>#DIV/0!</v>
      </c>
      <c r="J48" s="1417"/>
      <c r="K48" s="2627"/>
      <c r="L48" s="1146"/>
      <c r="M48" s="1147"/>
      <c r="N48" s="1147"/>
      <c r="O48" s="1147"/>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2571</v>
      </c>
      <c r="B49" s="493"/>
      <c r="C49" s="1419" t="e">
        <f>R49</f>
        <v>#DIV/0!</v>
      </c>
      <c r="D49" s="1420"/>
      <c r="E49" s="1420"/>
      <c r="F49" s="1420"/>
      <c r="G49" s="1420"/>
      <c r="H49" s="1420"/>
      <c r="I49" s="1420"/>
      <c r="J49" s="1420"/>
      <c r="K49" s="2628"/>
      <c r="L49" s="1146"/>
      <c r="M49" s="1147"/>
      <c r="N49" s="1147"/>
      <c r="O49" s="1147"/>
      <c r="P49" s="3271" t="str">
        <f>A49</f>
        <v>估价对象XX用房的比较价值（楼面单价，元/平方米）</v>
      </c>
      <c r="Q49" s="3272"/>
      <c r="R49" s="3273" t="e">
        <f>IF(F1="售价",ROUND(AVERAGE(R48:V48),0),ROUND(AVERAGE(R48:V48),1))</f>
        <v>#DIV/0!</v>
      </c>
      <c r="S49" s="3273"/>
      <c r="T49" s="3273"/>
      <c r="U49" s="3273"/>
      <c r="V49" s="3273"/>
      <c r="W49" s="327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31"/>
      <c r="Q57" s="504"/>
    </row>
    <row r="58" spans="1:29" s="508" customFormat="1" ht="15">
      <c r="A58" s="505" t="s">
        <v>2576</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2"/>
      <c r="C59" s="1577">
        <v>100</v>
      </c>
      <c r="D59" s="511"/>
      <c r="E59" s="512"/>
      <c r="F59" s="512"/>
      <c r="G59" s="512"/>
      <c r="H59" s="512"/>
      <c r="I59" s="512"/>
      <c r="J59" s="512"/>
      <c r="K59" s="512"/>
      <c r="L59" s="512"/>
      <c r="M59" s="513"/>
      <c r="N59" s="512"/>
      <c r="O59" s="513"/>
      <c r="P59" s="2633"/>
    </row>
    <row r="60" spans="1:29" s="117" customFormat="1" ht="15.75" thickBot="1">
      <c r="A60" s="515" t="s">
        <v>2577</v>
      </c>
      <c r="B60" s="516"/>
      <c r="C60" s="517"/>
      <c r="D60" s="518"/>
      <c r="E60" s="518"/>
      <c r="F60" s="518"/>
      <c r="G60" s="518"/>
      <c r="H60" s="518"/>
      <c r="I60" s="518"/>
      <c r="J60" s="518"/>
      <c r="K60" s="518"/>
      <c r="L60" s="518"/>
      <c r="M60" s="519"/>
      <c r="N60" s="518"/>
      <c r="O60" s="519"/>
      <c r="P60" s="2633"/>
      <c r="Q60" s="504"/>
    </row>
    <row r="61" spans="1:29" s="117" customFormat="1" ht="15">
      <c r="A61" s="521" t="s">
        <v>2578</v>
      </c>
      <c r="B61" s="510"/>
      <c r="C61" s="522" t="s">
        <v>2579</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2580</v>
      </c>
      <c r="B63" s="528" t="s">
        <v>2546</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2097</v>
      </c>
      <c r="C82" s="539" t="s">
        <v>2596</v>
      </c>
      <c r="D82" s="539" t="s">
        <v>2597</v>
      </c>
      <c r="E82" s="539" t="s">
        <v>2598</v>
      </c>
      <c r="F82" s="539" t="s">
        <v>2599</v>
      </c>
      <c r="G82" s="539" t="s">
        <v>2600</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2602</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2603</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2555</v>
      </c>
      <c r="B100" s="528" t="s">
        <v>2604</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2606</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2607</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2608</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2609</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2610</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2611</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2612</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2614</v>
      </c>
    </row>
    <row r="137" spans="1:17" ht="15">
      <c r="B137" s="2643" t="s">
        <v>2615</v>
      </c>
      <c r="C137" s="2644"/>
      <c r="D137" s="2644"/>
      <c r="E137" s="2644"/>
      <c r="F137" s="2644"/>
      <c r="G137" s="2645"/>
      <c r="H137" s="2646"/>
      <c r="I137" s="2647" t="s">
        <v>2616</v>
      </c>
      <c r="J137" s="2644"/>
      <c r="K137" s="2648"/>
    </row>
    <row r="138" spans="1:17" ht="15">
      <c r="B138" s="2649"/>
      <c r="C138" s="146" t="s">
        <v>2617</v>
      </c>
      <c r="D138" s="146" t="s">
        <v>2618</v>
      </c>
      <c r="E138" s="2650" t="s">
        <v>2619</v>
      </c>
      <c r="F138" s="2651" t="s">
        <v>2620</v>
      </c>
      <c r="G138" s="146" t="s">
        <v>2618</v>
      </c>
      <c r="H138" s="147" t="s">
        <v>2619</v>
      </c>
      <c r="I138" s="2652"/>
      <c r="J138" s="146" t="s">
        <v>2621</v>
      </c>
      <c r="K138" s="147" t="s">
        <v>2622</v>
      </c>
    </row>
    <row r="139" spans="1:17" ht="15">
      <c r="B139" s="1087">
        <v>6</v>
      </c>
      <c r="C139" s="1088">
        <v>96</v>
      </c>
      <c r="D139" s="2653" t="s">
        <v>2623</v>
      </c>
      <c r="E139" s="1089">
        <v>100</v>
      </c>
      <c r="F139" s="1090">
        <v>102.5</v>
      </c>
      <c r="G139" s="2653" t="s">
        <v>2623</v>
      </c>
      <c r="H139" s="1091">
        <v>105</v>
      </c>
      <c r="I139" s="2654" t="s">
        <v>2624</v>
      </c>
      <c r="J139" s="1088">
        <v>20</v>
      </c>
      <c r="K139" s="1092">
        <f>C145/(J139-2)</f>
        <v>4.0555555555555553E-3</v>
      </c>
    </row>
    <row r="140" spans="1:17" ht="15">
      <c r="B140" s="1093">
        <v>5</v>
      </c>
      <c r="C140" s="1094">
        <v>100</v>
      </c>
      <c r="D140" s="1094"/>
      <c r="E140" s="1095"/>
      <c r="F140" s="1096">
        <v>102</v>
      </c>
      <c r="G140" s="1094"/>
      <c r="H140" s="1097"/>
      <c r="I140" s="2655" t="s">
        <v>2625</v>
      </c>
      <c r="J140" s="315">
        <f>ROUNDUP((J139-1)/2,0)</f>
        <v>10</v>
      </c>
      <c r="K140" s="1098">
        <v>100</v>
      </c>
    </row>
    <row r="141" spans="1:17" ht="15">
      <c r="B141" s="1093">
        <v>4</v>
      </c>
      <c r="C141" s="1094">
        <v>102</v>
      </c>
      <c r="D141" s="1094"/>
      <c r="E141" s="1095"/>
      <c r="F141" s="1096">
        <v>101.5</v>
      </c>
      <c r="G141" s="1094"/>
      <c r="H141" s="1097"/>
      <c r="I141" s="2655" t="s">
        <v>2626</v>
      </c>
      <c r="J141" s="315">
        <v>1</v>
      </c>
      <c r="K141" s="1099">
        <f>ROUND(100+(J141-J140)*K139*100,1)</f>
        <v>96.4</v>
      </c>
    </row>
    <row r="142" spans="1:17" ht="15">
      <c r="B142" s="1093">
        <v>3</v>
      </c>
      <c r="C142" s="1094">
        <v>103</v>
      </c>
      <c r="D142" s="1094"/>
      <c r="E142" s="1095"/>
      <c r="F142" s="1096">
        <v>101</v>
      </c>
      <c r="G142" s="1094"/>
      <c r="H142" s="1097"/>
      <c r="I142" s="2655" t="s">
        <v>2627</v>
      </c>
      <c r="J142" s="315">
        <f>J139</f>
        <v>20</v>
      </c>
      <c r="K142" s="1100">
        <v>95</v>
      </c>
    </row>
    <row r="143" spans="1:17" ht="15">
      <c r="B143" s="1093">
        <v>2</v>
      </c>
      <c r="C143" s="1094">
        <v>100</v>
      </c>
      <c r="D143" s="1094"/>
      <c r="E143" s="1095"/>
      <c r="F143" s="1096">
        <v>100.5</v>
      </c>
      <c r="G143" s="1094"/>
      <c r="H143" s="1097"/>
      <c r="I143" s="2655" t="s">
        <v>2628</v>
      </c>
      <c r="J143" s="1094">
        <v>15</v>
      </c>
      <c r="K143" s="1099">
        <f>ROUND(100+(J143-J140)*K139*100,1)</f>
        <v>102</v>
      </c>
    </row>
    <row r="144" spans="1:17" ht="15">
      <c r="B144" s="1093">
        <v>1</v>
      </c>
      <c r="C144" s="1094">
        <v>98</v>
      </c>
      <c r="D144" s="2656" t="s">
        <v>2629</v>
      </c>
      <c r="E144" s="1095">
        <v>102</v>
      </c>
      <c r="F144" s="1101">
        <v>100</v>
      </c>
      <c r="G144" s="2656" t="s">
        <v>2629</v>
      </c>
      <c r="H144" s="1097">
        <v>105</v>
      </c>
      <c r="I144" s="2655" t="s">
        <v>2628</v>
      </c>
      <c r="J144" s="1094">
        <v>18</v>
      </c>
      <c r="K144" s="1099">
        <f>ROUND(100+(J144-J140)*K139*100,1)</f>
        <v>103.2</v>
      </c>
    </row>
    <row r="145" spans="2:11" ht="15.75" thickBot="1">
      <c r="B145" s="2657" t="s">
        <v>2630</v>
      </c>
      <c r="C145" s="1102">
        <f>ROUND(MAX(C139:C144)/MIN(C139:C144)-1,3)</f>
        <v>7.2999999999999995E-2</v>
      </c>
      <c r="D145" s="1103"/>
      <c r="E145" s="1103"/>
      <c r="F145" s="2658" t="s">
        <v>2631</v>
      </c>
      <c r="G145" s="2659"/>
      <c r="H145" s="2660"/>
      <c r="I145" s="2661" t="s">
        <v>2628</v>
      </c>
      <c r="J145" s="1104">
        <v>8</v>
      </c>
      <c r="K145" s="1105">
        <f>ROUND(100+(J145-J140)*K139*100,1)</f>
        <v>99.2</v>
      </c>
    </row>
    <row r="147" spans="2:11">
      <c r="B147" s="2642" t="s">
        <v>2632</v>
      </c>
    </row>
    <row r="148" spans="2:11">
      <c r="B148" s="2642"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2520</v>
      </c>
      <c r="B1" s="2587" t="s">
        <v>2634</v>
      </c>
      <c r="C1" s="1638" t="s">
        <v>2522</v>
      </c>
      <c r="D1" s="1625"/>
      <c r="E1" s="2662"/>
      <c r="F1" s="2589"/>
      <c r="G1" s="1635" t="s">
        <v>2635</v>
      </c>
      <c r="H1" s="1634"/>
      <c r="I1" s="1634"/>
      <c r="J1" s="1634"/>
      <c r="K1" s="1636"/>
      <c r="L1" s="1637"/>
      <c r="M1" s="1638"/>
      <c r="N1" s="1638"/>
      <c r="O1" s="1638"/>
      <c r="P1" s="2663"/>
      <c r="Q1" s="2664"/>
      <c r="R1" s="2664"/>
      <c r="S1" s="2664"/>
      <c r="T1" s="2664"/>
      <c r="U1" s="2664"/>
      <c r="V1" s="2664"/>
      <c r="W1" s="2664"/>
      <c r="X1" s="2664"/>
      <c r="Y1" s="2664"/>
      <c r="Z1" s="2664"/>
      <c r="AA1" s="2664"/>
      <c r="AB1" s="2664"/>
      <c r="AC1" s="2665"/>
    </row>
    <row r="2" spans="1:29" s="398" customFormat="1" ht="28.5" customHeight="1" thickTop="1">
      <c r="A2" s="1621" t="s">
        <v>2319</v>
      </c>
      <c r="B2" s="1421" t="e">
        <f ca="1">IF(C2="——",ROUND(C49*D3/10000,0),ROUND(C49*D3/10000,0)-D2)</f>
        <v>#DIV/0!</v>
      </c>
      <c r="C2" s="2591"/>
      <c r="D2" s="1368" t="e">
        <f ca="1">SUMIF(INDIRECT("'"&amp;F2&amp;"'"&amp;"!A:A"),"承租人权益价值",INDIRECT("'"&amp;F2&amp;"'"&amp;"!c:c"))</f>
        <v>#REF!</v>
      </c>
      <c r="E2" s="2592" t="s">
        <v>2320</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2321</v>
      </c>
      <c r="B3" s="609" t="e">
        <f ca="1">IF(C2="——",C49,ROUND(B2*10000/D3,0))</f>
        <v>#DIV/0!</v>
      </c>
      <c r="C3" s="400" t="s">
        <v>2636</v>
      </c>
      <c r="D3" s="399">
        <f>IF(D1="",'数据-汇总表'!E3,SUMIF('数据-汇总表'!$C19:$C33,D1,'数据-汇总表'!$E19:$E33))</f>
        <v>1266.6499999999999</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67" t="s">
        <v>2643</v>
      </c>
      <c r="Q4" s="3268"/>
      <c r="R4" s="3263" t="s">
        <v>2639</v>
      </c>
      <c r="S4" s="3264"/>
      <c r="T4" s="3263" t="s">
        <v>2640</v>
      </c>
      <c r="U4" s="3264"/>
      <c r="V4" s="3218" t="s">
        <v>2641</v>
      </c>
      <c r="W4" s="3218"/>
      <c r="X4" s="1817"/>
      <c r="Y4" s="3263" t="s">
        <v>2643</v>
      </c>
      <c r="Z4" s="3264"/>
      <c r="AA4" s="3262" t="s">
        <v>2639</v>
      </c>
      <c r="AB4" s="3218" t="s">
        <v>2640</v>
      </c>
      <c r="AC4" s="3262" t="s">
        <v>2641</v>
      </c>
    </row>
    <row r="5" spans="1:29" ht="15">
      <c r="A5" s="404"/>
      <c r="B5" s="405"/>
      <c r="C5" s="3266" t="s">
        <v>2534</v>
      </c>
      <c r="D5" s="3195"/>
      <c r="E5" s="3265" t="s">
        <v>2535</v>
      </c>
      <c r="F5" s="3193"/>
      <c r="G5" s="3266" t="s">
        <v>2536</v>
      </c>
      <c r="H5" s="3195"/>
      <c r="I5" s="3266" t="s">
        <v>2537</v>
      </c>
      <c r="J5" s="3195"/>
      <c r="K5" s="610"/>
      <c r="L5" s="1133"/>
      <c r="M5" s="1134"/>
      <c r="N5" s="1134"/>
      <c r="O5" s="1134"/>
      <c r="P5" s="3269"/>
      <c r="Q5" s="3212"/>
      <c r="R5" s="3190"/>
      <c r="S5" s="3191"/>
      <c r="T5" s="3190"/>
      <c r="U5" s="3191"/>
      <c r="V5" s="3218"/>
      <c r="W5" s="3218"/>
      <c r="X5" s="1817"/>
      <c r="Y5" s="3190"/>
      <c r="Z5" s="3191"/>
      <c r="AA5" s="3184"/>
      <c r="AB5" s="3218"/>
      <c r="AC5" s="3184"/>
    </row>
    <row r="6" spans="1:29" ht="15.75" thickBot="1">
      <c r="A6" s="406"/>
      <c r="B6" s="407"/>
      <c r="C6" s="3196" t="s">
        <v>2538</v>
      </c>
      <c r="D6" s="3197"/>
      <c r="E6" s="3199" t="s">
        <v>2538</v>
      </c>
      <c r="F6" s="3200"/>
      <c r="G6" s="3196" t="s">
        <v>2538</v>
      </c>
      <c r="H6" s="3197"/>
      <c r="I6" s="3196" t="s">
        <v>2538</v>
      </c>
      <c r="J6" s="3197"/>
      <c r="K6" s="610" t="s">
        <v>2539</v>
      </c>
      <c r="L6" s="1133"/>
      <c r="M6" s="1134"/>
      <c r="N6" s="1134"/>
      <c r="O6" s="1134"/>
      <c r="P6" s="3270"/>
      <c r="Q6" s="3214"/>
      <c r="R6" s="3190"/>
      <c r="S6" s="3191"/>
      <c r="T6" s="3215"/>
      <c r="U6" s="3216"/>
      <c r="V6" s="3218"/>
      <c r="W6" s="3218"/>
      <c r="X6" s="1817"/>
      <c r="Y6" s="3215"/>
      <c r="Z6" s="3216"/>
      <c r="AA6" s="3185"/>
      <c r="AB6" s="3218"/>
      <c r="AC6" s="3185"/>
    </row>
    <row r="7" spans="1:29" s="117" customFormat="1" ht="15.75" thickBot="1">
      <c r="A7" s="408" t="s">
        <v>2540</v>
      </c>
      <c r="B7" s="409"/>
      <c r="C7" s="410">
        <f>'数据-取费表'!B2</f>
        <v>43056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6" t="s">
        <v>2541</v>
      </c>
      <c r="Q7" s="3220"/>
      <c r="R7" s="770" t="s">
        <v>17</v>
      </c>
      <c r="S7" s="771">
        <f t="shared" ref="S7:S15" si="0">F7</f>
        <v>0</v>
      </c>
      <c r="T7" s="770" t="s">
        <v>17</v>
      </c>
      <c r="U7" s="771">
        <f t="shared" ref="U7:U15" si="1">H7</f>
        <v>0</v>
      </c>
      <c r="V7" s="770" t="s">
        <v>17</v>
      </c>
      <c r="W7" s="771">
        <f t="shared" ref="W7:W15" si="2">J7</f>
        <v>0</v>
      </c>
      <c r="X7" s="772"/>
      <c r="Y7" s="3186" t="s">
        <v>2541</v>
      </c>
      <c r="Z7" s="3187"/>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6" t="s">
        <v>2544</v>
      </c>
      <c r="Q8" s="3187"/>
      <c r="R8" s="770" t="s">
        <v>17</v>
      </c>
      <c r="S8" s="771">
        <f t="shared" si="0"/>
        <v>0</v>
      </c>
      <c r="T8" s="770" t="s">
        <v>17</v>
      </c>
      <c r="U8" s="771">
        <f t="shared" si="1"/>
        <v>0</v>
      </c>
      <c r="V8" s="770" t="s">
        <v>17</v>
      </c>
      <c r="W8" s="771">
        <f t="shared" si="2"/>
        <v>0</v>
      </c>
      <c r="X8" s="772"/>
      <c r="Y8" s="3186" t="s">
        <v>2544</v>
      </c>
      <c r="Z8" s="3187"/>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2547</v>
      </c>
      <c r="Q9" s="1799" t="str">
        <f t="shared" ref="Q9:Q15" si="6">B9</f>
        <v>用途</v>
      </c>
      <c r="R9" s="770" t="s">
        <v>17</v>
      </c>
      <c r="S9" s="771">
        <f t="shared" si="0"/>
        <v>100</v>
      </c>
      <c r="T9" s="770" t="s">
        <v>17</v>
      </c>
      <c r="U9" s="771">
        <f t="shared" si="1"/>
        <v>100</v>
      </c>
      <c r="V9" s="770" t="s">
        <v>17</v>
      </c>
      <c r="W9" s="771">
        <f t="shared" si="2"/>
        <v>100</v>
      </c>
      <c r="X9" s="772"/>
      <c r="Y9" s="306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9"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9"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9">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9">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9">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99.75">
      <c r="A15" s="440" t="s">
        <v>2551</v>
      </c>
      <c r="B15" s="69" t="s">
        <v>2645</v>
      </c>
      <c r="C15" s="2608" t="str">
        <f>估价对象房地状况!C4</f>
        <v>估价对象位于北京临空经济核心区，周边商业多以住宅底商为主，人流量一般，商业繁华度一般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1" t="s">
        <v>2552</v>
      </c>
      <c r="Q15" s="1814" t="str">
        <f t="shared" si="6"/>
        <v>商业繁华度</v>
      </c>
      <c r="R15" s="774" t="s">
        <v>17</v>
      </c>
      <c r="S15" s="775">
        <f t="shared" si="0"/>
        <v>100</v>
      </c>
      <c r="T15" s="774" t="s">
        <v>17</v>
      </c>
      <c r="U15" s="775">
        <f t="shared" si="1"/>
        <v>100</v>
      </c>
      <c r="V15" s="774" t="s">
        <v>17</v>
      </c>
      <c r="W15" s="775">
        <f t="shared" si="2"/>
        <v>100</v>
      </c>
      <c r="X15" s="1817"/>
      <c r="Y15" s="3223" t="s">
        <v>2552</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22"/>
      <c r="Q16" s="1814"/>
      <c r="R16" s="774"/>
      <c r="S16" s="775"/>
      <c r="T16" s="774"/>
      <c r="U16" s="775"/>
      <c r="V16" s="774"/>
      <c r="W16" s="775"/>
      <c r="X16" s="1817"/>
      <c r="Y16" s="3224"/>
      <c r="Z16" s="1818"/>
      <c r="AA16" s="1815">
        <v>1</v>
      </c>
      <c r="AB16" s="1815">
        <v>1</v>
      </c>
      <c r="AC16" s="1815">
        <v>1</v>
      </c>
    </row>
    <row r="17" spans="1:29" ht="185.25">
      <c r="A17" s="428"/>
      <c r="B17" s="451" t="s">
        <v>2096</v>
      </c>
      <c r="C17" s="261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2"/>
      <c r="Q17" s="1814" t="str">
        <f>B17</f>
        <v>交通便捷度</v>
      </c>
      <c r="R17" s="774" t="s">
        <v>17</v>
      </c>
      <c r="S17" s="775">
        <f>F17</f>
        <v>100</v>
      </c>
      <c r="T17" s="774" t="s">
        <v>17</v>
      </c>
      <c r="U17" s="775">
        <f>H17</f>
        <v>100</v>
      </c>
      <c r="V17" s="774" t="s">
        <v>17</v>
      </c>
      <c r="W17" s="775">
        <f>J17</f>
        <v>100</v>
      </c>
      <c r="X17" s="1817"/>
      <c r="Y17" s="3224"/>
      <c r="Z17" s="1818" t="str">
        <f>Q17</f>
        <v>交通便捷度</v>
      </c>
      <c r="AA17" s="1815">
        <f t="shared" si="3"/>
        <v>1</v>
      </c>
      <c r="AB17" s="1815">
        <f t="shared" si="4"/>
        <v>1</v>
      </c>
      <c r="AC17" s="1815">
        <f t="shared" si="5"/>
        <v>1</v>
      </c>
    </row>
    <row r="18" spans="1:29" ht="15">
      <c r="A18" s="428"/>
      <c r="B18" s="456"/>
      <c r="C18" s="2613"/>
      <c r="D18" s="450"/>
      <c r="E18" s="2615"/>
      <c r="F18" s="453"/>
      <c r="G18" s="2614"/>
      <c r="H18" s="448"/>
      <c r="I18" s="2615"/>
      <c r="J18" s="448"/>
      <c r="K18" s="615"/>
      <c r="L18" s="1143"/>
      <c r="M18" s="1134"/>
      <c r="N18" s="1134"/>
      <c r="O18" s="1134"/>
      <c r="P18" s="3222"/>
      <c r="Q18" s="1814"/>
      <c r="R18" s="774"/>
      <c r="S18" s="775"/>
      <c r="T18" s="774"/>
      <c r="U18" s="775"/>
      <c r="V18" s="774"/>
      <c r="W18" s="775"/>
      <c r="X18" s="1817"/>
      <c r="Y18" s="3224"/>
      <c r="Z18" s="1818"/>
      <c r="AA18" s="1815">
        <v>1</v>
      </c>
      <c r="AB18" s="1815">
        <v>1</v>
      </c>
      <c r="AC18" s="1815">
        <v>1</v>
      </c>
    </row>
    <row r="19" spans="1:29" ht="228">
      <c r="A19" s="428"/>
      <c r="B19" s="451" t="s">
        <v>2646</v>
      </c>
      <c r="C19" s="261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2"/>
      <c r="Q19" s="1814" t="str">
        <f>B19</f>
        <v>公共配套设施</v>
      </c>
      <c r="R19" s="774" t="s">
        <v>17</v>
      </c>
      <c r="S19" s="775">
        <f>F19</f>
        <v>100</v>
      </c>
      <c r="T19" s="774" t="s">
        <v>17</v>
      </c>
      <c r="U19" s="775">
        <f>H19</f>
        <v>100</v>
      </c>
      <c r="V19" s="774" t="s">
        <v>17</v>
      </c>
      <c r="W19" s="775">
        <f>J19</f>
        <v>100</v>
      </c>
      <c r="X19" s="1817"/>
      <c r="Y19" s="3224"/>
      <c r="Z19" s="1818" t="str">
        <f>Q19</f>
        <v>公共配套设施</v>
      </c>
      <c r="AA19" s="1815">
        <f t="shared" si="3"/>
        <v>1</v>
      </c>
      <c r="AB19" s="1815">
        <f t="shared" si="4"/>
        <v>1</v>
      </c>
      <c r="AC19" s="1815">
        <f t="shared" si="5"/>
        <v>1</v>
      </c>
    </row>
    <row r="20" spans="1:29" ht="15">
      <c r="A20" s="428"/>
      <c r="B20" s="456"/>
      <c r="C20" s="447"/>
      <c r="D20" s="448"/>
      <c r="E20" s="2610"/>
      <c r="F20" s="449"/>
      <c r="G20" s="2609"/>
      <c r="H20" s="448"/>
      <c r="I20" s="2610"/>
      <c r="J20" s="448"/>
      <c r="K20" s="615"/>
      <c r="L20" s="1143"/>
      <c r="M20" s="1134"/>
      <c r="N20" s="1134"/>
      <c r="O20" s="1134"/>
      <c r="P20" s="3222"/>
      <c r="Q20" s="1814"/>
      <c r="R20" s="774"/>
      <c r="S20" s="775"/>
      <c r="T20" s="774"/>
      <c r="U20" s="775"/>
      <c r="V20" s="774"/>
      <c r="W20" s="775"/>
      <c r="X20" s="1817"/>
      <c r="Y20" s="3224"/>
      <c r="Z20" s="1818"/>
      <c r="AA20" s="1815">
        <v>1</v>
      </c>
      <c r="AB20" s="1815">
        <v>1</v>
      </c>
      <c r="AC20" s="1815">
        <v>1</v>
      </c>
    </row>
    <row r="21" spans="1:29" ht="42.75">
      <c r="A21" s="428"/>
      <c r="B21" s="1387" t="s">
        <v>2647</v>
      </c>
      <c r="C21" s="2612"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2"/>
      <c r="Q21" s="1814" t="str">
        <f>B21</f>
        <v>基础设施水平</v>
      </c>
      <c r="R21" s="774" t="s">
        <v>17</v>
      </c>
      <c r="S21" s="775">
        <f>F21</f>
        <v>100</v>
      </c>
      <c r="T21" s="774" t="s">
        <v>17</v>
      </c>
      <c r="U21" s="775">
        <f>H21</f>
        <v>100</v>
      </c>
      <c r="V21" s="774" t="s">
        <v>17</v>
      </c>
      <c r="W21" s="775">
        <f>J21</f>
        <v>100</v>
      </c>
      <c r="X21" s="1817"/>
      <c r="Y21" s="3224"/>
      <c r="Z21" s="1818" t="str">
        <f>Q21</f>
        <v>基础设施水平</v>
      </c>
      <c r="AA21" s="1815">
        <f t="shared" ref="AA21" si="8">D21/F21</f>
        <v>1</v>
      </c>
      <c r="AB21" s="1815">
        <f t="shared" ref="AB21" si="9">D21/H21</f>
        <v>1</v>
      </c>
      <c r="AC21" s="1815">
        <f t="shared" ref="AC21" si="10">D21/J21</f>
        <v>1</v>
      </c>
    </row>
    <row r="22" spans="1:29" ht="15">
      <c r="A22" s="428"/>
      <c r="B22" s="1387"/>
      <c r="C22" s="2613"/>
      <c r="D22" s="448"/>
      <c r="E22" s="447"/>
      <c r="F22" s="449"/>
      <c r="G22" s="447"/>
      <c r="H22" s="448"/>
      <c r="I22" s="447"/>
      <c r="J22" s="448"/>
      <c r="K22" s="1386"/>
      <c r="L22" s="1143"/>
      <c r="M22" s="1134"/>
      <c r="N22" s="1134"/>
      <c r="O22" s="1134"/>
      <c r="P22" s="3222"/>
      <c r="Q22" s="1814"/>
      <c r="R22" s="774"/>
      <c r="S22" s="775"/>
      <c r="T22" s="774"/>
      <c r="U22" s="775"/>
      <c r="V22" s="774"/>
      <c r="W22" s="775"/>
      <c r="X22" s="1817"/>
      <c r="Y22" s="3224"/>
      <c r="Z22" s="1818"/>
      <c r="AA22" s="1815">
        <v>1</v>
      </c>
      <c r="AB22" s="1815">
        <v>1</v>
      </c>
      <c r="AC22" s="1815">
        <v>1</v>
      </c>
    </row>
    <row r="23" spans="1:29" ht="99.75">
      <c r="A23" s="428"/>
      <c r="B23" s="451" t="s">
        <v>2101</v>
      </c>
      <c r="C23" s="2669" t="str">
        <f>估价对象房地状况!C9</f>
        <v>估价对象2公里内有西湖园，自然环境一般，区域内有首都机场体育馆，人文环境一般。综合评价环境状况一般。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2"/>
      <c r="Q23" s="1814" t="str">
        <f>B23</f>
        <v>自然及人文环境</v>
      </c>
      <c r="R23" s="774" t="s">
        <v>17</v>
      </c>
      <c r="S23" s="775">
        <f>F23</f>
        <v>100</v>
      </c>
      <c r="T23" s="774" t="s">
        <v>17</v>
      </c>
      <c r="U23" s="775">
        <f>H23</f>
        <v>100</v>
      </c>
      <c r="V23" s="774" t="s">
        <v>17</v>
      </c>
      <c r="W23" s="775">
        <f>J23</f>
        <v>100</v>
      </c>
      <c r="X23" s="1817"/>
      <c r="Y23" s="3224"/>
      <c r="Z23" s="1818" t="str">
        <f>Q23</f>
        <v>自然及人文环境</v>
      </c>
      <c r="AA23" s="1815">
        <f t="shared" si="3"/>
        <v>1</v>
      </c>
      <c r="AB23" s="1815">
        <f t="shared" si="4"/>
        <v>1</v>
      </c>
      <c r="AC23" s="1815">
        <f t="shared" si="5"/>
        <v>1</v>
      </c>
    </row>
    <row r="24" spans="1:29" ht="15">
      <c r="A24" s="428"/>
      <c r="B24" s="456"/>
      <c r="C24" s="447"/>
      <c r="D24" s="448"/>
      <c r="E24" s="2610"/>
      <c r="F24" s="449"/>
      <c r="G24" s="2609"/>
      <c r="H24" s="448"/>
      <c r="I24" s="2610"/>
      <c r="J24" s="448"/>
      <c r="K24" s="615"/>
      <c r="L24" s="1143"/>
      <c r="M24" s="1134"/>
      <c r="N24" s="1134"/>
      <c r="O24" s="1134"/>
      <c r="P24" s="3222"/>
      <c r="Q24" s="1814"/>
      <c r="R24" s="774"/>
      <c r="S24" s="775"/>
      <c r="T24" s="774"/>
      <c r="U24" s="775"/>
      <c r="V24" s="774"/>
      <c r="W24" s="775"/>
      <c r="X24" s="1817"/>
      <c r="Y24" s="3224"/>
      <c r="Z24" s="1818"/>
      <c r="AA24" s="1815">
        <v>1</v>
      </c>
      <c r="AB24" s="1815">
        <v>1</v>
      </c>
      <c r="AC24" s="1815">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2"/>
      <c r="Q25" s="1814" t="str">
        <f t="shared" ref="Q25:Q46" si="11">B25</f>
        <v>临街状况</v>
      </c>
      <c r="R25" s="774" t="s">
        <v>17</v>
      </c>
      <c r="S25" s="775">
        <f>F25</f>
        <v>100</v>
      </c>
      <c r="T25" s="774" t="s">
        <v>17</v>
      </c>
      <c r="U25" s="775">
        <f>H25</f>
        <v>100</v>
      </c>
      <c r="V25" s="774" t="s">
        <v>17</v>
      </c>
      <c r="W25" s="775">
        <f>J25</f>
        <v>100</v>
      </c>
      <c r="X25" s="1817"/>
      <c r="Y25" s="3224"/>
      <c r="Z25" s="1818" t="str">
        <f>Q25</f>
        <v>临街状况</v>
      </c>
      <c r="AA25" s="1815">
        <f t="shared" si="3"/>
        <v>1</v>
      </c>
      <c r="AB25" s="1815">
        <f t="shared" si="4"/>
        <v>1</v>
      </c>
      <c r="AC25" s="1815">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2"/>
      <c r="Q26" s="1814" t="str">
        <f t="shared" si="11"/>
        <v>平面位置/可视性</v>
      </c>
      <c r="R26" s="774" t="s">
        <v>17</v>
      </c>
      <c r="S26" s="775">
        <f>F26</f>
        <v>100</v>
      </c>
      <c r="T26" s="774" t="s">
        <v>17</v>
      </c>
      <c r="U26" s="775">
        <f>H26</f>
        <v>100</v>
      </c>
      <c r="V26" s="774" t="s">
        <v>17</v>
      </c>
      <c r="W26" s="775">
        <f>J26</f>
        <v>100</v>
      </c>
      <c r="X26" s="1817"/>
      <c r="Y26" s="3224"/>
      <c r="Z26" s="1818" t="str">
        <f>Q26</f>
        <v>平面位置/可视性</v>
      </c>
      <c r="AA26" s="1815">
        <f t="shared" si="3"/>
        <v>1</v>
      </c>
      <c r="AB26" s="1815">
        <f t="shared" si="4"/>
        <v>1</v>
      </c>
      <c r="AC26" s="1815">
        <f t="shared" si="5"/>
        <v>1</v>
      </c>
    </row>
    <row r="27" spans="1:29" s="117" customFormat="1" ht="15">
      <c r="A27" s="431"/>
      <c r="B27" s="451" t="s">
        <v>2650</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22"/>
      <c r="Q27" s="1799" t="str">
        <f t="shared" si="11"/>
        <v>人流量</v>
      </c>
      <c r="R27" s="770" t="s">
        <v>17</v>
      </c>
      <c r="S27" s="771">
        <f>F27</f>
        <v>100</v>
      </c>
      <c r="T27" s="770" t="s">
        <v>17</v>
      </c>
      <c r="U27" s="771">
        <f>H27</f>
        <v>100</v>
      </c>
      <c r="V27" s="770" t="s">
        <v>17</v>
      </c>
      <c r="W27" s="771">
        <f>J27</f>
        <v>100</v>
      </c>
      <c r="X27" s="772"/>
      <c r="Y27" s="3224"/>
      <c r="Z27" s="55" t="str">
        <f>Q27</f>
        <v>人流量</v>
      </c>
      <c r="AA27" s="1815">
        <f>D27/F27</f>
        <v>1</v>
      </c>
      <c r="AB27" s="1815">
        <f>D27/H27</f>
        <v>1</v>
      </c>
      <c r="AC27" s="1815">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2"/>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24"/>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2"/>
      <c r="Q29" s="1814">
        <f t="shared" si="11"/>
        <v>111</v>
      </c>
      <c r="R29" s="774" t="s">
        <v>17</v>
      </c>
      <c r="S29" s="775">
        <f t="shared" si="12"/>
        <v>100</v>
      </c>
      <c r="T29" s="774" t="s">
        <v>17</v>
      </c>
      <c r="U29" s="775">
        <f t="shared" si="13"/>
        <v>100</v>
      </c>
      <c r="V29" s="774" t="s">
        <v>17</v>
      </c>
      <c r="W29" s="775">
        <f t="shared" si="14"/>
        <v>100</v>
      </c>
      <c r="X29" s="1817"/>
      <c r="Y29" s="3224"/>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2"/>
      <c r="Q30" s="1814">
        <f t="shared" si="11"/>
        <v>111</v>
      </c>
      <c r="R30" s="774" t="s">
        <v>17</v>
      </c>
      <c r="S30" s="775">
        <f t="shared" si="12"/>
        <v>100</v>
      </c>
      <c r="T30" s="774" t="s">
        <v>17</v>
      </c>
      <c r="U30" s="775">
        <f t="shared" si="13"/>
        <v>100</v>
      </c>
      <c r="V30" s="774" t="s">
        <v>17</v>
      </c>
      <c r="W30" s="775">
        <f t="shared" si="14"/>
        <v>100</v>
      </c>
      <c r="X30" s="1817"/>
      <c r="Y30" s="3224"/>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2"/>
      <c r="Q31" s="1814">
        <f t="shared" si="11"/>
        <v>111</v>
      </c>
      <c r="R31" s="774" t="s">
        <v>17</v>
      </c>
      <c r="S31" s="775">
        <f t="shared" si="12"/>
        <v>100</v>
      </c>
      <c r="T31" s="774" t="s">
        <v>17</v>
      </c>
      <c r="U31" s="775">
        <f t="shared" si="13"/>
        <v>100</v>
      </c>
      <c r="V31" s="774" t="s">
        <v>17</v>
      </c>
      <c r="W31" s="775">
        <f t="shared" si="14"/>
        <v>100</v>
      </c>
      <c r="X31" s="1817"/>
      <c r="Y31" s="3224"/>
      <c r="Z31" s="1818">
        <f t="shared" si="15"/>
        <v>111</v>
      </c>
      <c r="AA31" s="1815">
        <f t="shared" si="3"/>
        <v>1</v>
      </c>
      <c r="AB31" s="1815">
        <f t="shared" si="4"/>
        <v>1</v>
      </c>
      <c r="AC31" s="1815">
        <f t="shared" si="5"/>
        <v>1</v>
      </c>
    </row>
    <row r="32" spans="1:29" ht="15">
      <c r="A32" s="440" t="s">
        <v>2555</v>
      </c>
      <c r="B32" s="71" t="s">
        <v>2652</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25" t="s">
        <v>2557</v>
      </c>
      <c r="Q32" s="1814" t="str">
        <f t="shared" si="11"/>
        <v>商业类型</v>
      </c>
      <c r="R32" s="774" t="s">
        <v>17</v>
      </c>
      <c r="S32" s="775">
        <f t="shared" si="12"/>
        <v>100</v>
      </c>
      <c r="T32" s="774" t="s">
        <v>17</v>
      </c>
      <c r="U32" s="775">
        <f t="shared" si="13"/>
        <v>100</v>
      </c>
      <c r="V32" s="774" t="s">
        <v>17</v>
      </c>
      <c r="W32" s="775">
        <f t="shared" si="14"/>
        <v>100</v>
      </c>
      <c r="X32" s="1817"/>
      <c r="Y32" s="3228" t="s">
        <v>2557</v>
      </c>
      <c r="Z32" s="1818" t="str">
        <f t="shared" si="15"/>
        <v>商业类型</v>
      </c>
      <c r="AA32" s="1815">
        <f t="shared" si="3"/>
        <v>1</v>
      </c>
      <c r="AB32" s="1815">
        <f t="shared" si="4"/>
        <v>1</v>
      </c>
      <c r="AC32" s="1815">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6"/>
      <c r="Q33" s="776" t="str">
        <f t="shared" si="11"/>
        <v>项目建筑规模</v>
      </c>
      <c r="R33" s="777" t="s">
        <v>17</v>
      </c>
      <c r="S33" s="778" t="e">
        <f t="shared" si="12"/>
        <v>#N/A</v>
      </c>
      <c r="T33" s="777" t="s">
        <v>17</v>
      </c>
      <c r="U33" s="778" t="e">
        <f t="shared" si="13"/>
        <v>#N/A</v>
      </c>
      <c r="V33" s="777" t="s">
        <v>17</v>
      </c>
      <c r="W33" s="778" t="e">
        <f t="shared" si="14"/>
        <v>#N/A</v>
      </c>
      <c r="X33" s="779"/>
      <c r="Y33" s="3228"/>
      <c r="Z33" s="780" t="str">
        <f t="shared" si="15"/>
        <v>项目建筑规模</v>
      </c>
      <c r="AA33" s="1815" t="e">
        <f t="shared" si="3"/>
        <v>#N/A</v>
      </c>
      <c r="AB33" s="1815" t="e">
        <f t="shared" si="4"/>
        <v>#N/A</v>
      </c>
      <c r="AC33" s="1815" t="e">
        <f t="shared" si="5"/>
        <v>#N/A</v>
      </c>
    </row>
    <row r="34" spans="1:29" ht="15">
      <c r="A34" s="472"/>
      <c r="B34" s="422" t="s">
        <v>2559</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26"/>
      <c r="Q34" s="1814" t="str">
        <f t="shared" si="11"/>
        <v>建筑结构</v>
      </c>
      <c r="R34" s="774" t="s">
        <v>17</v>
      </c>
      <c r="S34" s="775">
        <f t="shared" si="12"/>
        <v>100</v>
      </c>
      <c r="T34" s="774" t="s">
        <v>17</v>
      </c>
      <c r="U34" s="775">
        <f t="shared" si="13"/>
        <v>100</v>
      </c>
      <c r="V34" s="774" t="s">
        <v>17</v>
      </c>
      <c r="W34" s="775">
        <f t="shared" si="14"/>
        <v>100</v>
      </c>
      <c r="X34" s="1817"/>
      <c r="Y34" s="3228"/>
      <c r="Z34" s="1818" t="str">
        <f t="shared" si="15"/>
        <v>建筑结构</v>
      </c>
      <c r="AA34" s="1815">
        <f t="shared" si="3"/>
        <v>1</v>
      </c>
      <c r="AB34" s="1815">
        <f t="shared" si="4"/>
        <v>1</v>
      </c>
      <c r="AC34" s="1815">
        <f t="shared" si="5"/>
        <v>1</v>
      </c>
    </row>
    <row r="35" spans="1:29" ht="15">
      <c r="A35" s="472"/>
      <c r="B35" s="422" t="s">
        <v>2653</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26"/>
      <c r="Q35" s="1814" t="str">
        <f t="shared" si="11"/>
        <v>公共部分装修</v>
      </c>
      <c r="R35" s="774" t="s">
        <v>17</v>
      </c>
      <c r="S35" s="775">
        <f t="shared" si="12"/>
        <v>100</v>
      </c>
      <c r="T35" s="774" t="s">
        <v>17</v>
      </c>
      <c r="U35" s="775">
        <f t="shared" si="13"/>
        <v>100</v>
      </c>
      <c r="V35" s="774" t="s">
        <v>17</v>
      </c>
      <c r="W35" s="775">
        <f t="shared" si="14"/>
        <v>100</v>
      </c>
      <c r="X35" s="1817"/>
      <c r="Y35" s="3228"/>
      <c r="Z35" s="1818" t="str">
        <f t="shared" si="15"/>
        <v>公共部分装修</v>
      </c>
      <c r="AA35" s="1815">
        <f t="shared" si="3"/>
        <v>1</v>
      </c>
      <c r="AB35" s="1815">
        <f t="shared" si="4"/>
        <v>1</v>
      </c>
      <c r="AC35" s="1815">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6"/>
      <c r="Q36" s="1814" t="str">
        <f t="shared" si="11"/>
        <v>成新度</v>
      </c>
      <c r="R36" s="774" t="s">
        <v>17</v>
      </c>
      <c r="S36" s="775" t="e">
        <f t="shared" si="12"/>
        <v>#N/A</v>
      </c>
      <c r="T36" s="774" t="s">
        <v>17</v>
      </c>
      <c r="U36" s="775" t="e">
        <f t="shared" si="13"/>
        <v>#N/A</v>
      </c>
      <c r="V36" s="774" t="s">
        <v>17</v>
      </c>
      <c r="W36" s="775" t="e">
        <f t="shared" si="14"/>
        <v>#N/A</v>
      </c>
      <c r="X36" s="1817"/>
      <c r="Y36" s="3228"/>
      <c r="Z36" s="1818" t="str">
        <f t="shared" si="15"/>
        <v>成新度</v>
      </c>
      <c r="AA36" s="1815" t="e">
        <f t="shared" si="3"/>
        <v>#N/A</v>
      </c>
      <c r="AB36" s="1815" t="e">
        <f t="shared" si="4"/>
        <v>#N/A</v>
      </c>
      <c r="AC36" s="1815" t="e">
        <f t="shared" si="5"/>
        <v>#N/A</v>
      </c>
    </row>
    <row r="37" spans="1:29" s="117" customFormat="1" ht="15">
      <c r="A37" s="473"/>
      <c r="B37" s="422" t="s">
        <v>2655</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26"/>
      <c r="Q37" s="1799" t="str">
        <f t="shared" si="11"/>
        <v>市政基础设施</v>
      </c>
      <c r="R37" s="770" t="s">
        <v>17</v>
      </c>
      <c r="S37" s="771">
        <f t="shared" si="12"/>
        <v>100</v>
      </c>
      <c r="T37" s="770" t="s">
        <v>17</v>
      </c>
      <c r="U37" s="771">
        <f t="shared" si="13"/>
        <v>100</v>
      </c>
      <c r="V37" s="770" t="s">
        <v>17</v>
      </c>
      <c r="W37" s="771">
        <f t="shared" si="14"/>
        <v>100</v>
      </c>
      <c r="X37" s="772"/>
      <c r="Y37" s="3228"/>
      <c r="Z37" s="55" t="str">
        <f t="shared" si="15"/>
        <v>市政基础设施</v>
      </c>
      <c r="AA37" s="773">
        <f t="shared" si="3"/>
        <v>1</v>
      </c>
      <c r="AB37" s="773">
        <f t="shared" si="4"/>
        <v>1</v>
      </c>
      <c r="AC37" s="773">
        <f t="shared" si="5"/>
        <v>1</v>
      </c>
    </row>
    <row r="38" spans="1:29" ht="15">
      <c r="A38" s="472"/>
      <c r="B38" s="422" t="s">
        <v>2656</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26" t="s">
        <v>2557</v>
      </c>
      <c r="Q38" s="1814" t="str">
        <f t="shared" si="11"/>
        <v>业态</v>
      </c>
      <c r="R38" s="774" t="s">
        <v>17</v>
      </c>
      <c r="S38" s="775">
        <f t="shared" si="12"/>
        <v>100</v>
      </c>
      <c r="T38" s="774" t="s">
        <v>17</v>
      </c>
      <c r="U38" s="775">
        <f t="shared" si="13"/>
        <v>100</v>
      </c>
      <c r="V38" s="774" t="s">
        <v>17</v>
      </c>
      <c r="W38" s="775">
        <f t="shared" si="14"/>
        <v>100</v>
      </c>
      <c r="X38" s="1817"/>
      <c r="Y38" s="3228" t="s">
        <v>2557</v>
      </c>
      <c r="Z38" s="1818" t="str">
        <f t="shared" si="15"/>
        <v>业态</v>
      </c>
      <c r="AA38" s="1815">
        <f t="shared" si="3"/>
        <v>1</v>
      </c>
      <c r="AB38" s="1815">
        <f t="shared" si="4"/>
        <v>1</v>
      </c>
      <c r="AC38" s="1815">
        <f t="shared" si="5"/>
        <v>1</v>
      </c>
    </row>
    <row r="39" spans="1:29" ht="15">
      <c r="A39" s="472"/>
      <c r="B39" s="422" t="s">
        <v>2657</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26"/>
      <c r="Q39" s="1814" t="str">
        <f t="shared" si="11"/>
        <v>层高</v>
      </c>
      <c r="R39" s="774" t="s">
        <v>17</v>
      </c>
      <c r="S39" s="775">
        <f t="shared" si="12"/>
        <v>100</v>
      </c>
      <c r="T39" s="774" t="s">
        <v>17</v>
      </c>
      <c r="U39" s="775">
        <f t="shared" si="13"/>
        <v>100</v>
      </c>
      <c r="V39" s="774" t="s">
        <v>17</v>
      </c>
      <c r="W39" s="775">
        <f t="shared" si="14"/>
        <v>100</v>
      </c>
      <c r="X39" s="1817"/>
      <c r="Y39" s="3228"/>
      <c r="Z39" s="1818" t="str">
        <f t="shared" si="15"/>
        <v>层高</v>
      </c>
      <c r="AA39" s="1815">
        <f t="shared" si="3"/>
        <v>1</v>
      </c>
      <c r="AB39" s="1815">
        <f t="shared" si="4"/>
        <v>1</v>
      </c>
      <c r="AC39" s="1815">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6"/>
      <c r="Q40" s="1814" t="str">
        <f t="shared" si="11"/>
        <v>单套建筑面积</v>
      </c>
      <c r="R40" s="774" t="s">
        <v>17</v>
      </c>
      <c r="S40" s="775">
        <f t="shared" si="12"/>
        <v>100</v>
      </c>
      <c r="T40" s="774" t="s">
        <v>17</v>
      </c>
      <c r="U40" s="775">
        <f t="shared" si="13"/>
        <v>100</v>
      </c>
      <c r="V40" s="774" t="s">
        <v>17</v>
      </c>
      <c r="W40" s="775">
        <f t="shared" si="14"/>
        <v>100</v>
      </c>
      <c r="X40" s="1817"/>
      <c r="Y40" s="3228"/>
      <c r="Z40" s="1818" t="str">
        <f t="shared" si="15"/>
        <v>单套建筑面积</v>
      </c>
      <c r="AA40" s="1815">
        <f t="shared" si="3"/>
        <v>1</v>
      </c>
      <c r="AB40" s="1815">
        <f t="shared" si="4"/>
        <v>1</v>
      </c>
      <c r="AC40" s="1815">
        <f t="shared" si="5"/>
        <v>1</v>
      </c>
    </row>
    <row r="41" spans="1:29" s="471" customFormat="1" ht="15">
      <c r="A41" s="468"/>
      <c r="B41" s="1816"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6"/>
      <c r="Q41" s="776" t="str">
        <f t="shared" si="11"/>
        <v>进深比</v>
      </c>
      <c r="R41" s="777" t="s">
        <v>17</v>
      </c>
      <c r="S41" s="778">
        <f t="shared" si="12"/>
        <v>100</v>
      </c>
      <c r="T41" s="777" t="s">
        <v>17</v>
      </c>
      <c r="U41" s="778">
        <f t="shared" si="13"/>
        <v>100</v>
      </c>
      <c r="V41" s="777" t="s">
        <v>17</v>
      </c>
      <c r="W41" s="778">
        <f t="shared" si="14"/>
        <v>100</v>
      </c>
      <c r="X41" s="779"/>
      <c r="Y41" s="3228"/>
      <c r="Z41" s="780" t="str">
        <f t="shared" si="15"/>
        <v>进深比</v>
      </c>
      <c r="AA41" s="1815">
        <f t="shared" si="3"/>
        <v>1</v>
      </c>
      <c r="AB41" s="1815">
        <f t="shared" si="4"/>
        <v>1</v>
      </c>
      <c r="AC41" s="1815">
        <f t="shared" si="5"/>
        <v>1</v>
      </c>
    </row>
    <row r="42" spans="1:29" ht="15">
      <c r="A42" s="472"/>
      <c r="B42" s="422" t="s">
        <v>2660</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26"/>
      <c r="Q42" s="1814" t="str">
        <f t="shared" si="11"/>
        <v>内部装修</v>
      </c>
      <c r="R42" s="774" t="s">
        <v>17</v>
      </c>
      <c r="S42" s="775">
        <f t="shared" si="12"/>
        <v>100</v>
      </c>
      <c r="T42" s="774" t="s">
        <v>17</v>
      </c>
      <c r="U42" s="775">
        <f t="shared" si="13"/>
        <v>100</v>
      </c>
      <c r="V42" s="774" t="s">
        <v>17</v>
      </c>
      <c r="W42" s="775">
        <f t="shared" si="14"/>
        <v>100</v>
      </c>
      <c r="X42" s="1817"/>
      <c r="Y42" s="3228"/>
      <c r="Z42" s="1818" t="str">
        <f t="shared" si="15"/>
        <v>内部装修</v>
      </c>
      <c r="AA42" s="1815">
        <f t="shared" si="3"/>
        <v>1</v>
      </c>
      <c r="AB42" s="1815">
        <f t="shared" si="4"/>
        <v>1</v>
      </c>
      <c r="AC42" s="1815">
        <f t="shared" si="5"/>
        <v>1</v>
      </c>
    </row>
    <row r="43" spans="1:29" ht="15">
      <c r="A43" s="472"/>
      <c r="B43" s="422" t="s">
        <v>2568</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26"/>
      <c r="Q43" s="1814" t="str">
        <f t="shared" si="11"/>
        <v>内部装修维护情况</v>
      </c>
      <c r="R43" s="774" t="s">
        <v>17</v>
      </c>
      <c r="S43" s="775">
        <f t="shared" si="12"/>
        <v>100</v>
      </c>
      <c r="T43" s="774" t="s">
        <v>17</v>
      </c>
      <c r="U43" s="775">
        <f t="shared" si="13"/>
        <v>100</v>
      </c>
      <c r="V43" s="774" t="s">
        <v>17</v>
      </c>
      <c r="W43" s="775">
        <f t="shared" si="14"/>
        <v>100</v>
      </c>
      <c r="X43" s="1817"/>
      <c r="Y43" s="3228"/>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6"/>
      <c r="Q44" s="1799">
        <f t="shared" si="11"/>
        <v>111</v>
      </c>
      <c r="R44" s="770" t="s">
        <v>17</v>
      </c>
      <c r="S44" s="771">
        <f t="shared" si="12"/>
        <v>100</v>
      </c>
      <c r="T44" s="770" t="s">
        <v>17</v>
      </c>
      <c r="U44" s="771">
        <f t="shared" si="13"/>
        <v>100</v>
      </c>
      <c r="V44" s="770" t="s">
        <v>17</v>
      </c>
      <c r="W44" s="771">
        <f t="shared" si="14"/>
        <v>100</v>
      </c>
      <c r="X44" s="772"/>
      <c r="Y44" s="322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6"/>
      <c r="Q45" s="1814">
        <f t="shared" si="11"/>
        <v>111</v>
      </c>
      <c r="R45" s="774" t="s">
        <v>17</v>
      </c>
      <c r="S45" s="775">
        <f t="shared" si="12"/>
        <v>100</v>
      </c>
      <c r="T45" s="774" t="s">
        <v>17</v>
      </c>
      <c r="U45" s="775">
        <f t="shared" si="13"/>
        <v>100</v>
      </c>
      <c r="V45" s="774" t="s">
        <v>17</v>
      </c>
      <c r="W45" s="775">
        <f t="shared" si="14"/>
        <v>100</v>
      </c>
      <c r="X45" s="1817"/>
      <c r="Y45" s="3228"/>
      <c r="Z45" s="1818">
        <f t="shared" si="15"/>
        <v>111</v>
      </c>
      <c r="AA45" s="1815">
        <f t="shared" si="3"/>
        <v>1</v>
      </c>
      <c r="AB45" s="1815">
        <f t="shared" si="4"/>
        <v>1</v>
      </c>
      <c r="AC45" s="1815">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7"/>
      <c r="Q46" s="1814">
        <f t="shared" si="11"/>
        <v>111</v>
      </c>
      <c r="R46" s="774" t="s">
        <v>17</v>
      </c>
      <c r="S46" s="775">
        <f t="shared" si="12"/>
        <v>100</v>
      </c>
      <c r="T46" s="774" t="s">
        <v>17</v>
      </c>
      <c r="U46" s="775">
        <f t="shared" si="13"/>
        <v>100</v>
      </c>
      <c r="V46" s="774" t="s">
        <v>17</v>
      </c>
      <c r="W46" s="775">
        <f t="shared" si="14"/>
        <v>100</v>
      </c>
      <c r="X46" s="1817"/>
      <c r="Y46" s="3229"/>
      <c r="Z46" s="1818">
        <f t="shared" si="15"/>
        <v>111</v>
      </c>
      <c r="AA46" s="1815">
        <f t="shared" si="3"/>
        <v>1</v>
      </c>
      <c r="AB46" s="1815">
        <f t="shared" si="4"/>
        <v>1</v>
      </c>
      <c r="AC46" s="1815">
        <f t="shared" si="5"/>
        <v>1</v>
      </c>
    </row>
    <row r="47" spans="1:29" ht="15">
      <c r="A47" s="479" t="s">
        <v>2569</v>
      </c>
      <c r="B47" s="480"/>
      <c r="C47" s="1410" t="s">
        <v>1</v>
      </c>
      <c r="D47" s="1411"/>
      <c r="E47" s="1412"/>
      <c r="F47" s="1413"/>
      <c r="G47" s="1414"/>
      <c r="H47" s="1415"/>
      <c r="I47" s="1412"/>
      <c r="J47" s="1415"/>
      <c r="K47" s="783"/>
      <c r="L47" s="1146"/>
      <c r="M47" s="1147"/>
      <c r="N47" s="1134"/>
      <c r="O47" s="1147"/>
      <c r="P47" s="3230" t="str">
        <f>A47</f>
        <v>成交单价（元/平方米）</v>
      </c>
      <c r="Q47" s="3230"/>
      <c r="R47" s="3218">
        <f>E47</f>
        <v>0</v>
      </c>
      <c r="S47" s="3218"/>
      <c r="T47" s="3218">
        <f>G47</f>
        <v>0</v>
      </c>
      <c r="U47" s="3218"/>
      <c r="V47" s="3218">
        <f>I47</f>
        <v>0</v>
      </c>
      <c r="W47" s="3218"/>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271" t="str">
        <f>A49</f>
        <v>估价对象XX用房的比较价值（楼面单价，元/平方米）</v>
      </c>
      <c r="Q49" s="3272"/>
      <c r="R49" s="3273" t="e">
        <f>IF(F1="售价",ROUND(AVERAGE(R48:V48),0),ROUND(AVERAGE(R48:V48),1))</f>
        <v>#DIV/0!</v>
      </c>
      <c r="S49" s="3273"/>
      <c r="T49" s="3273"/>
      <c r="U49" s="3273"/>
      <c r="V49" s="3273"/>
      <c r="W49" s="327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2540</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3"/>
    </row>
    <row r="60" spans="1:29" s="117" customFormat="1" ht="15.75" thickBot="1">
      <c r="A60" s="515" t="s">
        <v>2577</v>
      </c>
      <c r="B60" s="516"/>
      <c r="C60" s="517"/>
      <c r="D60" s="518"/>
      <c r="E60" s="518"/>
      <c r="F60" s="518"/>
      <c r="G60" s="518"/>
      <c r="H60" s="518"/>
      <c r="I60" s="518"/>
      <c r="J60" s="518"/>
      <c r="K60" s="518"/>
      <c r="L60" s="518"/>
      <c r="M60" s="519"/>
      <c r="N60" s="518"/>
      <c r="O60" s="519"/>
      <c r="P60" s="2633"/>
      <c r="Q60" s="504"/>
    </row>
    <row r="61" spans="1:29" s="117" customFormat="1" ht="15">
      <c r="A61" s="521" t="s">
        <v>2542</v>
      </c>
      <c r="B61" s="510"/>
      <c r="C61" s="522" t="s">
        <v>2644</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2580</v>
      </c>
      <c r="B63" s="528" t="s">
        <v>2546</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2672</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2555</v>
      </c>
      <c r="B100" s="528" t="s">
        <v>2673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2606</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2608</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2674</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2675</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2676</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2612</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2520</v>
      </c>
      <c r="B1" s="2674" t="s">
        <v>2694</v>
      </c>
      <c r="C1" s="1624" t="s">
        <v>2522</v>
      </c>
      <c r="D1" s="1625"/>
      <c r="E1" s="1634"/>
      <c r="F1" s="2589"/>
      <c r="G1" s="1635" t="s">
        <v>2635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2319</v>
      </c>
      <c r="B2" s="1421" t="e">
        <f ca="1">IF(C2="——",ROUND(C43*D3/10000,0),ROUND(C43*D3/10000,0)-D2)</f>
        <v>#DIV/0!</v>
      </c>
      <c r="C2" s="2591"/>
      <c r="D2" s="1127" t="e">
        <f ca="1">SUMIF(INDIRECT("'"&amp;F2&amp;"'"&amp;"!A:A"),"承租人权益价值",INDIRECT("'"&amp;F2&amp;"'"&amp;"!c:c"))</f>
        <v>#REF!</v>
      </c>
      <c r="E2" s="2592" t="s">
        <v>2320</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1266.6499999999999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67" t="s">
        <v>2643</v>
      </c>
      <c r="Q4" s="3268"/>
      <c r="R4" s="3263" t="s">
        <v>2639</v>
      </c>
      <c r="S4" s="3264"/>
      <c r="T4" s="3263" t="s">
        <v>2640</v>
      </c>
      <c r="U4" s="3264"/>
      <c r="V4" s="3218" t="s">
        <v>2641</v>
      </c>
      <c r="W4" s="3218"/>
      <c r="X4" s="1817"/>
      <c r="Y4" s="3263" t="s">
        <v>2643</v>
      </c>
      <c r="Z4" s="3264"/>
      <c r="AA4" s="3262" t="s">
        <v>2639</v>
      </c>
      <c r="AB4" s="3184" t="s">
        <v>2640</v>
      </c>
      <c r="AC4" s="3262" t="s">
        <v>2641</v>
      </c>
    </row>
    <row r="5" spans="1:29" ht="15">
      <c r="A5" s="404"/>
      <c r="B5" s="405"/>
      <c r="C5" s="3266" t="s">
        <v>2534</v>
      </c>
      <c r="D5" s="3195"/>
      <c r="E5" s="3265" t="s">
        <v>2535</v>
      </c>
      <c r="F5" s="3193"/>
      <c r="G5" s="3266" t="s">
        <v>2536</v>
      </c>
      <c r="H5" s="3195"/>
      <c r="I5" s="3266" t="s">
        <v>2537</v>
      </c>
      <c r="J5" s="3195"/>
      <c r="K5" s="610"/>
      <c r="L5" s="1133"/>
      <c r="M5" s="1134"/>
      <c r="N5" s="1134"/>
      <c r="O5" s="1134"/>
      <c r="P5" s="3269"/>
      <c r="Q5" s="3212"/>
      <c r="R5" s="3190"/>
      <c r="S5" s="3191"/>
      <c r="T5" s="3190"/>
      <c r="U5" s="3191"/>
      <c r="V5" s="3218"/>
      <c r="W5" s="3218"/>
      <c r="X5" s="1817"/>
      <c r="Y5" s="3190"/>
      <c r="Z5" s="3191"/>
      <c r="AA5" s="3184"/>
      <c r="AB5" s="3184"/>
      <c r="AC5" s="3184"/>
    </row>
    <row r="6" spans="1:29" ht="15.75" thickBot="1">
      <c r="A6" s="406"/>
      <c r="B6" s="407"/>
      <c r="C6" s="3196" t="s">
        <v>2538</v>
      </c>
      <c r="D6" s="3197"/>
      <c r="E6" s="3199" t="s">
        <v>2538</v>
      </c>
      <c r="F6" s="3200"/>
      <c r="G6" s="3196" t="s">
        <v>2538</v>
      </c>
      <c r="H6" s="3197"/>
      <c r="I6" s="3196" t="s">
        <v>2538</v>
      </c>
      <c r="J6" s="3197"/>
      <c r="K6" s="610" t="s">
        <v>2539</v>
      </c>
      <c r="L6" s="1133"/>
      <c r="M6" s="1134"/>
      <c r="N6" s="1134"/>
      <c r="O6" s="1134"/>
      <c r="P6" s="3270"/>
      <c r="Q6" s="3214"/>
      <c r="R6" s="3190"/>
      <c r="S6" s="3191"/>
      <c r="T6" s="3215"/>
      <c r="U6" s="3216"/>
      <c r="V6" s="3218"/>
      <c r="W6" s="3218"/>
      <c r="X6" s="1817"/>
      <c r="Y6" s="3215"/>
      <c r="Z6" s="3216"/>
      <c r="AA6" s="3185"/>
      <c r="AB6" s="3185"/>
      <c r="AC6" s="3185"/>
    </row>
    <row r="7" spans="1:29" s="117" customFormat="1" ht="15.75" thickBot="1">
      <c r="A7" s="408" t="s">
        <v>2540</v>
      </c>
      <c r="B7" s="409"/>
      <c r="C7" s="410">
        <f>'数据-取费表'!B2</f>
        <v>43056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6" t="s">
        <v>2541</v>
      </c>
      <c r="Q7" s="3220"/>
      <c r="R7" s="770" t="s">
        <v>17</v>
      </c>
      <c r="S7" s="771">
        <f t="shared" ref="S7:S15" si="0">F7</f>
        <v>0</v>
      </c>
      <c r="T7" s="770" t="s">
        <v>17</v>
      </c>
      <c r="U7" s="771">
        <f t="shared" ref="U7:U15" si="1">H7</f>
        <v>0</v>
      </c>
      <c r="V7" s="770" t="s">
        <v>17</v>
      </c>
      <c r="W7" s="771">
        <f t="shared" ref="W7:W15" si="2">J7</f>
        <v>0</v>
      </c>
      <c r="X7" s="772"/>
      <c r="Y7" s="3186" t="s">
        <v>2541</v>
      </c>
      <c r="Z7" s="3187"/>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6" t="s">
        <v>2544</v>
      </c>
      <c r="Q8" s="3187"/>
      <c r="R8" s="770" t="s">
        <v>17</v>
      </c>
      <c r="S8" s="771">
        <f t="shared" si="0"/>
        <v>0</v>
      </c>
      <c r="T8" s="770" t="s">
        <v>17</v>
      </c>
      <c r="U8" s="771">
        <f t="shared" si="1"/>
        <v>0</v>
      </c>
      <c r="V8" s="770" t="s">
        <v>17</v>
      </c>
      <c r="W8" s="771">
        <f t="shared" si="2"/>
        <v>0</v>
      </c>
      <c r="X8" s="772"/>
      <c r="Y8" s="3186" t="s">
        <v>2544</v>
      </c>
      <c r="Z8" s="3187"/>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0" t="s">
        <v>2547</v>
      </c>
      <c r="Q9" s="1799" t="str">
        <f t="shared" ref="Q9:Q15" si="6">B9</f>
        <v>用途</v>
      </c>
      <c r="R9" s="770" t="s">
        <v>17</v>
      </c>
      <c r="S9" s="771">
        <f t="shared" si="0"/>
        <v>100</v>
      </c>
      <c r="T9" s="770" t="s">
        <v>17</v>
      </c>
      <c r="U9" s="771">
        <f t="shared" si="1"/>
        <v>100</v>
      </c>
      <c r="V9" s="770" t="s">
        <v>17</v>
      </c>
      <c r="W9" s="771">
        <f t="shared" si="2"/>
        <v>100</v>
      </c>
      <c r="X9" s="772"/>
      <c r="Y9" s="306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0"/>
      <c r="Q10" s="1799"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0"/>
      <c r="Q11" s="1799"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30"/>
      <c r="Q12" s="1799">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30"/>
      <c r="Q13" s="1799">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30"/>
      <c r="Q14" s="1799">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57">
      <c r="A15" s="440" t="s">
        <v>2551</v>
      </c>
      <c r="B15" s="69" t="s">
        <v>2695</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3" t="s">
        <v>2552</v>
      </c>
      <c r="Q15" s="1814" t="str">
        <f t="shared" si="6"/>
        <v>产业集聚程度</v>
      </c>
      <c r="R15" s="774" t="s">
        <v>17</v>
      </c>
      <c r="S15" s="775">
        <f t="shared" si="0"/>
        <v>100</v>
      </c>
      <c r="T15" s="774" t="s">
        <v>17</v>
      </c>
      <c r="U15" s="775">
        <f t="shared" si="1"/>
        <v>100</v>
      </c>
      <c r="V15" s="774" t="s">
        <v>17</v>
      </c>
      <c r="W15" s="775">
        <f t="shared" si="2"/>
        <v>100</v>
      </c>
      <c r="X15" s="1817"/>
      <c r="Y15" s="3223" t="s">
        <v>2552</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224"/>
      <c r="Q16" s="1814"/>
      <c r="R16" s="774"/>
      <c r="S16" s="775"/>
      <c r="T16" s="774"/>
      <c r="U16" s="775"/>
      <c r="V16" s="774"/>
      <c r="W16" s="775"/>
      <c r="X16" s="1817"/>
      <c r="Y16" s="3224"/>
      <c r="Z16" s="1818"/>
      <c r="AA16" s="1815">
        <v>1</v>
      </c>
      <c r="AB16" s="1815">
        <v>1</v>
      </c>
      <c r="AC16" s="1815">
        <v>1</v>
      </c>
    </row>
    <row r="17" spans="1:29" ht="85.5">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4"/>
      <c r="Q17" s="1814" t="str">
        <f>B17</f>
        <v>交通便捷度</v>
      </c>
      <c r="R17" s="774" t="s">
        <v>17</v>
      </c>
      <c r="S17" s="775">
        <f>F17</f>
        <v>100</v>
      </c>
      <c r="T17" s="774" t="s">
        <v>17</v>
      </c>
      <c r="U17" s="775">
        <f>H17</f>
        <v>100</v>
      </c>
      <c r="V17" s="774" t="s">
        <v>17</v>
      </c>
      <c r="W17" s="775">
        <f>J17</f>
        <v>100</v>
      </c>
      <c r="X17" s="1817"/>
      <c r="Y17" s="3224"/>
      <c r="Z17" s="1818" t="str">
        <f>Q17</f>
        <v>交通便捷度</v>
      </c>
      <c r="AA17" s="1815">
        <f t="shared" si="3"/>
        <v>1</v>
      </c>
      <c r="AB17" s="1815">
        <f t="shared" si="4"/>
        <v>1</v>
      </c>
      <c r="AC17" s="1815">
        <f t="shared" si="5"/>
        <v>1</v>
      </c>
    </row>
    <row r="18" spans="1:29" ht="15">
      <c r="A18" s="428"/>
      <c r="B18" s="456"/>
      <c r="C18" s="2613"/>
      <c r="D18" s="450"/>
      <c r="E18" s="2615"/>
      <c r="F18" s="453"/>
      <c r="G18" s="2614"/>
      <c r="H18" s="448"/>
      <c r="I18" s="2615"/>
      <c r="J18" s="448"/>
      <c r="K18" s="615"/>
      <c r="L18" s="1143"/>
      <c r="M18" s="1134"/>
      <c r="N18" s="1134"/>
      <c r="O18" s="1142"/>
      <c r="P18" s="3224"/>
      <c r="Q18" s="1814"/>
      <c r="R18" s="774"/>
      <c r="S18" s="775"/>
      <c r="T18" s="774"/>
      <c r="U18" s="775"/>
      <c r="V18" s="774"/>
      <c r="W18" s="775"/>
      <c r="X18" s="1817"/>
      <c r="Y18" s="3224"/>
      <c r="Z18" s="1818"/>
      <c r="AA18" s="1815">
        <v>1</v>
      </c>
      <c r="AB18" s="1815">
        <v>1</v>
      </c>
      <c r="AC18" s="1815">
        <v>1</v>
      </c>
    </row>
    <row r="19" spans="1:29" ht="42.75">
      <c r="A19" s="428"/>
      <c r="B19" s="451" t="s">
        <v>2680</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4"/>
      <c r="Q19" s="1814" t="str">
        <f>B19</f>
        <v>公共配套设施</v>
      </c>
      <c r="R19" s="774" t="s">
        <v>17</v>
      </c>
      <c r="S19" s="775">
        <f>F19</f>
        <v>100</v>
      </c>
      <c r="T19" s="774" t="s">
        <v>17</v>
      </c>
      <c r="U19" s="775">
        <f>H19</f>
        <v>100</v>
      </c>
      <c r="V19" s="774" t="s">
        <v>17</v>
      </c>
      <c r="W19" s="775">
        <f>J19</f>
        <v>100</v>
      </c>
      <c r="X19" s="1817"/>
      <c r="Y19" s="3224"/>
      <c r="Z19" s="1818" t="str">
        <f>Q19</f>
        <v>公共配套设施</v>
      </c>
      <c r="AA19" s="1815">
        <f t="shared" si="3"/>
        <v>1</v>
      </c>
      <c r="AB19" s="1815">
        <f t="shared" si="4"/>
        <v>1</v>
      </c>
      <c r="AC19" s="1815">
        <f t="shared" si="5"/>
        <v>1</v>
      </c>
    </row>
    <row r="20" spans="1:29" ht="15">
      <c r="A20" s="428"/>
      <c r="B20" s="456"/>
      <c r="C20" s="447"/>
      <c r="D20" s="448"/>
      <c r="E20" s="2610"/>
      <c r="F20" s="449"/>
      <c r="G20" s="2609"/>
      <c r="H20" s="448"/>
      <c r="I20" s="2610"/>
      <c r="J20" s="448"/>
      <c r="K20" s="615"/>
      <c r="L20" s="1143"/>
      <c r="M20" s="1134"/>
      <c r="N20" s="1134"/>
      <c r="O20" s="1142"/>
      <c r="P20" s="3224"/>
      <c r="Q20" s="1814"/>
      <c r="R20" s="774"/>
      <c r="S20" s="775"/>
      <c r="T20" s="774"/>
      <c r="U20" s="775"/>
      <c r="V20" s="774"/>
      <c r="W20" s="775"/>
      <c r="X20" s="1817"/>
      <c r="Y20" s="3224"/>
      <c r="Z20" s="1818"/>
      <c r="AA20" s="1815">
        <v>1</v>
      </c>
      <c r="AB20" s="1815">
        <v>1</v>
      </c>
      <c r="AC20" s="1815">
        <v>1</v>
      </c>
    </row>
    <row r="21" spans="1:29" ht="28.5">
      <c r="A21" s="428"/>
      <c r="B21" s="1387" t="s">
        <v>2681</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4"/>
      <c r="Q21" s="1814" t="str">
        <f>B21</f>
        <v>基础设施水平</v>
      </c>
      <c r="R21" s="774" t="s">
        <v>17</v>
      </c>
      <c r="S21" s="775">
        <f>F21</f>
        <v>100</v>
      </c>
      <c r="T21" s="774" t="s">
        <v>17</v>
      </c>
      <c r="U21" s="775">
        <f>H21</f>
        <v>100</v>
      </c>
      <c r="V21" s="774" t="s">
        <v>17</v>
      </c>
      <c r="W21" s="775">
        <f>J21</f>
        <v>100</v>
      </c>
      <c r="X21" s="1817"/>
      <c r="Y21" s="3224"/>
      <c r="Z21" s="1818" t="str">
        <f>Q21</f>
        <v>基础设施水平</v>
      </c>
      <c r="AA21" s="1815">
        <f t="shared" ref="AA21" si="8">D21/F21</f>
        <v>1</v>
      </c>
      <c r="AB21" s="1815">
        <f t="shared" ref="AB21" si="9">D21/H21</f>
        <v>1</v>
      </c>
      <c r="AC21" s="1815">
        <f t="shared" ref="AC21" si="10">D21/J21</f>
        <v>1</v>
      </c>
    </row>
    <row r="22" spans="1:29" ht="15">
      <c r="A22" s="428"/>
      <c r="B22" s="1387"/>
      <c r="C22" s="2613"/>
      <c r="D22" s="448"/>
      <c r="E22" s="447"/>
      <c r="F22" s="449"/>
      <c r="G22" s="447"/>
      <c r="H22" s="448"/>
      <c r="I22" s="447"/>
      <c r="J22" s="448"/>
      <c r="K22" s="1386"/>
      <c r="L22" s="1143"/>
      <c r="M22" s="1134"/>
      <c r="N22" s="1134"/>
      <c r="O22" s="1142"/>
      <c r="P22" s="3224"/>
      <c r="Q22" s="1814"/>
      <c r="R22" s="774"/>
      <c r="S22" s="775"/>
      <c r="T22" s="774"/>
      <c r="U22" s="775"/>
      <c r="V22" s="774"/>
      <c r="W22" s="775"/>
      <c r="X22" s="1817"/>
      <c r="Y22" s="3224"/>
      <c r="Z22" s="1818"/>
      <c r="AA22" s="1815">
        <v>1</v>
      </c>
      <c r="AB22" s="1815">
        <v>1</v>
      </c>
      <c r="AC22" s="1815">
        <v>1</v>
      </c>
    </row>
    <row r="23" spans="1:29" ht="71.25">
      <c r="A23" s="428"/>
      <c r="B23" s="451" t="s">
        <v>2682</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4"/>
      <c r="Q23" s="1814" t="str">
        <f>B23</f>
        <v>环境质量</v>
      </c>
      <c r="R23" s="774" t="s">
        <v>17</v>
      </c>
      <c r="S23" s="775">
        <f>F23</f>
        <v>100</v>
      </c>
      <c r="T23" s="774" t="s">
        <v>17</v>
      </c>
      <c r="U23" s="775">
        <f>H23</f>
        <v>100</v>
      </c>
      <c r="V23" s="774" t="s">
        <v>17</v>
      </c>
      <c r="W23" s="775">
        <f>J23</f>
        <v>100</v>
      </c>
      <c r="X23" s="1817"/>
      <c r="Y23" s="3224"/>
      <c r="Z23" s="1818" t="str">
        <f>Q23</f>
        <v>环境质量</v>
      </c>
      <c r="AA23" s="1815">
        <f t="shared" si="3"/>
        <v>1</v>
      </c>
      <c r="AB23" s="1815">
        <f t="shared" si="4"/>
        <v>1</v>
      </c>
      <c r="AC23" s="1815">
        <f t="shared" si="5"/>
        <v>1</v>
      </c>
    </row>
    <row r="24" spans="1:29" ht="15">
      <c r="A24" s="428"/>
      <c r="B24" s="1387"/>
      <c r="C24" s="447"/>
      <c r="D24" s="448"/>
      <c r="E24" s="2610"/>
      <c r="F24" s="449"/>
      <c r="G24" s="2609"/>
      <c r="H24" s="448"/>
      <c r="I24" s="2610"/>
      <c r="J24" s="448"/>
      <c r="K24" s="615"/>
      <c r="L24" s="1143"/>
      <c r="M24" s="1134"/>
      <c r="N24" s="1134"/>
      <c r="O24" s="1142"/>
      <c r="P24" s="3224"/>
      <c r="Q24" s="1814"/>
      <c r="R24" s="774"/>
      <c r="S24" s="775"/>
      <c r="T24" s="774"/>
      <c r="U24" s="775"/>
      <c r="V24" s="774"/>
      <c r="W24" s="775"/>
      <c r="X24" s="1817"/>
      <c r="Y24" s="3224"/>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4"/>
      <c r="Q25" s="1814">
        <f>B25</f>
        <v>111</v>
      </c>
      <c r="R25" s="774" t="s">
        <v>17</v>
      </c>
      <c r="S25" s="775">
        <f>F25</f>
        <v>100</v>
      </c>
      <c r="T25" s="774" t="s">
        <v>17</v>
      </c>
      <c r="U25" s="775">
        <f>H25</f>
        <v>100</v>
      </c>
      <c r="V25" s="774" t="s">
        <v>17</v>
      </c>
      <c r="W25" s="775">
        <f>J25</f>
        <v>100</v>
      </c>
      <c r="X25" s="1817"/>
      <c r="Y25" s="3224"/>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4"/>
      <c r="Q26" s="1814">
        <f t="shared" ref="Q26:Q40" si="11">B26</f>
        <v>111</v>
      </c>
      <c r="R26" s="774" t="s">
        <v>17</v>
      </c>
      <c r="S26" s="775">
        <f>F26</f>
        <v>100</v>
      </c>
      <c r="T26" s="774" t="s">
        <v>17</v>
      </c>
      <c r="U26" s="775">
        <f>H26</f>
        <v>100</v>
      </c>
      <c r="V26" s="774" t="s">
        <v>17</v>
      </c>
      <c r="W26" s="775">
        <f>J26</f>
        <v>100</v>
      </c>
      <c r="X26" s="1817"/>
      <c r="Y26" s="3224"/>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4"/>
      <c r="Q27" s="1799">
        <f t="shared" si="11"/>
        <v>111</v>
      </c>
      <c r="R27" s="770" t="s">
        <v>17</v>
      </c>
      <c r="S27" s="771">
        <f>F27</f>
        <v>100</v>
      </c>
      <c r="T27" s="770" t="s">
        <v>17</v>
      </c>
      <c r="U27" s="771">
        <f>H27</f>
        <v>100</v>
      </c>
      <c r="V27" s="770" t="s">
        <v>17</v>
      </c>
      <c r="W27" s="771">
        <f>J27</f>
        <v>100</v>
      </c>
      <c r="X27" s="772"/>
      <c r="Y27" s="3224"/>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4"/>
      <c r="Q28" s="1814">
        <f t="shared" si="11"/>
        <v>111</v>
      </c>
      <c r="R28" s="774" t="s">
        <v>17</v>
      </c>
      <c r="S28" s="775">
        <f t="shared" ref="S28:S40" si="12">F28</f>
        <v>100</v>
      </c>
      <c r="T28" s="774" t="s">
        <v>17</v>
      </c>
      <c r="U28" s="775">
        <f t="shared" ref="U28:U40" si="13">H28</f>
        <v>100</v>
      </c>
      <c r="V28" s="774" t="s">
        <v>17</v>
      </c>
      <c r="W28" s="775">
        <f t="shared" ref="W28:W40" si="14">J28</f>
        <v>100</v>
      </c>
      <c r="X28" s="1817"/>
      <c r="Y28" s="3224"/>
      <c r="Z28" s="1818">
        <f t="shared" ref="Z28:Z40" si="15">Q28</f>
        <v>111</v>
      </c>
      <c r="AA28" s="1815">
        <f t="shared" si="3"/>
        <v>1</v>
      </c>
      <c r="AB28" s="1815">
        <f t="shared" si="4"/>
        <v>1</v>
      </c>
      <c r="AC28" s="1815">
        <f t="shared" si="5"/>
        <v>1</v>
      </c>
    </row>
    <row r="29" spans="1:29" ht="15">
      <c r="A29" s="466" t="s">
        <v>2555</v>
      </c>
      <c r="B29" s="71" t="s">
        <v>2685</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74" t="s">
        <v>2557</v>
      </c>
      <c r="Q29" s="1814" t="str">
        <f t="shared" si="11"/>
        <v>建筑类型</v>
      </c>
      <c r="R29" s="774" t="s">
        <v>17</v>
      </c>
      <c r="S29" s="775">
        <f t="shared" si="12"/>
        <v>100</v>
      </c>
      <c r="T29" s="774" t="s">
        <v>17</v>
      </c>
      <c r="U29" s="775">
        <f t="shared" si="13"/>
        <v>100</v>
      </c>
      <c r="V29" s="774" t="s">
        <v>17</v>
      </c>
      <c r="W29" s="775">
        <f t="shared" si="14"/>
        <v>100</v>
      </c>
      <c r="X29" s="1817"/>
      <c r="Y29" s="3228" t="s">
        <v>2557</v>
      </c>
      <c r="Z29" s="1818" t="str">
        <f t="shared" si="15"/>
        <v>建筑类型</v>
      </c>
      <c r="AA29" s="1815">
        <f t="shared" si="3"/>
        <v>1</v>
      </c>
      <c r="AB29" s="1815">
        <f t="shared" si="4"/>
        <v>1</v>
      </c>
      <c r="AC29" s="1815">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8"/>
      <c r="Q30" s="776" t="str">
        <f t="shared" si="11"/>
        <v>项目建筑规模</v>
      </c>
      <c r="R30" s="777" t="s">
        <v>17</v>
      </c>
      <c r="S30" s="778" t="e">
        <f t="shared" si="12"/>
        <v>#N/A</v>
      </c>
      <c r="T30" s="777" t="s">
        <v>17</v>
      </c>
      <c r="U30" s="778" t="e">
        <f t="shared" si="13"/>
        <v>#N/A</v>
      </c>
      <c r="V30" s="777" t="s">
        <v>17</v>
      </c>
      <c r="W30" s="778" t="e">
        <f t="shared" si="14"/>
        <v>#N/A</v>
      </c>
      <c r="X30" s="779"/>
      <c r="Y30" s="3228"/>
      <c r="Z30" s="780" t="str">
        <f t="shared" si="15"/>
        <v>项目建筑规模</v>
      </c>
      <c r="AA30" s="1815" t="e">
        <f t="shared" si="3"/>
        <v>#N/A</v>
      </c>
      <c r="AB30" s="1815" t="e">
        <f t="shared" si="4"/>
        <v>#N/A</v>
      </c>
      <c r="AC30" s="1815"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8"/>
      <c r="Q31" s="1814" t="str">
        <f t="shared" si="11"/>
        <v>建筑结构</v>
      </c>
      <c r="R31" s="774" t="s">
        <v>17</v>
      </c>
      <c r="S31" s="775">
        <f t="shared" si="12"/>
        <v>100</v>
      </c>
      <c r="T31" s="774" t="s">
        <v>17</v>
      </c>
      <c r="U31" s="775">
        <f t="shared" si="13"/>
        <v>100</v>
      </c>
      <c r="V31" s="774" t="s">
        <v>17</v>
      </c>
      <c r="W31" s="775">
        <f t="shared" si="14"/>
        <v>100</v>
      </c>
      <c r="X31" s="1817"/>
      <c r="Y31" s="3228"/>
      <c r="Z31" s="1818" t="str">
        <f t="shared" si="15"/>
        <v>建筑结构</v>
      </c>
      <c r="AA31" s="1815">
        <f t="shared" si="3"/>
        <v>1</v>
      </c>
      <c r="AB31" s="1815">
        <f t="shared" si="4"/>
        <v>1</v>
      </c>
      <c r="AC31" s="1815">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8"/>
      <c r="Q32" s="1814" t="str">
        <f t="shared" si="11"/>
        <v>公共部分装修</v>
      </c>
      <c r="R32" s="774" t="s">
        <v>17</v>
      </c>
      <c r="S32" s="775">
        <f t="shared" si="12"/>
        <v>100</v>
      </c>
      <c r="T32" s="774" t="s">
        <v>17</v>
      </c>
      <c r="U32" s="775">
        <f t="shared" si="13"/>
        <v>100</v>
      </c>
      <c r="V32" s="774" t="s">
        <v>17</v>
      </c>
      <c r="W32" s="775">
        <f t="shared" si="14"/>
        <v>100</v>
      </c>
      <c r="X32" s="1817"/>
      <c r="Y32" s="3228"/>
      <c r="Z32" s="1818" t="str">
        <f t="shared" si="15"/>
        <v>公共部分装修</v>
      </c>
      <c r="AA32" s="1815">
        <f t="shared" si="3"/>
        <v>1</v>
      </c>
      <c r="AB32" s="1815">
        <f t="shared" si="4"/>
        <v>1</v>
      </c>
      <c r="AC32" s="1815">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8"/>
      <c r="Q33" s="1814" t="str">
        <f t="shared" si="11"/>
        <v>成新度</v>
      </c>
      <c r="R33" s="774" t="s">
        <v>17</v>
      </c>
      <c r="S33" s="775" t="e">
        <f t="shared" si="12"/>
        <v>#N/A</v>
      </c>
      <c r="T33" s="774" t="s">
        <v>17</v>
      </c>
      <c r="U33" s="775" t="e">
        <f t="shared" si="13"/>
        <v>#N/A</v>
      </c>
      <c r="V33" s="774" t="s">
        <v>17</v>
      </c>
      <c r="W33" s="775" t="e">
        <f t="shared" si="14"/>
        <v>#N/A</v>
      </c>
      <c r="X33" s="1817"/>
      <c r="Y33" s="3228"/>
      <c r="Z33" s="1818" t="str">
        <f t="shared" si="15"/>
        <v>成新度</v>
      </c>
      <c r="AA33" s="1815" t="e">
        <f t="shared" si="3"/>
        <v>#N/A</v>
      </c>
      <c r="AB33" s="1815" t="e">
        <f t="shared" si="4"/>
        <v>#N/A</v>
      </c>
      <c r="AC33" s="1815"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8"/>
      <c r="Q34" s="1799" t="str">
        <f t="shared" si="11"/>
        <v>物业管理</v>
      </c>
      <c r="R34" s="770" t="s">
        <v>17</v>
      </c>
      <c r="S34" s="771">
        <f t="shared" si="12"/>
        <v>100</v>
      </c>
      <c r="T34" s="770" t="s">
        <v>17</v>
      </c>
      <c r="U34" s="771">
        <f t="shared" si="13"/>
        <v>100</v>
      </c>
      <c r="V34" s="770" t="s">
        <v>17</v>
      </c>
      <c r="W34" s="771">
        <f t="shared" si="14"/>
        <v>100</v>
      </c>
      <c r="X34" s="772"/>
      <c r="Y34" s="3228"/>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8" t="s">
        <v>2557</v>
      </c>
      <c r="Q35" s="1814" t="str">
        <f t="shared" si="11"/>
        <v>市政基础设施</v>
      </c>
      <c r="R35" s="774" t="s">
        <v>17</v>
      </c>
      <c r="S35" s="775">
        <f t="shared" si="12"/>
        <v>100</v>
      </c>
      <c r="T35" s="774" t="s">
        <v>17</v>
      </c>
      <c r="U35" s="775">
        <f t="shared" si="13"/>
        <v>100</v>
      </c>
      <c r="V35" s="774" t="s">
        <v>17</v>
      </c>
      <c r="W35" s="775">
        <f t="shared" si="14"/>
        <v>100</v>
      </c>
      <c r="X35" s="1817"/>
      <c r="Y35" s="3228" t="s">
        <v>2557</v>
      </c>
      <c r="Z35" s="1818" t="str">
        <f t="shared" si="15"/>
        <v>市政基础设施</v>
      </c>
      <c r="AA35" s="1815">
        <f t="shared" si="3"/>
        <v>1</v>
      </c>
      <c r="AB35" s="1815">
        <f t="shared" si="4"/>
        <v>1</v>
      </c>
      <c r="AC35" s="1815">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8"/>
      <c r="Q36" s="1814" t="str">
        <f t="shared" si="11"/>
        <v>内部装修</v>
      </c>
      <c r="R36" s="774" t="s">
        <v>17</v>
      </c>
      <c r="S36" s="775">
        <f t="shared" si="12"/>
        <v>100</v>
      </c>
      <c r="T36" s="774" t="s">
        <v>17</v>
      </c>
      <c r="U36" s="775">
        <f t="shared" si="13"/>
        <v>100</v>
      </c>
      <c r="V36" s="774" t="s">
        <v>17</v>
      </c>
      <c r="W36" s="775">
        <f t="shared" si="14"/>
        <v>100</v>
      </c>
      <c r="X36" s="1817"/>
      <c r="Y36" s="3228"/>
      <c r="Z36" s="1818" t="str">
        <f t="shared" si="15"/>
        <v>内部装修</v>
      </c>
      <c r="AA36" s="1815">
        <f t="shared" si="3"/>
        <v>1</v>
      </c>
      <c r="AB36" s="1815">
        <f t="shared" si="4"/>
        <v>1</v>
      </c>
      <c r="AC36" s="1815">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8"/>
      <c r="Q37" s="1814" t="str">
        <f t="shared" si="11"/>
        <v>内部装修状况</v>
      </c>
      <c r="R37" s="774" t="s">
        <v>17</v>
      </c>
      <c r="S37" s="775">
        <f t="shared" si="12"/>
        <v>100</v>
      </c>
      <c r="T37" s="774" t="s">
        <v>17</v>
      </c>
      <c r="U37" s="775">
        <f t="shared" si="13"/>
        <v>100</v>
      </c>
      <c r="V37" s="774" t="s">
        <v>17</v>
      </c>
      <c r="W37" s="775">
        <f t="shared" si="14"/>
        <v>100</v>
      </c>
      <c r="X37" s="1817"/>
      <c r="Y37" s="3228"/>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8"/>
      <c r="Q38" s="776">
        <f t="shared" si="11"/>
        <v>111</v>
      </c>
      <c r="R38" s="777" t="s">
        <v>17</v>
      </c>
      <c r="S38" s="778">
        <f t="shared" si="12"/>
        <v>100</v>
      </c>
      <c r="T38" s="777" t="s">
        <v>17</v>
      </c>
      <c r="U38" s="778">
        <f t="shared" si="13"/>
        <v>100</v>
      </c>
      <c r="V38" s="777" t="s">
        <v>17</v>
      </c>
      <c r="W38" s="778">
        <f t="shared" si="14"/>
        <v>100</v>
      </c>
      <c r="X38" s="779"/>
      <c r="Y38" s="3228"/>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8"/>
      <c r="Q39" s="1814">
        <f t="shared" si="11"/>
        <v>111</v>
      </c>
      <c r="R39" s="774" t="s">
        <v>17</v>
      </c>
      <c r="S39" s="775">
        <f t="shared" si="12"/>
        <v>100</v>
      </c>
      <c r="T39" s="774" t="s">
        <v>17</v>
      </c>
      <c r="U39" s="775">
        <f t="shared" si="13"/>
        <v>100</v>
      </c>
      <c r="V39" s="774" t="s">
        <v>17</v>
      </c>
      <c r="W39" s="775">
        <f t="shared" si="14"/>
        <v>100</v>
      </c>
      <c r="X39" s="1817"/>
      <c r="Y39" s="3228"/>
      <c r="Z39" s="1818">
        <f t="shared" si="15"/>
        <v>111</v>
      </c>
      <c r="AA39" s="1815">
        <f t="shared" si="3"/>
        <v>1</v>
      </c>
      <c r="AB39" s="1815">
        <f t="shared" si="4"/>
        <v>1</v>
      </c>
      <c r="AC39" s="1815">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9"/>
      <c r="Q40" s="1814">
        <f t="shared" si="11"/>
        <v>111</v>
      </c>
      <c r="R40" s="774" t="s">
        <v>17</v>
      </c>
      <c r="S40" s="775">
        <f t="shared" si="12"/>
        <v>100</v>
      </c>
      <c r="T40" s="774" t="s">
        <v>17</v>
      </c>
      <c r="U40" s="775">
        <f t="shared" si="13"/>
        <v>100</v>
      </c>
      <c r="V40" s="774" t="s">
        <v>17</v>
      </c>
      <c r="W40" s="775">
        <f t="shared" si="14"/>
        <v>100</v>
      </c>
      <c r="X40" s="1817"/>
      <c r="Y40" s="3229"/>
      <c r="Z40" s="1818">
        <f t="shared" si="15"/>
        <v>111</v>
      </c>
      <c r="AA40" s="1815">
        <f t="shared" si="3"/>
        <v>1</v>
      </c>
      <c r="AB40" s="1815">
        <f t="shared" si="4"/>
        <v>1</v>
      </c>
      <c r="AC40" s="1815">
        <f t="shared" si="5"/>
        <v>1</v>
      </c>
    </row>
    <row r="41" spans="1:29" ht="15">
      <c r="A41" s="479" t="s">
        <v>2569</v>
      </c>
      <c r="B41" s="480"/>
      <c r="C41" s="1410" t="s">
        <v>1</v>
      </c>
      <c r="D41" s="1411"/>
      <c r="E41" s="1412"/>
      <c r="F41" s="1413"/>
      <c r="G41" s="1414"/>
      <c r="H41" s="1415"/>
      <c r="I41" s="1412"/>
      <c r="J41" s="1415"/>
      <c r="K41" s="783"/>
      <c r="L41" s="1146"/>
      <c r="M41" s="1147"/>
      <c r="N41" s="1134"/>
      <c r="O41" s="1147"/>
      <c r="P41" s="3230" t="str">
        <f>A41</f>
        <v>成交单价（元/平方米）</v>
      </c>
      <c r="Q41" s="3230"/>
      <c r="R41" s="3231">
        <f>E41</f>
        <v>0</v>
      </c>
      <c r="S41" s="3231"/>
      <c r="T41" s="3231">
        <f>G41</f>
        <v>0</v>
      </c>
      <c r="U41" s="3231"/>
      <c r="V41" s="3231">
        <f>I41</f>
        <v>0</v>
      </c>
      <c r="W41" s="3231"/>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230" t="str">
        <f>A42</f>
        <v>比较价值（元/平方米）</v>
      </c>
      <c r="Q42" s="3230"/>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271" t="str">
        <f>A43</f>
        <v>估价对象XX用房的比较价值（楼面单价，元/平方米）</v>
      </c>
      <c r="Q43" s="3272"/>
      <c r="R43" s="3273" t="e">
        <f>IF(F1="售价",ROUND(AVERAGE(R42:V42),0),ROUND(AVERAGE(R42:V42),1))</f>
        <v>#DIV/0!</v>
      </c>
      <c r="S43" s="3273"/>
      <c r="T43" s="3273"/>
      <c r="U43" s="3273"/>
      <c r="V43" s="3273"/>
      <c r="W43" s="327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v>
      </c>
    </row>
    <row r="4" spans="1:1" ht="36">
      <c r="A4" s="1952" t="str">
        <f>"受贵公司委托，我公司对"&amp;项目基本情况!S1&amp;"进行了预评估。"</f>
        <v>受贵公司委托，我公司对北京市顺义区天竺地区小天竺路一号院1号楼101-112号办公用房房地产抵押价值进行了预评估。</v>
      </c>
    </row>
    <row r="5" spans="1:1" ht="18.75">
      <c r="A5" s="1953" t="s">
        <v>1614</v>
      </c>
    </row>
    <row r="6" spans="1:1" ht="18.75">
      <c r="A6" s="1954" t="s">
        <v>1615</v>
      </c>
    </row>
    <row r="7" spans="1:1" ht="54">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估价对象为北京市顺义区天竺地区小天竺路一号院1号楼101-112号办公用房房地产，为所有。根据《国有土地使用证》[]，估价对象（分摊）出让国有建设用地使用权面积为0平方米，建筑面积为1266.65平方米。</v>
      </c>
    </row>
    <row r="8" spans="1:1" ht="57.75">
      <c r="A8" s="1955" t="s">
        <v>1616</v>
      </c>
    </row>
    <row r="9" spans="1:1" ht="18.75">
      <c r="A9" s="1954" t="s">
        <v>1617</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57" t="s">
        <v>1620</v>
      </c>
    </row>
    <row r="15" spans="1:1" ht="18">
      <c r="A15" s="1958" t="str">
        <f>TEXT(项目基本情况!D3,"yyyy年m月d日;;")&amp;IF(项目基本情况!D3=项目基本情况!B3,"（评估专业人员实地查勘之日）","")</f>
        <v>2017年11月17日（评估专业人员实地查勘之日）</v>
      </c>
    </row>
    <row r="16" spans="1:1" ht="18.75">
      <c r="A16" s="1957" t="s">
        <v>1621</v>
      </c>
    </row>
    <row r="17" spans="1:1" ht="75">
      <c r="A17" s="1952" t="s">
        <v>1622</v>
      </c>
    </row>
    <row r="18" spans="1:1" ht="54">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17日，估价对象规划用途为，土地取得方式为出让，出让国有建设用地使用权剩余土地使用年限为，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7" t="s">
        <v>1611</v>
      </c>
    </row>
    <row r="24" spans="1:1" ht="18">
      <c r="A24" s="1959" t="str">
        <f>"本次评估采用的主估价方法为"&amp;结果表!K4&amp;"和"&amp;结果表!L4&amp;"。"</f>
        <v>本次评估采用的主估价方法为比较法和收益法。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2699</v>
      </c>
      <c r="B1" s="1623"/>
      <c r="C1" s="1624" t="s">
        <v>2522</v>
      </c>
      <c r="D1" s="1625"/>
      <c r="E1" s="1626"/>
      <c r="F1" s="2589"/>
      <c r="G1" s="1627" t="s">
        <v>2635</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2319</v>
      </c>
      <c r="B2" s="1421" t="e">
        <f ca="1">IF(C2="——",IF(B37="元/平方米",ROUND(C39*D3/10000,0),ROUND(F3*C39/10000,0)),IF(B37="元/平方米",ROUND(C39*D3/10000,0),ROUND(F3*C39/10000,0))-D2)</f>
        <v>#DIV/0!</v>
      </c>
      <c r="C2" s="2591"/>
      <c r="D2" s="1127" t="e">
        <f ca="1">SUMIF(INDIRECT("'"&amp;F2&amp;"'"&amp;"!A:A"),"承租人权益价值",INDIRECT("'"&amp;F2&amp;"'"&amp;"!c:c"))</f>
        <v>#REF!</v>
      </c>
      <c r="E2" s="2592" t="s">
        <v>2320</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67" t="s">
        <v>2643</v>
      </c>
      <c r="Q4" s="3268"/>
      <c r="R4" s="3263" t="s">
        <v>2639</v>
      </c>
      <c r="S4" s="3264"/>
      <c r="T4" s="3263" t="s">
        <v>2640</v>
      </c>
      <c r="U4" s="3264"/>
      <c r="V4" s="3218" t="s">
        <v>2641</v>
      </c>
      <c r="W4" s="3218"/>
      <c r="X4" s="1817"/>
      <c r="Y4" s="3263" t="s">
        <v>2643</v>
      </c>
      <c r="Z4" s="3264"/>
      <c r="AA4" s="3262" t="s">
        <v>2639</v>
      </c>
      <c r="AB4" s="3184" t="s">
        <v>2640</v>
      </c>
      <c r="AC4" s="3262" t="s">
        <v>2641</v>
      </c>
    </row>
    <row r="5" spans="1:29" ht="15">
      <c r="A5" s="404"/>
      <c r="B5" s="405"/>
      <c r="C5" s="3266" t="s">
        <v>2534</v>
      </c>
      <c r="D5" s="3195"/>
      <c r="E5" s="3265" t="s">
        <v>2535</v>
      </c>
      <c r="F5" s="3193"/>
      <c r="G5" s="3266" t="s">
        <v>2536</v>
      </c>
      <c r="H5" s="3195"/>
      <c r="I5" s="3266" t="s">
        <v>2537</v>
      </c>
      <c r="J5" s="3195"/>
      <c r="K5" s="610"/>
      <c r="L5" s="1133"/>
      <c r="M5" s="1134"/>
      <c r="N5" s="1134"/>
      <c r="O5" s="1134"/>
      <c r="P5" s="3269"/>
      <c r="Q5" s="3212"/>
      <c r="R5" s="3190"/>
      <c r="S5" s="3191"/>
      <c r="T5" s="3190"/>
      <c r="U5" s="3191"/>
      <c r="V5" s="3218"/>
      <c r="W5" s="3218"/>
      <c r="X5" s="1817"/>
      <c r="Y5" s="3190"/>
      <c r="Z5" s="3191"/>
      <c r="AA5" s="3184"/>
      <c r="AB5" s="3184"/>
      <c r="AC5" s="3184"/>
    </row>
    <row r="6" spans="1:29" ht="15.75" thickBot="1">
      <c r="A6" s="406"/>
      <c r="B6" s="407"/>
      <c r="C6" s="3196" t="s">
        <v>2538</v>
      </c>
      <c r="D6" s="3197"/>
      <c r="E6" s="3199" t="s">
        <v>2538</v>
      </c>
      <c r="F6" s="3200"/>
      <c r="G6" s="3196" t="s">
        <v>2538</v>
      </c>
      <c r="H6" s="3197"/>
      <c r="I6" s="3196" t="s">
        <v>2538</v>
      </c>
      <c r="J6" s="3197"/>
      <c r="K6" s="610" t="s">
        <v>2539</v>
      </c>
      <c r="L6" s="1133"/>
      <c r="M6" s="1134"/>
      <c r="N6" s="1134"/>
      <c r="O6" s="1134"/>
      <c r="P6" s="3270"/>
      <c r="Q6" s="3214"/>
      <c r="R6" s="3190"/>
      <c r="S6" s="3191"/>
      <c r="T6" s="3215"/>
      <c r="U6" s="3216"/>
      <c r="V6" s="3218"/>
      <c r="W6" s="3218"/>
      <c r="X6" s="1817"/>
      <c r="Y6" s="3215"/>
      <c r="Z6" s="3216"/>
      <c r="AA6" s="3185"/>
      <c r="AB6" s="3185"/>
      <c r="AC6" s="3185"/>
    </row>
    <row r="7" spans="1:29" s="117" customFormat="1" ht="15.75" thickBot="1">
      <c r="A7" s="408" t="s">
        <v>2540</v>
      </c>
      <c r="B7" s="409"/>
      <c r="C7" s="410">
        <f>'数据-取费表'!B2</f>
        <v>43056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6" t="s">
        <v>2541</v>
      </c>
      <c r="Q7" s="3220"/>
      <c r="R7" s="770" t="s">
        <v>17</v>
      </c>
      <c r="S7" s="771">
        <f t="shared" ref="S7:S14" si="0">F7</f>
        <v>0</v>
      </c>
      <c r="T7" s="770" t="s">
        <v>17</v>
      </c>
      <c r="U7" s="771">
        <f t="shared" ref="U7:U14" si="1">H7</f>
        <v>0</v>
      </c>
      <c r="V7" s="770" t="s">
        <v>17</v>
      </c>
      <c r="W7" s="771">
        <f t="shared" ref="W7:W14" si="2">J7</f>
        <v>0</v>
      </c>
      <c r="X7" s="772"/>
      <c r="Y7" s="3186" t="s">
        <v>2541</v>
      </c>
      <c r="Z7" s="3187"/>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6" t="s">
        <v>2544</v>
      </c>
      <c r="Q8" s="3187"/>
      <c r="R8" s="770" t="s">
        <v>17</v>
      </c>
      <c r="S8" s="771">
        <f t="shared" si="0"/>
        <v>0</v>
      </c>
      <c r="T8" s="770" t="s">
        <v>17</v>
      </c>
      <c r="U8" s="771">
        <f t="shared" si="1"/>
        <v>0</v>
      </c>
      <c r="V8" s="770" t="s">
        <v>17</v>
      </c>
      <c r="W8" s="771">
        <f t="shared" si="2"/>
        <v>0</v>
      </c>
      <c r="X8" s="772"/>
      <c r="Y8" s="3186" t="s">
        <v>2544</v>
      </c>
      <c r="Z8" s="3187"/>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0" t="s">
        <v>2547</v>
      </c>
      <c r="Q9" s="1799" t="str">
        <f t="shared" ref="Q9:Q14" si="6">B9</f>
        <v>用途</v>
      </c>
      <c r="R9" s="770" t="s">
        <v>17</v>
      </c>
      <c r="S9" s="771">
        <f t="shared" si="0"/>
        <v>100</v>
      </c>
      <c r="T9" s="770" t="s">
        <v>17</v>
      </c>
      <c r="U9" s="771">
        <f t="shared" si="1"/>
        <v>100</v>
      </c>
      <c r="V9" s="770" t="s">
        <v>17</v>
      </c>
      <c r="W9" s="771">
        <f t="shared" si="2"/>
        <v>100</v>
      </c>
      <c r="X9" s="772"/>
      <c r="Y9" s="3060"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0"/>
      <c r="Q10" s="1799"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0"/>
      <c r="Q11" s="1799">
        <f t="shared" si="6"/>
        <v>111</v>
      </c>
      <c r="R11" s="770" t="s">
        <v>17</v>
      </c>
      <c r="S11" s="771">
        <f t="shared" si="0"/>
        <v>100</v>
      </c>
      <c r="T11" s="770" t="s">
        <v>17</v>
      </c>
      <c r="U11" s="771">
        <f t="shared" si="1"/>
        <v>100</v>
      </c>
      <c r="V11" s="770" t="s">
        <v>17</v>
      </c>
      <c r="W11" s="771">
        <f t="shared" si="2"/>
        <v>100</v>
      </c>
      <c r="X11" s="772"/>
      <c r="Y11" s="306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0"/>
      <c r="Q12" s="1799">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0"/>
      <c r="Q13" s="1799">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85.25">
      <c r="A14" s="401" t="s">
        <v>2551</v>
      </c>
      <c r="B14" s="629" t="s">
        <v>2701</v>
      </c>
      <c r="C14" s="2698"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3" t="s">
        <v>2552</v>
      </c>
      <c r="Q14" s="1814" t="str">
        <f t="shared" si="6"/>
        <v>交通便捷度</v>
      </c>
      <c r="R14" s="774" t="s">
        <v>17</v>
      </c>
      <c r="S14" s="775">
        <f t="shared" si="0"/>
        <v>100</v>
      </c>
      <c r="T14" s="774" t="s">
        <v>17</v>
      </c>
      <c r="U14" s="775">
        <f t="shared" si="1"/>
        <v>100</v>
      </c>
      <c r="V14" s="774" t="s">
        <v>17</v>
      </c>
      <c r="W14" s="775">
        <f t="shared" si="2"/>
        <v>100</v>
      </c>
      <c r="X14" s="1817"/>
      <c r="Y14" s="3223" t="s">
        <v>2552</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224"/>
      <c r="Q15" s="1814"/>
      <c r="R15" s="774"/>
      <c r="S15" s="775"/>
      <c r="T15" s="774"/>
      <c r="U15" s="775"/>
      <c r="V15" s="774"/>
      <c r="W15" s="775"/>
      <c r="X15" s="1817"/>
      <c r="Y15" s="3224"/>
      <c r="Z15" s="1818"/>
      <c r="AA15" s="1815">
        <v>1</v>
      </c>
      <c r="AB15" s="1815">
        <v>1</v>
      </c>
      <c r="AC15" s="1815">
        <v>1</v>
      </c>
    </row>
    <row r="16" spans="1:29" ht="228">
      <c r="A16" s="404"/>
      <c r="B16" s="631" t="s">
        <v>2680</v>
      </c>
      <c r="C16" s="2612"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4"/>
      <c r="Q16" s="1814" t="str">
        <f>B16</f>
        <v>公共配套设施</v>
      </c>
      <c r="R16" s="774" t="s">
        <v>17</v>
      </c>
      <c r="S16" s="775">
        <f>F16</f>
        <v>100</v>
      </c>
      <c r="T16" s="774" t="s">
        <v>17</v>
      </c>
      <c r="U16" s="775">
        <f>H16</f>
        <v>100</v>
      </c>
      <c r="V16" s="774" t="s">
        <v>17</v>
      </c>
      <c r="W16" s="775">
        <f>J16</f>
        <v>100</v>
      </c>
      <c r="X16" s="1817"/>
      <c r="Y16" s="3224"/>
      <c r="Z16" s="1818" t="str">
        <f>Q16</f>
        <v>公共配套设施</v>
      </c>
      <c r="AA16" s="1815">
        <f t="shared" si="3"/>
        <v>1</v>
      </c>
      <c r="AB16" s="1815">
        <f t="shared" si="4"/>
        <v>1</v>
      </c>
      <c r="AC16" s="1815">
        <f t="shared" si="5"/>
        <v>1</v>
      </c>
    </row>
    <row r="17" spans="1:29" ht="15">
      <c r="A17" s="404"/>
      <c r="B17" s="632"/>
      <c r="C17" s="2613"/>
      <c r="D17" s="448"/>
      <c r="E17" s="447"/>
      <c r="F17" s="449"/>
      <c r="G17" s="447"/>
      <c r="H17" s="448"/>
      <c r="I17" s="447"/>
      <c r="J17" s="448"/>
      <c r="K17" s="615"/>
      <c r="L17" s="1143"/>
      <c r="M17" s="1134"/>
      <c r="N17" s="1134"/>
      <c r="O17" s="1134"/>
      <c r="P17" s="3224"/>
      <c r="Q17" s="1814"/>
      <c r="R17" s="774"/>
      <c r="S17" s="775"/>
      <c r="T17" s="774"/>
      <c r="U17" s="775"/>
      <c r="V17" s="774"/>
      <c r="W17" s="775"/>
      <c r="X17" s="1817"/>
      <c r="Y17" s="3224"/>
      <c r="Z17" s="1818"/>
      <c r="AA17" s="1815">
        <v>1</v>
      </c>
      <c r="AB17" s="1815">
        <v>1</v>
      </c>
      <c r="AC17" s="1815">
        <v>1</v>
      </c>
    </row>
    <row r="18" spans="1:29" ht="42.75">
      <c r="A18" s="404"/>
      <c r="B18" s="633" t="s">
        <v>2681</v>
      </c>
      <c r="C18" s="2612"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4"/>
      <c r="Q18" s="1814" t="str">
        <f>B18</f>
        <v>基础设施水平</v>
      </c>
      <c r="R18" s="774" t="s">
        <v>17</v>
      </c>
      <c r="S18" s="775">
        <f>F18</f>
        <v>100</v>
      </c>
      <c r="T18" s="774" t="s">
        <v>17</v>
      </c>
      <c r="U18" s="775">
        <f>H18</f>
        <v>100</v>
      </c>
      <c r="V18" s="774" t="s">
        <v>17</v>
      </c>
      <c r="W18" s="775">
        <f>J18</f>
        <v>100</v>
      </c>
      <c r="X18" s="1817"/>
      <c r="Y18" s="3224"/>
      <c r="Z18" s="1818" t="str">
        <f>Q18</f>
        <v>基础设施水平</v>
      </c>
      <c r="AA18" s="1815">
        <f t="shared" ref="AA18" si="8">D18/F18</f>
        <v>1</v>
      </c>
      <c r="AB18" s="1815">
        <f t="shared" ref="AB18" si="9">D18/H18</f>
        <v>1</v>
      </c>
      <c r="AC18" s="1815">
        <f t="shared" ref="AC18" si="10">D18/J18</f>
        <v>1</v>
      </c>
    </row>
    <row r="19" spans="1:29" ht="15">
      <c r="A19" s="404"/>
      <c r="B19" s="633"/>
      <c r="C19" s="2613"/>
      <c r="D19" s="450"/>
      <c r="E19" s="2613"/>
      <c r="F19" s="453"/>
      <c r="G19" s="2613"/>
      <c r="H19" s="448"/>
      <c r="I19" s="447"/>
      <c r="J19" s="448"/>
      <c r="K19" s="1386"/>
      <c r="L19" s="1143"/>
      <c r="M19" s="1134"/>
      <c r="N19" s="1134"/>
      <c r="O19" s="1134"/>
      <c r="P19" s="3224"/>
      <c r="Q19" s="1814"/>
      <c r="R19" s="774"/>
      <c r="S19" s="775"/>
      <c r="T19" s="774"/>
      <c r="U19" s="775"/>
      <c r="V19" s="774"/>
      <c r="W19" s="775"/>
      <c r="X19" s="1817"/>
      <c r="Y19" s="3224"/>
      <c r="Z19" s="1818"/>
      <c r="AA19" s="1815">
        <v>1</v>
      </c>
      <c r="AB19" s="1815">
        <v>1</v>
      </c>
      <c r="AC19" s="1815">
        <v>1</v>
      </c>
    </row>
    <row r="20" spans="1:29" ht="114">
      <c r="A20" s="404"/>
      <c r="B20" s="631" t="s">
        <v>2702</v>
      </c>
      <c r="C20" s="2612" t="str">
        <f>IF(B1="工业",估价对象房地状况!G7,估价对象房地状况!C9)</f>
        <v>估价对象2公里内有西湖园，自然环境一般，区域内有首都机场体育馆，人文环境一般。综合评价环境状况一般。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4"/>
      <c r="Q20" s="1814" t="str">
        <f>B20</f>
        <v>自然及人文环境</v>
      </c>
      <c r="R20" s="774" t="s">
        <v>17</v>
      </c>
      <c r="S20" s="775">
        <f>F20</f>
        <v>100</v>
      </c>
      <c r="T20" s="774" t="s">
        <v>17</v>
      </c>
      <c r="U20" s="775">
        <f>H20</f>
        <v>100</v>
      </c>
      <c r="V20" s="774" t="s">
        <v>17</v>
      </c>
      <c r="W20" s="775">
        <f>J20</f>
        <v>100</v>
      </c>
      <c r="X20" s="1817"/>
      <c r="Y20" s="3224"/>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224"/>
      <c r="Q21" s="1814"/>
      <c r="R21" s="774"/>
      <c r="S21" s="775"/>
      <c r="T21" s="774"/>
      <c r="U21" s="775"/>
      <c r="V21" s="774"/>
      <c r="W21" s="775"/>
      <c r="X21" s="1817"/>
      <c r="Y21" s="3224"/>
      <c r="Z21" s="1818"/>
      <c r="AA21" s="1815">
        <v>1</v>
      </c>
      <c r="AB21" s="1815">
        <v>1</v>
      </c>
      <c r="AC21" s="1815">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4"/>
      <c r="Q22" s="1814" t="str">
        <f>B22</f>
        <v>楼层</v>
      </c>
      <c r="R22" s="774" t="s">
        <v>17</v>
      </c>
      <c r="S22" s="775">
        <f>F22</f>
        <v>100</v>
      </c>
      <c r="T22" s="774" t="s">
        <v>17</v>
      </c>
      <c r="U22" s="775">
        <f>H22</f>
        <v>100</v>
      </c>
      <c r="V22" s="774" t="s">
        <v>17</v>
      </c>
      <c r="W22" s="775">
        <f>J22</f>
        <v>100</v>
      </c>
      <c r="X22" s="1817"/>
      <c r="Y22" s="3224"/>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4"/>
      <c r="Q23" s="1814">
        <f>B23</f>
        <v>111</v>
      </c>
      <c r="R23" s="774" t="s">
        <v>17</v>
      </c>
      <c r="S23" s="775">
        <f>F23</f>
        <v>100</v>
      </c>
      <c r="T23" s="774" t="s">
        <v>17</v>
      </c>
      <c r="U23" s="775">
        <f>H23</f>
        <v>100</v>
      </c>
      <c r="V23" s="774" t="s">
        <v>17</v>
      </c>
      <c r="W23" s="775">
        <f>J23</f>
        <v>100</v>
      </c>
      <c r="X23" s="1817"/>
      <c r="Y23" s="3224"/>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4"/>
      <c r="Q24" s="1814">
        <f t="shared" ref="Q24:Q36" si="11">B24</f>
        <v>111</v>
      </c>
      <c r="R24" s="774" t="s">
        <v>17</v>
      </c>
      <c r="S24" s="775">
        <f>F24</f>
        <v>100</v>
      </c>
      <c r="T24" s="774" t="s">
        <v>17</v>
      </c>
      <c r="U24" s="775">
        <f>H24</f>
        <v>100</v>
      </c>
      <c r="V24" s="774" t="s">
        <v>17</v>
      </c>
      <c r="W24" s="775">
        <f>J24</f>
        <v>100</v>
      </c>
      <c r="X24" s="1817"/>
      <c r="Y24" s="3224"/>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4"/>
      <c r="Q25" s="1799">
        <f t="shared" si="11"/>
        <v>111</v>
      </c>
      <c r="R25" s="770" t="s">
        <v>17</v>
      </c>
      <c r="S25" s="771">
        <f>F25</f>
        <v>100</v>
      </c>
      <c r="T25" s="770" t="s">
        <v>17</v>
      </c>
      <c r="U25" s="771">
        <f>H25</f>
        <v>100</v>
      </c>
      <c r="V25" s="770" t="s">
        <v>17</v>
      </c>
      <c r="W25" s="771">
        <f>J25</f>
        <v>100</v>
      </c>
      <c r="X25" s="772"/>
      <c r="Y25" s="3224"/>
      <c r="Z25" s="55">
        <f>Q25</f>
        <v>111</v>
      </c>
      <c r="AA25" s="1815">
        <f>D25/F25</f>
        <v>1</v>
      </c>
      <c r="AB25" s="1815">
        <f>D25/H25</f>
        <v>1</v>
      </c>
      <c r="AC25" s="1815">
        <f>D25/J25</f>
        <v>1</v>
      </c>
    </row>
    <row r="26" spans="1:29" ht="15">
      <c r="A26" s="652" t="s">
        <v>2555</v>
      </c>
      <c r="B26" s="70" t="s">
        <v>2704</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4" t="s">
        <v>2557</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28" t="s">
        <v>2557</v>
      </c>
      <c r="Z26" s="1818" t="str">
        <f t="shared" ref="Z26:Z36" si="15">Q26</f>
        <v>配套类型</v>
      </c>
      <c r="AA26" s="1815">
        <f t="shared" si="3"/>
        <v>1</v>
      </c>
      <c r="AB26" s="1815">
        <f t="shared" si="4"/>
        <v>1</v>
      </c>
      <c r="AC26" s="1815">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8"/>
      <c r="Q27" s="776" t="str">
        <f t="shared" si="11"/>
        <v>项目停车位配比</v>
      </c>
      <c r="R27" s="777" t="s">
        <v>17</v>
      </c>
      <c r="S27" s="778">
        <f t="shared" si="12"/>
        <v>100</v>
      </c>
      <c r="T27" s="777" t="s">
        <v>17</v>
      </c>
      <c r="U27" s="778">
        <f t="shared" si="13"/>
        <v>100</v>
      </c>
      <c r="V27" s="777" t="s">
        <v>17</v>
      </c>
      <c r="W27" s="778">
        <f t="shared" si="14"/>
        <v>100</v>
      </c>
      <c r="X27" s="779"/>
      <c r="Y27" s="3228"/>
      <c r="Z27" s="780" t="str">
        <f t="shared" si="15"/>
        <v>项目停车位配比</v>
      </c>
      <c r="AA27" s="1815">
        <f t="shared" si="3"/>
        <v>1</v>
      </c>
      <c r="AB27" s="1815">
        <f t="shared" si="4"/>
        <v>1</v>
      </c>
      <c r="AC27" s="1815">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8"/>
      <c r="Q28" s="1814" t="str">
        <f t="shared" si="11"/>
        <v>公共部分装修</v>
      </c>
      <c r="R28" s="774" t="s">
        <v>17</v>
      </c>
      <c r="S28" s="775">
        <f t="shared" si="12"/>
        <v>100</v>
      </c>
      <c r="T28" s="774" t="s">
        <v>17</v>
      </c>
      <c r="U28" s="775">
        <f t="shared" si="13"/>
        <v>100</v>
      </c>
      <c r="V28" s="774" t="s">
        <v>17</v>
      </c>
      <c r="W28" s="775">
        <f t="shared" si="14"/>
        <v>100</v>
      </c>
      <c r="X28" s="1817"/>
      <c r="Y28" s="3228"/>
      <c r="Z28" s="1818" t="str">
        <f t="shared" si="15"/>
        <v>公共部分装修</v>
      </c>
      <c r="AA28" s="1815">
        <f t="shared" si="3"/>
        <v>1</v>
      </c>
      <c r="AB28" s="1815">
        <f t="shared" si="4"/>
        <v>1</v>
      </c>
      <c r="AC28" s="1815">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8"/>
      <c r="Q29" s="1814" t="str">
        <f t="shared" si="11"/>
        <v>成新率</v>
      </c>
      <c r="R29" s="774" t="s">
        <v>17</v>
      </c>
      <c r="S29" s="775" t="e">
        <f t="shared" si="12"/>
        <v>#N/A</v>
      </c>
      <c r="T29" s="774" t="s">
        <v>17</v>
      </c>
      <c r="U29" s="775" t="e">
        <f t="shared" si="13"/>
        <v>#N/A</v>
      </c>
      <c r="V29" s="774" t="s">
        <v>17</v>
      </c>
      <c r="W29" s="775" t="e">
        <f t="shared" si="14"/>
        <v>#N/A</v>
      </c>
      <c r="X29" s="1817"/>
      <c r="Y29" s="3228"/>
      <c r="Z29" s="1818" t="str">
        <f t="shared" si="15"/>
        <v>成新率</v>
      </c>
      <c r="AA29" s="1815" t="e">
        <f t="shared" si="3"/>
        <v>#N/A</v>
      </c>
      <c r="AB29" s="1815" t="e">
        <f t="shared" si="4"/>
        <v>#N/A</v>
      </c>
      <c r="AC29" s="1815"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8"/>
      <c r="Q30" s="1814" t="str">
        <f t="shared" si="11"/>
        <v>物业等级</v>
      </c>
      <c r="R30" s="774" t="s">
        <v>17</v>
      </c>
      <c r="S30" s="775">
        <f t="shared" si="12"/>
        <v>100</v>
      </c>
      <c r="T30" s="774" t="s">
        <v>17</v>
      </c>
      <c r="U30" s="775">
        <f t="shared" si="13"/>
        <v>100</v>
      </c>
      <c r="V30" s="774" t="s">
        <v>17</v>
      </c>
      <c r="W30" s="775">
        <f t="shared" si="14"/>
        <v>100</v>
      </c>
      <c r="X30" s="1817"/>
      <c r="Y30" s="3228"/>
      <c r="Z30" s="1818" t="str">
        <f t="shared" si="15"/>
        <v>物业等级</v>
      </c>
      <c r="AA30" s="1815">
        <f t="shared" si="3"/>
        <v>1</v>
      </c>
      <c r="AB30" s="1815">
        <f t="shared" si="4"/>
        <v>1</v>
      </c>
      <c r="AC30" s="1815">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8"/>
      <c r="Q31" s="1799" t="str">
        <f t="shared" si="11"/>
        <v>停车位面积</v>
      </c>
      <c r="R31" s="770" t="s">
        <v>17</v>
      </c>
      <c r="S31" s="771" t="e">
        <f t="shared" si="12"/>
        <v>#N/A</v>
      </c>
      <c r="T31" s="770" t="s">
        <v>17</v>
      </c>
      <c r="U31" s="771" t="e">
        <f t="shared" si="13"/>
        <v>#N/A</v>
      </c>
      <c r="V31" s="770" t="s">
        <v>17</v>
      </c>
      <c r="W31" s="771" t="e">
        <f t="shared" si="14"/>
        <v>#N/A</v>
      </c>
      <c r="X31" s="772"/>
      <c r="Y31" s="3228"/>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8" t="s">
        <v>2557</v>
      </c>
      <c r="Q32" s="1814" t="str">
        <f t="shared" si="11"/>
        <v>车位类型</v>
      </c>
      <c r="R32" s="774" t="s">
        <v>17</v>
      </c>
      <c r="S32" s="775">
        <f t="shared" si="12"/>
        <v>100</v>
      </c>
      <c r="T32" s="774" t="s">
        <v>17</v>
      </c>
      <c r="U32" s="775">
        <f t="shared" si="13"/>
        <v>100</v>
      </c>
      <c r="V32" s="774" t="s">
        <v>17</v>
      </c>
      <c r="W32" s="775">
        <f t="shared" si="14"/>
        <v>100</v>
      </c>
      <c r="X32" s="1817"/>
      <c r="Y32" s="3228" t="s">
        <v>2557</v>
      </c>
      <c r="Z32" s="1818" t="str">
        <f t="shared" si="15"/>
        <v>车位类型</v>
      </c>
      <c r="AA32" s="1815">
        <f t="shared" si="3"/>
        <v>1</v>
      </c>
      <c r="AB32" s="1815">
        <f t="shared" si="4"/>
        <v>1</v>
      </c>
      <c r="AC32" s="1815">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8"/>
      <c r="Q33" s="1814" t="str">
        <f t="shared" si="11"/>
        <v>是否直接入户</v>
      </c>
      <c r="R33" s="774" t="s">
        <v>17</v>
      </c>
      <c r="S33" s="775">
        <f t="shared" si="12"/>
        <v>100</v>
      </c>
      <c r="T33" s="774" t="s">
        <v>17</v>
      </c>
      <c r="U33" s="775">
        <f t="shared" si="13"/>
        <v>100</v>
      </c>
      <c r="V33" s="774" t="s">
        <v>17</v>
      </c>
      <c r="W33" s="775">
        <f t="shared" si="14"/>
        <v>100</v>
      </c>
      <c r="X33" s="1817"/>
      <c r="Y33" s="3228"/>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8"/>
      <c r="Q34" s="1814">
        <f t="shared" si="11"/>
        <v>111</v>
      </c>
      <c r="R34" s="774" t="s">
        <v>17</v>
      </c>
      <c r="S34" s="775">
        <f t="shared" si="12"/>
        <v>100</v>
      </c>
      <c r="T34" s="774" t="s">
        <v>17</v>
      </c>
      <c r="U34" s="775">
        <f t="shared" si="13"/>
        <v>100</v>
      </c>
      <c r="V34" s="774" t="s">
        <v>17</v>
      </c>
      <c r="W34" s="775">
        <f t="shared" si="14"/>
        <v>100</v>
      </c>
      <c r="X34" s="1817"/>
      <c r="Y34" s="3228"/>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8"/>
      <c r="Q35" s="776">
        <f t="shared" si="11"/>
        <v>111</v>
      </c>
      <c r="R35" s="777" t="s">
        <v>17</v>
      </c>
      <c r="S35" s="778">
        <f t="shared" si="12"/>
        <v>100</v>
      </c>
      <c r="T35" s="777" t="s">
        <v>17</v>
      </c>
      <c r="U35" s="778">
        <f t="shared" si="13"/>
        <v>100</v>
      </c>
      <c r="V35" s="777" t="s">
        <v>17</v>
      </c>
      <c r="W35" s="778">
        <f t="shared" si="14"/>
        <v>100</v>
      </c>
      <c r="X35" s="779"/>
      <c r="Y35" s="3228"/>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8"/>
      <c r="Q36" s="1814">
        <f t="shared" si="11"/>
        <v>111</v>
      </c>
      <c r="R36" s="774" t="s">
        <v>17</v>
      </c>
      <c r="S36" s="775">
        <f t="shared" si="12"/>
        <v>100</v>
      </c>
      <c r="T36" s="774" t="s">
        <v>17</v>
      </c>
      <c r="U36" s="775">
        <f t="shared" si="13"/>
        <v>100</v>
      </c>
      <c r="V36" s="774" t="s">
        <v>17</v>
      </c>
      <c r="W36" s="775">
        <f t="shared" si="14"/>
        <v>100</v>
      </c>
      <c r="X36" s="1817"/>
      <c r="Y36" s="3228"/>
      <c r="Z36" s="1818">
        <f t="shared" si="15"/>
        <v>111</v>
      </c>
      <c r="AA36" s="1815">
        <f t="shared" si="3"/>
        <v>1</v>
      </c>
      <c r="AB36" s="1815">
        <f t="shared" si="4"/>
        <v>1</v>
      </c>
      <c r="AC36" s="1815">
        <f t="shared" si="5"/>
        <v>1</v>
      </c>
    </row>
    <row r="37" spans="1:29" ht="15">
      <c r="A37" s="479" t="s">
        <v>2712</v>
      </c>
      <c r="B37" s="2700" t="s">
        <v>2713</v>
      </c>
      <c r="C37" s="1410" t="s">
        <v>1</v>
      </c>
      <c r="D37" s="1411"/>
      <c r="E37" s="1412"/>
      <c r="F37" s="1413"/>
      <c r="G37" s="1414"/>
      <c r="H37" s="1415"/>
      <c r="I37" s="1412"/>
      <c r="J37" s="1415"/>
      <c r="K37" s="619"/>
      <c r="L37" s="1146"/>
      <c r="M37" s="1147"/>
      <c r="N37" s="1134"/>
      <c r="O37" s="1147"/>
      <c r="P37" s="3230" t="str">
        <f>A37</f>
        <v>成交单价</v>
      </c>
      <c r="Q37" s="3230"/>
      <c r="R37" s="3231">
        <f>E37</f>
        <v>0</v>
      </c>
      <c r="S37" s="3231"/>
      <c r="T37" s="3231">
        <f>G37</f>
        <v>0</v>
      </c>
      <c r="U37" s="3231"/>
      <c r="V37" s="3231">
        <f>I37</f>
        <v>0</v>
      </c>
      <c r="W37" s="3231"/>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0" t="str">
        <f>A38</f>
        <v>比较价值（元/平方米）</v>
      </c>
      <c r="Q38" s="3230"/>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271" t="str">
        <f>A39</f>
        <v>估价对象XX用房的比较价值（楼面单价，元/平方米）</v>
      </c>
      <c r="Q39" s="3272"/>
      <c r="R39" s="3273" t="e">
        <f>IF(F1="售价",ROUND(AVERAGE(R38:V38),0),ROUND(AVERAGE(R38:V38),1))</f>
        <v>#DIV/0!</v>
      </c>
      <c r="S39" s="3273"/>
      <c r="T39" s="3273"/>
      <c r="U39" s="3273"/>
      <c r="V39" s="3273"/>
      <c r="W39" s="327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2699</v>
      </c>
      <c r="B1" s="1623"/>
      <c r="C1" s="1624" t="s">
        <v>2522</v>
      </c>
      <c r="D1" s="1625"/>
      <c r="E1" s="1634"/>
      <c r="F1" s="2589"/>
      <c r="G1" s="1635" t="s">
        <v>2635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2319</v>
      </c>
      <c r="B2" s="1421" t="e">
        <f ca="1">IF(C2="——",ROUND(C37*D3/10000,0),ROUND(C37*D3/10000,0)-D2)</f>
        <v>#DIV/0!</v>
      </c>
      <c r="C2" s="2591"/>
      <c r="D2" s="1127" t="e">
        <f ca="1">SUMIF(INDIRECT("'"&amp;F2&amp;"'"&amp;"!A:A"),"承租人权益价值",INDIRECT("'"&amp;F2&amp;"'"&amp;"!c:c"))</f>
        <v>#REF!</v>
      </c>
      <c r="E2" s="2592" t="s">
        <v>2320</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67" t="s">
        <v>2643</v>
      </c>
      <c r="Q4" s="3268"/>
      <c r="R4" s="3263" t="s">
        <v>2639</v>
      </c>
      <c r="S4" s="3264"/>
      <c r="T4" s="3263" t="s">
        <v>2640</v>
      </c>
      <c r="U4" s="3264"/>
      <c r="V4" s="3218" t="s">
        <v>2641</v>
      </c>
      <c r="W4" s="3218"/>
      <c r="X4" s="1817"/>
      <c r="Y4" s="3263" t="s">
        <v>2643</v>
      </c>
      <c r="Z4" s="3264"/>
      <c r="AA4" s="3262" t="s">
        <v>2639</v>
      </c>
      <c r="AB4" s="3184" t="s">
        <v>2640</v>
      </c>
      <c r="AC4" s="3262" t="s">
        <v>2641</v>
      </c>
    </row>
    <row r="5" spans="1:29" ht="15">
      <c r="A5" s="404"/>
      <c r="B5" s="405"/>
      <c r="C5" s="3266" t="s">
        <v>2534</v>
      </c>
      <c r="D5" s="3195"/>
      <c r="E5" s="3265" t="s">
        <v>2535</v>
      </c>
      <c r="F5" s="3193"/>
      <c r="G5" s="3266" t="s">
        <v>2536</v>
      </c>
      <c r="H5" s="3195"/>
      <c r="I5" s="3266" t="s">
        <v>2537</v>
      </c>
      <c r="J5" s="3195"/>
      <c r="K5" s="610"/>
      <c r="L5" s="1133"/>
      <c r="M5" s="1134"/>
      <c r="N5" s="1134"/>
      <c r="O5" s="1134"/>
      <c r="P5" s="3269"/>
      <c r="Q5" s="3212"/>
      <c r="R5" s="3190"/>
      <c r="S5" s="3191"/>
      <c r="T5" s="3190"/>
      <c r="U5" s="3191"/>
      <c r="V5" s="3218"/>
      <c r="W5" s="3218"/>
      <c r="X5" s="1817"/>
      <c r="Y5" s="3190"/>
      <c r="Z5" s="3191"/>
      <c r="AA5" s="3184"/>
      <c r="AB5" s="3184"/>
      <c r="AC5" s="3184"/>
    </row>
    <row r="6" spans="1:29" ht="15.75" thickBot="1">
      <c r="A6" s="406"/>
      <c r="B6" s="407"/>
      <c r="C6" s="3196" t="s">
        <v>2538</v>
      </c>
      <c r="D6" s="3197"/>
      <c r="E6" s="3199" t="s">
        <v>2538</v>
      </c>
      <c r="F6" s="3200"/>
      <c r="G6" s="3196" t="s">
        <v>2538</v>
      </c>
      <c r="H6" s="3197"/>
      <c r="I6" s="3196" t="s">
        <v>2538</v>
      </c>
      <c r="J6" s="3197"/>
      <c r="K6" s="610" t="s">
        <v>2539</v>
      </c>
      <c r="L6" s="1133"/>
      <c r="M6" s="1134"/>
      <c r="N6" s="1134"/>
      <c r="O6" s="1134"/>
      <c r="P6" s="3270"/>
      <c r="Q6" s="3214"/>
      <c r="R6" s="3190"/>
      <c r="S6" s="3191"/>
      <c r="T6" s="3215"/>
      <c r="U6" s="3216"/>
      <c r="V6" s="3218"/>
      <c r="W6" s="3218"/>
      <c r="X6" s="1817"/>
      <c r="Y6" s="3215"/>
      <c r="Z6" s="3216"/>
      <c r="AA6" s="3185"/>
      <c r="AB6" s="3185"/>
      <c r="AC6" s="3185"/>
    </row>
    <row r="7" spans="1:29" s="117" customFormat="1" ht="15.75" thickBot="1">
      <c r="A7" s="408" t="s">
        <v>2540</v>
      </c>
      <c r="B7" s="409"/>
      <c r="C7" s="410">
        <f>'数据-取费表'!B2</f>
        <v>43056</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86" t="s">
        <v>2541</v>
      </c>
      <c r="Q7" s="3220"/>
      <c r="R7" s="770" t="s">
        <v>17</v>
      </c>
      <c r="S7" s="771">
        <f t="shared" ref="S7:S14" si="0">F7</f>
        <v>0</v>
      </c>
      <c r="T7" s="770" t="s">
        <v>17</v>
      </c>
      <c r="U7" s="771">
        <f t="shared" ref="U7:U14" si="1">H7</f>
        <v>0</v>
      </c>
      <c r="V7" s="770" t="s">
        <v>17</v>
      </c>
      <c r="W7" s="771">
        <f t="shared" ref="W7:W14" si="2">J7</f>
        <v>0</v>
      </c>
      <c r="X7" s="772"/>
      <c r="Y7" s="3186" t="s">
        <v>2541</v>
      </c>
      <c r="Z7" s="3187"/>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6" t="s">
        <v>2544</v>
      </c>
      <c r="Q8" s="3187"/>
      <c r="R8" s="770" t="s">
        <v>17</v>
      </c>
      <c r="S8" s="771">
        <f t="shared" si="0"/>
        <v>0</v>
      </c>
      <c r="T8" s="770" t="s">
        <v>17</v>
      </c>
      <c r="U8" s="771">
        <f t="shared" si="1"/>
        <v>0</v>
      </c>
      <c r="V8" s="770" t="s">
        <v>17</v>
      </c>
      <c r="W8" s="771">
        <f t="shared" si="2"/>
        <v>0</v>
      </c>
      <c r="X8" s="772"/>
      <c r="Y8" s="3186" t="s">
        <v>2544</v>
      </c>
      <c r="Z8" s="3187"/>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0" t="s">
        <v>2547</v>
      </c>
      <c r="Q9" s="1799" t="str">
        <f t="shared" ref="Q9:Q14" si="6">B9</f>
        <v>用途</v>
      </c>
      <c r="R9" s="770" t="s">
        <v>17</v>
      </c>
      <c r="S9" s="771">
        <f t="shared" si="0"/>
        <v>100</v>
      </c>
      <c r="T9" s="770" t="s">
        <v>17</v>
      </c>
      <c r="U9" s="771">
        <f t="shared" si="1"/>
        <v>100</v>
      </c>
      <c r="V9" s="770" t="s">
        <v>17</v>
      </c>
      <c r="W9" s="771">
        <f t="shared" si="2"/>
        <v>100</v>
      </c>
      <c r="X9" s="772"/>
      <c r="Y9" s="3060"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0"/>
      <c r="Q10" s="1799"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0"/>
      <c r="Q11" s="1799">
        <f t="shared" si="6"/>
        <v>111</v>
      </c>
      <c r="R11" s="770" t="s">
        <v>17</v>
      </c>
      <c r="S11" s="771">
        <f t="shared" si="0"/>
        <v>100</v>
      </c>
      <c r="T11" s="770" t="s">
        <v>17</v>
      </c>
      <c r="U11" s="771">
        <f t="shared" si="1"/>
        <v>100</v>
      </c>
      <c r="V11" s="770" t="s">
        <v>17</v>
      </c>
      <c r="W11" s="771">
        <f t="shared" si="2"/>
        <v>100</v>
      </c>
      <c r="X11" s="772"/>
      <c r="Y11" s="3060"/>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0"/>
      <c r="Q12" s="1799">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30"/>
      <c r="Q13" s="1799">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85.25">
      <c r="A14" s="440" t="s">
        <v>2551</v>
      </c>
      <c r="B14" s="69" t="s">
        <v>2701</v>
      </c>
      <c r="C14" s="2698"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3" t="s">
        <v>2552</v>
      </c>
      <c r="Q14" s="1814" t="str">
        <f t="shared" si="6"/>
        <v>交通便捷度</v>
      </c>
      <c r="R14" s="774" t="s">
        <v>17</v>
      </c>
      <c r="S14" s="775">
        <f t="shared" si="0"/>
        <v>100</v>
      </c>
      <c r="T14" s="774" t="s">
        <v>17</v>
      </c>
      <c r="U14" s="775">
        <f t="shared" si="1"/>
        <v>100</v>
      </c>
      <c r="V14" s="774" t="s">
        <v>17</v>
      </c>
      <c r="W14" s="775">
        <f t="shared" si="2"/>
        <v>100</v>
      </c>
      <c r="X14" s="1817"/>
      <c r="Y14" s="3223" t="s">
        <v>2552</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224"/>
      <c r="Q15" s="1814"/>
      <c r="R15" s="774"/>
      <c r="S15" s="775"/>
      <c r="T15" s="774"/>
      <c r="U15" s="775"/>
      <c r="V15" s="774"/>
      <c r="W15" s="775"/>
      <c r="X15" s="1817"/>
      <c r="Y15" s="3224"/>
      <c r="Z15" s="1818"/>
      <c r="AA15" s="1815">
        <v>1</v>
      </c>
      <c r="AB15" s="1815">
        <v>1</v>
      </c>
      <c r="AC15" s="1815">
        <v>1</v>
      </c>
    </row>
    <row r="16" spans="1:29" ht="228">
      <c r="A16" s="428"/>
      <c r="B16" s="451" t="s">
        <v>2680</v>
      </c>
      <c r="C16" s="2612"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4"/>
      <c r="Q16" s="1814" t="str">
        <f>B16</f>
        <v>公共配套设施</v>
      </c>
      <c r="R16" s="774" t="s">
        <v>17</v>
      </c>
      <c r="S16" s="775">
        <f>F16</f>
        <v>100</v>
      </c>
      <c r="T16" s="774" t="s">
        <v>17</v>
      </c>
      <c r="U16" s="775">
        <f>H16</f>
        <v>100</v>
      </c>
      <c r="V16" s="774" t="s">
        <v>17</v>
      </c>
      <c r="W16" s="775">
        <f>J16</f>
        <v>100</v>
      </c>
      <c r="X16" s="1817"/>
      <c r="Y16" s="3224"/>
      <c r="Z16" s="1818" t="str">
        <f>Q16</f>
        <v>公共配套设施</v>
      </c>
      <c r="AA16" s="1815">
        <f t="shared" si="3"/>
        <v>1</v>
      </c>
      <c r="AB16" s="1815">
        <f t="shared" si="4"/>
        <v>1</v>
      </c>
      <c r="AC16" s="1815">
        <f t="shared" si="5"/>
        <v>1</v>
      </c>
    </row>
    <row r="17" spans="1:29" ht="15">
      <c r="A17" s="428"/>
      <c r="B17" s="456"/>
      <c r="C17" s="2613"/>
      <c r="D17" s="448"/>
      <c r="E17" s="447"/>
      <c r="F17" s="449"/>
      <c r="G17" s="447"/>
      <c r="H17" s="448"/>
      <c r="I17" s="447"/>
      <c r="J17" s="448"/>
      <c r="K17" s="615"/>
      <c r="L17" s="1143"/>
      <c r="M17" s="1134"/>
      <c r="N17" s="1134"/>
      <c r="O17" s="1142"/>
      <c r="P17" s="3224"/>
      <c r="Q17" s="1814"/>
      <c r="R17" s="774"/>
      <c r="S17" s="775"/>
      <c r="T17" s="774"/>
      <c r="U17" s="775"/>
      <c r="V17" s="774"/>
      <c r="W17" s="775"/>
      <c r="X17" s="1817"/>
      <c r="Y17" s="3224"/>
      <c r="Z17" s="1818"/>
      <c r="AA17" s="1815">
        <v>1</v>
      </c>
      <c r="AB17" s="1815">
        <v>1</v>
      </c>
      <c r="AC17" s="1815">
        <v>1</v>
      </c>
    </row>
    <row r="18" spans="1:29" ht="42.75">
      <c r="A18" s="428"/>
      <c r="B18" s="1387" t="s">
        <v>2681</v>
      </c>
      <c r="C18" s="2612"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4"/>
      <c r="Q18" s="1814" t="str">
        <f>B18</f>
        <v>基础设施水平</v>
      </c>
      <c r="R18" s="774" t="s">
        <v>17</v>
      </c>
      <c r="S18" s="775">
        <f>F18</f>
        <v>100</v>
      </c>
      <c r="T18" s="774" t="s">
        <v>17</v>
      </c>
      <c r="U18" s="775">
        <f>H18</f>
        <v>100</v>
      </c>
      <c r="V18" s="774" t="s">
        <v>17</v>
      </c>
      <c r="W18" s="775">
        <f>J18</f>
        <v>100</v>
      </c>
      <c r="X18" s="1817"/>
      <c r="Y18" s="3224"/>
      <c r="Z18" s="1818" t="str">
        <f>Q18</f>
        <v>基础设施水平</v>
      </c>
      <c r="AA18" s="1815">
        <f t="shared" ref="AA18" si="8">D18/F18</f>
        <v>1</v>
      </c>
      <c r="AB18" s="1815">
        <f t="shared" ref="AB18" si="9">D18/H18</f>
        <v>1</v>
      </c>
      <c r="AC18" s="1815">
        <f t="shared" ref="AC18" si="10">D18/J18</f>
        <v>1</v>
      </c>
    </row>
    <row r="19" spans="1:29" ht="15">
      <c r="A19" s="428"/>
      <c r="B19" s="1387"/>
      <c r="C19" s="2613"/>
      <c r="D19" s="450"/>
      <c r="E19" s="2613"/>
      <c r="F19" s="453"/>
      <c r="G19" s="2613"/>
      <c r="H19" s="448"/>
      <c r="I19" s="447"/>
      <c r="J19" s="448"/>
      <c r="K19" s="1386"/>
      <c r="L19" s="1143"/>
      <c r="M19" s="1134"/>
      <c r="N19" s="1134"/>
      <c r="O19" s="1142"/>
      <c r="P19" s="3224"/>
      <c r="Q19" s="1814"/>
      <c r="R19" s="774"/>
      <c r="S19" s="775"/>
      <c r="T19" s="774"/>
      <c r="U19" s="775"/>
      <c r="V19" s="774"/>
      <c r="W19" s="775"/>
      <c r="X19" s="1817"/>
      <c r="Y19" s="3224"/>
      <c r="Z19" s="1818"/>
      <c r="AA19" s="1815">
        <v>1</v>
      </c>
      <c r="AB19" s="1815">
        <v>1</v>
      </c>
      <c r="AC19" s="1815">
        <v>1</v>
      </c>
    </row>
    <row r="20" spans="1:29" ht="114">
      <c r="A20" s="428"/>
      <c r="B20" s="451" t="s">
        <v>2702</v>
      </c>
      <c r="C20" s="2612" t="str">
        <f>IF(B1="工业",估价对象房地状况!G7,估价对象房地状况!C9)</f>
        <v>估价对象2公里内有西湖园，自然环境一般，区域内有首都机场体育馆，人文环境一般。综合评价环境状况一般。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4"/>
      <c r="Q20" s="1814" t="str">
        <f>B20</f>
        <v>自然及人文环境</v>
      </c>
      <c r="R20" s="774" t="s">
        <v>17</v>
      </c>
      <c r="S20" s="775">
        <f>F20</f>
        <v>100</v>
      </c>
      <c r="T20" s="774" t="s">
        <v>17</v>
      </c>
      <c r="U20" s="775">
        <f>H20</f>
        <v>100</v>
      </c>
      <c r="V20" s="774" t="s">
        <v>17</v>
      </c>
      <c r="W20" s="775">
        <f>J20</f>
        <v>100</v>
      </c>
      <c r="X20" s="1817"/>
      <c r="Y20" s="3224"/>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224"/>
      <c r="Q21" s="1814"/>
      <c r="R21" s="774"/>
      <c r="S21" s="775"/>
      <c r="T21" s="774"/>
      <c r="U21" s="775"/>
      <c r="V21" s="774"/>
      <c r="W21" s="775"/>
      <c r="X21" s="1817"/>
      <c r="Y21" s="3224"/>
      <c r="Z21" s="1818"/>
      <c r="AA21" s="1815">
        <v>1</v>
      </c>
      <c r="AB21" s="1815">
        <v>1</v>
      </c>
      <c r="AC21" s="1815">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4"/>
      <c r="Q22" s="1814" t="str">
        <f>B22</f>
        <v>楼层</v>
      </c>
      <c r="R22" s="774" t="s">
        <v>17</v>
      </c>
      <c r="S22" s="775">
        <f>F22</f>
        <v>100</v>
      </c>
      <c r="T22" s="774" t="s">
        <v>17</v>
      </c>
      <c r="U22" s="775">
        <f>H22</f>
        <v>100</v>
      </c>
      <c r="V22" s="774" t="s">
        <v>17</v>
      </c>
      <c r="W22" s="775">
        <f>J22</f>
        <v>100</v>
      </c>
      <c r="X22" s="1817"/>
      <c r="Y22" s="3224"/>
      <c r="Z22" s="1818" t="str">
        <f>Q22</f>
        <v>楼层</v>
      </c>
      <c r="AA22" s="1815">
        <f t="shared" si="3"/>
        <v>1</v>
      </c>
      <c r="AB22" s="1815">
        <f t="shared" si="4"/>
        <v>1</v>
      </c>
      <c r="AC22" s="1815">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4"/>
      <c r="Q23" s="1814">
        <f>B23</f>
        <v>111</v>
      </c>
      <c r="R23" s="774" t="s">
        <v>17</v>
      </c>
      <c r="S23" s="775">
        <f>F23</f>
        <v>100</v>
      </c>
      <c r="T23" s="774" t="s">
        <v>17</v>
      </c>
      <c r="U23" s="775">
        <f>H23</f>
        <v>100</v>
      </c>
      <c r="V23" s="774" t="s">
        <v>17</v>
      </c>
      <c r="W23" s="775">
        <f>J23</f>
        <v>100</v>
      </c>
      <c r="X23" s="1817"/>
      <c r="Y23" s="3224"/>
      <c r="Z23" s="1818">
        <f>Q23</f>
        <v>111</v>
      </c>
      <c r="AA23" s="1815">
        <f t="shared" si="3"/>
        <v>1</v>
      </c>
      <c r="AB23" s="1815">
        <f t="shared" si="4"/>
        <v>1</v>
      </c>
      <c r="AC23" s="1815">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4"/>
      <c r="Q24" s="1814">
        <f t="shared" ref="Q24:Q34" si="11">B24</f>
        <v>111</v>
      </c>
      <c r="R24" s="774" t="s">
        <v>17</v>
      </c>
      <c r="S24" s="775">
        <f>F24</f>
        <v>100</v>
      </c>
      <c r="T24" s="774" t="s">
        <v>17</v>
      </c>
      <c r="U24" s="775">
        <f>H24</f>
        <v>100</v>
      </c>
      <c r="V24" s="774" t="s">
        <v>17</v>
      </c>
      <c r="W24" s="775">
        <f>J24</f>
        <v>100</v>
      </c>
      <c r="X24" s="1817"/>
      <c r="Y24" s="3224"/>
      <c r="Z24" s="1818">
        <f>Q24</f>
        <v>111</v>
      </c>
      <c r="AA24" s="1815">
        <f t="shared" si="3"/>
        <v>1</v>
      </c>
      <c r="AB24" s="1815">
        <f t="shared" si="4"/>
        <v>1</v>
      </c>
      <c r="AC24" s="1815">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24"/>
      <c r="Q25" s="1799">
        <f t="shared" si="11"/>
        <v>111</v>
      </c>
      <c r="R25" s="770" t="s">
        <v>17</v>
      </c>
      <c r="S25" s="771">
        <f>F25</f>
        <v>100</v>
      </c>
      <c r="T25" s="770" t="s">
        <v>17</v>
      </c>
      <c r="U25" s="771">
        <f>H25</f>
        <v>100</v>
      </c>
      <c r="V25" s="770" t="s">
        <v>17</v>
      </c>
      <c r="W25" s="771">
        <f>J25</f>
        <v>100</v>
      </c>
      <c r="X25" s="772"/>
      <c r="Y25" s="3224"/>
      <c r="Z25" s="55">
        <f>Q25</f>
        <v>111</v>
      </c>
      <c r="AA25" s="1815">
        <f>D25/F25</f>
        <v>1</v>
      </c>
      <c r="AB25" s="1815">
        <f>D25/H25</f>
        <v>1</v>
      </c>
      <c r="AC25" s="1815">
        <f>D25/J25</f>
        <v>1</v>
      </c>
    </row>
    <row r="26" spans="1:29" ht="15">
      <c r="A26" s="466" t="s">
        <v>2555</v>
      </c>
      <c r="B26" s="71" t="s">
        <v>2706</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74" t="s">
        <v>2557</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28" t="s">
        <v>2557</v>
      </c>
      <c r="Z26" s="1818" t="str">
        <f t="shared" ref="Z26:Z34" si="15">Q26</f>
        <v>公共部分装修</v>
      </c>
      <c r="AA26" s="1815">
        <f t="shared" si="3"/>
        <v>1</v>
      </c>
      <c r="AB26" s="1815">
        <f t="shared" si="4"/>
        <v>1</v>
      </c>
      <c r="AC26" s="1815">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8"/>
      <c r="Q27" s="776" t="str">
        <f t="shared" si="11"/>
        <v>成新率</v>
      </c>
      <c r="R27" s="777" t="s">
        <v>17</v>
      </c>
      <c r="S27" s="778" t="e">
        <f t="shared" si="12"/>
        <v>#N/A</v>
      </c>
      <c r="T27" s="777" t="s">
        <v>17</v>
      </c>
      <c r="U27" s="778" t="e">
        <f t="shared" si="13"/>
        <v>#N/A</v>
      </c>
      <c r="V27" s="777" t="s">
        <v>17</v>
      </c>
      <c r="W27" s="778" t="e">
        <f t="shared" si="14"/>
        <v>#N/A</v>
      </c>
      <c r="X27" s="779"/>
      <c r="Y27" s="3228"/>
      <c r="Z27" s="780" t="str">
        <f t="shared" si="15"/>
        <v>成新率</v>
      </c>
      <c r="AA27" s="1815" t="e">
        <f t="shared" si="3"/>
        <v>#N/A</v>
      </c>
      <c r="AB27" s="1815" t="e">
        <f t="shared" si="4"/>
        <v>#N/A</v>
      </c>
      <c r="AC27" s="1815"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8"/>
      <c r="Q28" s="1814" t="str">
        <f t="shared" si="11"/>
        <v>物业等级</v>
      </c>
      <c r="R28" s="774" t="s">
        <v>17</v>
      </c>
      <c r="S28" s="775">
        <f t="shared" si="12"/>
        <v>100</v>
      </c>
      <c r="T28" s="774" t="s">
        <v>17</v>
      </c>
      <c r="U28" s="775">
        <f t="shared" si="13"/>
        <v>100</v>
      </c>
      <c r="V28" s="774" t="s">
        <v>17</v>
      </c>
      <c r="W28" s="775">
        <f t="shared" si="14"/>
        <v>100</v>
      </c>
      <c r="X28" s="1817"/>
      <c r="Y28" s="3228"/>
      <c r="Z28" s="1818" t="str">
        <f t="shared" si="15"/>
        <v>物业等级</v>
      </c>
      <c r="AA28" s="1815">
        <f t="shared" si="3"/>
        <v>1</v>
      </c>
      <c r="AB28" s="1815">
        <f t="shared" si="4"/>
        <v>1</v>
      </c>
      <c r="AC28" s="1815">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8"/>
      <c r="Q29" s="1814" t="str">
        <f t="shared" si="11"/>
        <v>有无电梯</v>
      </c>
      <c r="R29" s="774" t="s">
        <v>17</v>
      </c>
      <c r="S29" s="775">
        <f t="shared" si="12"/>
        <v>100</v>
      </c>
      <c r="T29" s="774" t="s">
        <v>17</v>
      </c>
      <c r="U29" s="775">
        <f t="shared" si="13"/>
        <v>100</v>
      </c>
      <c r="V29" s="774" t="s">
        <v>17</v>
      </c>
      <c r="W29" s="775">
        <f t="shared" si="14"/>
        <v>100</v>
      </c>
      <c r="X29" s="1817"/>
      <c r="Y29" s="3228"/>
      <c r="Z29" s="1818" t="str">
        <f t="shared" si="15"/>
        <v>有无电梯</v>
      </c>
      <c r="AA29" s="1815">
        <f t="shared" si="3"/>
        <v>1</v>
      </c>
      <c r="AB29" s="1815">
        <f t="shared" si="4"/>
        <v>1</v>
      </c>
      <c r="AC29" s="1815">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8"/>
      <c r="Q30" s="1814" t="str">
        <f t="shared" si="11"/>
        <v>建筑面积</v>
      </c>
      <c r="R30" s="774" t="s">
        <v>17</v>
      </c>
      <c r="S30" s="775" t="e">
        <f t="shared" si="12"/>
        <v>#N/A</v>
      </c>
      <c r="T30" s="774" t="s">
        <v>17</v>
      </c>
      <c r="U30" s="775" t="e">
        <f t="shared" si="13"/>
        <v>#N/A</v>
      </c>
      <c r="V30" s="774" t="s">
        <v>17</v>
      </c>
      <c r="W30" s="775" t="e">
        <f t="shared" si="14"/>
        <v>#N/A</v>
      </c>
      <c r="X30" s="1817"/>
      <c r="Y30" s="3228"/>
      <c r="Z30" s="1818" t="str">
        <f t="shared" si="15"/>
        <v>建筑面积</v>
      </c>
      <c r="AA30" s="1815" t="e">
        <f t="shared" si="3"/>
        <v>#N/A</v>
      </c>
      <c r="AB30" s="1815" t="e">
        <f t="shared" si="4"/>
        <v>#N/A</v>
      </c>
      <c r="AC30" s="1815"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8"/>
      <c r="Q31" s="1799" t="str">
        <f t="shared" si="11"/>
        <v>是否封闭</v>
      </c>
      <c r="R31" s="770" t="s">
        <v>17</v>
      </c>
      <c r="S31" s="771">
        <f t="shared" si="12"/>
        <v>100</v>
      </c>
      <c r="T31" s="770" t="s">
        <v>17</v>
      </c>
      <c r="U31" s="771">
        <f t="shared" si="13"/>
        <v>100</v>
      </c>
      <c r="V31" s="770" t="s">
        <v>17</v>
      </c>
      <c r="W31" s="771">
        <f t="shared" si="14"/>
        <v>100</v>
      </c>
      <c r="X31" s="772"/>
      <c r="Y31" s="3228"/>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8" t="s">
        <v>2557</v>
      </c>
      <c r="Q32" s="1814">
        <f t="shared" si="11"/>
        <v>111</v>
      </c>
      <c r="R32" s="774" t="s">
        <v>17</v>
      </c>
      <c r="S32" s="775">
        <f t="shared" si="12"/>
        <v>100</v>
      </c>
      <c r="T32" s="774" t="s">
        <v>17</v>
      </c>
      <c r="U32" s="775">
        <f t="shared" si="13"/>
        <v>100</v>
      </c>
      <c r="V32" s="774" t="s">
        <v>17</v>
      </c>
      <c r="W32" s="775">
        <f t="shared" si="14"/>
        <v>100</v>
      </c>
      <c r="X32" s="1817"/>
      <c r="Y32" s="3228" t="s">
        <v>2557</v>
      </c>
      <c r="Z32" s="1818">
        <f t="shared" si="15"/>
        <v>111</v>
      </c>
      <c r="AA32" s="1815">
        <f t="shared" si="3"/>
        <v>1</v>
      </c>
      <c r="AB32" s="1815">
        <f t="shared" si="4"/>
        <v>1</v>
      </c>
      <c r="AC32" s="1815">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8"/>
      <c r="Q33" s="1814">
        <f t="shared" si="11"/>
        <v>111</v>
      </c>
      <c r="R33" s="774" t="s">
        <v>17</v>
      </c>
      <c r="S33" s="775">
        <f t="shared" si="12"/>
        <v>100</v>
      </c>
      <c r="T33" s="774" t="s">
        <v>17</v>
      </c>
      <c r="U33" s="775">
        <f t="shared" si="13"/>
        <v>100</v>
      </c>
      <c r="V33" s="774" t="s">
        <v>17</v>
      </c>
      <c r="W33" s="775">
        <f t="shared" si="14"/>
        <v>100</v>
      </c>
      <c r="X33" s="1817"/>
      <c r="Y33" s="3228"/>
      <c r="Z33" s="1818">
        <f t="shared" si="15"/>
        <v>111</v>
      </c>
      <c r="AA33" s="1815">
        <f t="shared" si="3"/>
        <v>1</v>
      </c>
      <c r="AB33" s="1815">
        <f t="shared" si="4"/>
        <v>1</v>
      </c>
      <c r="AC33" s="1815">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28"/>
      <c r="Q34" s="1814">
        <f t="shared" si="11"/>
        <v>111</v>
      </c>
      <c r="R34" s="774" t="s">
        <v>17</v>
      </c>
      <c r="S34" s="775">
        <f t="shared" si="12"/>
        <v>100</v>
      </c>
      <c r="T34" s="774" t="s">
        <v>17</v>
      </c>
      <c r="U34" s="775">
        <f t="shared" si="13"/>
        <v>100</v>
      </c>
      <c r="V34" s="774" t="s">
        <v>17</v>
      </c>
      <c r="W34" s="775">
        <f t="shared" si="14"/>
        <v>100</v>
      </c>
      <c r="X34" s="1817"/>
      <c r="Y34" s="3228"/>
      <c r="Z34" s="1818">
        <f t="shared" si="15"/>
        <v>111</v>
      </c>
      <c r="AA34" s="1815">
        <f t="shared" si="3"/>
        <v>1</v>
      </c>
      <c r="AB34" s="1815">
        <f t="shared" si="4"/>
        <v>1</v>
      </c>
      <c r="AC34" s="1815">
        <f t="shared" si="5"/>
        <v>1</v>
      </c>
    </row>
    <row r="35" spans="1:29" ht="15">
      <c r="A35" s="479" t="s">
        <v>2569</v>
      </c>
      <c r="B35" s="480"/>
      <c r="C35" s="1410" t="s">
        <v>1</v>
      </c>
      <c r="D35" s="1411"/>
      <c r="E35" s="1412"/>
      <c r="F35" s="1413"/>
      <c r="G35" s="1414"/>
      <c r="H35" s="1415"/>
      <c r="I35" s="1412"/>
      <c r="J35" s="1415"/>
      <c r="K35" s="783"/>
      <c r="L35" s="1146"/>
      <c r="M35" s="1147"/>
      <c r="N35" s="1134"/>
      <c r="O35" s="1147"/>
      <c r="P35" s="3230" t="str">
        <f>A35</f>
        <v>成交单价（元/平方米）</v>
      </c>
      <c r="Q35" s="3230"/>
      <c r="R35" s="3231">
        <f>E35</f>
        <v>0</v>
      </c>
      <c r="S35" s="3231"/>
      <c r="T35" s="3231">
        <f>G35</f>
        <v>0</v>
      </c>
      <c r="U35" s="3231"/>
      <c r="V35" s="3231">
        <f>I35</f>
        <v>0</v>
      </c>
      <c r="W35" s="3231"/>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230" t="str">
        <f>A36</f>
        <v>比较价值（元/平方米）</v>
      </c>
      <c r="Q36" s="3230"/>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271" t="str">
        <f>A37</f>
        <v>估价对象XX用房的比较价值（楼面单价，元/平方米）</v>
      </c>
      <c r="Q37" s="3272"/>
      <c r="R37" s="3273" t="e">
        <f>IF(F1="售价",ROUND(AVERAGE(R36:V36),0),ROUND(AVERAGE(R36:V36),1))</f>
        <v>#DIV/0!</v>
      </c>
      <c r="S37" s="3273"/>
      <c r="T37" s="3273"/>
      <c r="U37" s="3273"/>
      <c r="V37" s="3273"/>
      <c r="W37" s="327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205" t="s">
        <v>2638</v>
      </c>
      <c r="D4" s="3206"/>
      <c r="E4" s="3207" t="s">
        <v>2639</v>
      </c>
      <c r="F4" s="3208"/>
      <c r="G4" s="3205" t="s">
        <v>2640</v>
      </c>
      <c r="H4" s="3206"/>
      <c r="I4" s="3205" t="s">
        <v>2641</v>
      </c>
      <c r="J4" s="3206"/>
      <c r="K4" s="610" t="s">
        <v>2642</v>
      </c>
      <c r="L4" s="1133"/>
      <c r="M4" s="1134"/>
      <c r="N4" s="1134"/>
      <c r="O4" s="1134"/>
      <c r="P4" s="3267" t="s">
        <v>2643</v>
      </c>
      <c r="Q4" s="3268"/>
      <c r="R4" s="3263" t="s">
        <v>2639</v>
      </c>
      <c r="S4" s="3264"/>
      <c r="T4" s="3263" t="s">
        <v>2640</v>
      </c>
      <c r="U4" s="3264"/>
      <c r="V4" s="3218" t="s">
        <v>2641</v>
      </c>
      <c r="W4" s="3218"/>
      <c r="X4" s="1817"/>
      <c r="Y4" s="3263" t="s">
        <v>2643</v>
      </c>
      <c r="Z4" s="3264"/>
      <c r="AA4" s="3262" t="s">
        <v>2639</v>
      </c>
      <c r="AB4" s="3184" t="s">
        <v>2640</v>
      </c>
      <c r="AC4" s="3262" t="s">
        <v>2641</v>
      </c>
    </row>
    <row r="5" spans="1:30" ht="15">
      <c r="A5" s="404"/>
      <c r="B5" s="405"/>
      <c r="C5" s="3266" t="s">
        <v>2534</v>
      </c>
      <c r="D5" s="3195"/>
      <c r="E5" s="3265" t="s">
        <v>2535</v>
      </c>
      <c r="F5" s="3193"/>
      <c r="G5" s="3266" t="s">
        <v>2536</v>
      </c>
      <c r="H5" s="3195"/>
      <c r="I5" s="3266" t="s">
        <v>2537</v>
      </c>
      <c r="J5" s="3195"/>
      <c r="K5" s="610"/>
      <c r="L5" s="1133"/>
      <c r="M5" s="1134"/>
      <c r="N5" s="1134"/>
      <c r="O5" s="1134"/>
      <c r="P5" s="3269"/>
      <c r="Q5" s="3212"/>
      <c r="R5" s="3190"/>
      <c r="S5" s="3191"/>
      <c r="T5" s="3190"/>
      <c r="U5" s="3191"/>
      <c r="V5" s="3218"/>
      <c r="W5" s="3218"/>
      <c r="X5" s="1817"/>
      <c r="Y5" s="3190"/>
      <c r="Z5" s="3191"/>
      <c r="AA5" s="3184"/>
      <c r="AB5" s="3184"/>
      <c r="AC5" s="3184"/>
    </row>
    <row r="6" spans="1:30" ht="15.75" thickBot="1">
      <c r="A6" s="406"/>
      <c r="B6" s="407"/>
      <c r="C6" s="3196" t="s">
        <v>2538</v>
      </c>
      <c r="D6" s="3197"/>
      <c r="E6" s="3199" t="s">
        <v>2538</v>
      </c>
      <c r="F6" s="3200"/>
      <c r="G6" s="3196" t="s">
        <v>2538</v>
      </c>
      <c r="H6" s="3197"/>
      <c r="I6" s="3196" t="s">
        <v>2538</v>
      </c>
      <c r="J6" s="3197"/>
      <c r="K6" s="610" t="s">
        <v>2539</v>
      </c>
      <c r="L6" s="1133"/>
      <c r="M6" s="1134"/>
      <c r="N6" s="1134"/>
      <c r="O6" s="1134"/>
      <c r="P6" s="3270"/>
      <c r="Q6" s="3214"/>
      <c r="R6" s="3190"/>
      <c r="S6" s="3191"/>
      <c r="T6" s="3215"/>
      <c r="U6" s="3216"/>
      <c r="V6" s="3218"/>
      <c r="W6" s="3218"/>
      <c r="X6" s="1817"/>
      <c r="Y6" s="3215"/>
      <c r="Z6" s="3216"/>
      <c r="AA6" s="3185"/>
      <c r="AB6" s="3185"/>
      <c r="AC6" s="3185"/>
    </row>
    <row r="7" spans="1:30" s="117" customFormat="1" ht="15.75" thickBot="1">
      <c r="A7" s="408" t="s">
        <v>2540</v>
      </c>
      <c r="B7" s="409"/>
      <c r="C7" s="410">
        <f>'数据-取费表'!B2</f>
        <v>43056</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86" t="s">
        <v>2541</v>
      </c>
      <c r="Q7" s="3220"/>
      <c r="R7" s="770" t="s">
        <v>17</v>
      </c>
      <c r="S7" s="771">
        <f t="shared" ref="S7:S15" si="0">F7</f>
        <v>0</v>
      </c>
      <c r="T7" s="770" t="s">
        <v>17</v>
      </c>
      <c r="U7" s="771">
        <f t="shared" ref="U7:U15" si="1">H7</f>
        <v>0</v>
      </c>
      <c r="V7" s="770" t="s">
        <v>17</v>
      </c>
      <c r="W7" s="771">
        <f t="shared" ref="W7:W15" si="2">J7</f>
        <v>0</v>
      </c>
      <c r="X7" s="772"/>
      <c r="Y7" s="3186" t="s">
        <v>2541</v>
      </c>
      <c r="Z7" s="3187"/>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6" t="s">
        <v>2544</v>
      </c>
      <c r="Q8" s="3187"/>
      <c r="R8" s="770" t="s">
        <v>17</v>
      </c>
      <c r="S8" s="771">
        <f t="shared" si="0"/>
        <v>0</v>
      </c>
      <c r="T8" s="770" t="s">
        <v>17</v>
      </c>
      <c r="U8" s="771">
        <f t="shared" si="1"/>
        <v>0</v>
      </c>
      <c r="V8" s="770" t="s">
        <v>17</v>
      </c>
      <c r="W8" s="771">
        <f t="shared" si="2"/>
        <v>0</v>
      </c>
      <c r="X8" s="772"/>
      <c r="Y8" s="3186" t="s">
        <v>2544</v>
      </c>
      <c r="Z8" s="3187"/>
      <c r="AA8" s="773" t="e">
        <f t="shared" ref="AA8:AA45" si="3">D8/F8</f>
        <v>#DIV/0!</v>
      </c>
      <c r="AB8" s="773" t="e">
        <f t="shared" ref="AB8:AB45" si="4">D8/H8</f>
        <v>#DIV/0!</v>
      </c>
      <c r="AC8" s="773" t="e">
        <f t="shared" ref="AC8:AC45" si="5">D8/J8</f>
        <v>#DIV/0!</v>
      </c>
    </row>
    <row r="9" spans="1:30" s="117" customFormat="1">
      <c r="A9" s="415" t="s">
        <v>2545</v>
      </c>
      <c r="B9" s="71" t="s">
        <v>2546</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230" t="s">
        <v>2547</v>
      </c>
      <c r="Q9" s="1799" t="str">
        <f t="shared" ref="Q9:Q15" si="6">B9</f>
        <v>用途</v>
      </c>
      <c r="R9" s="770" t="s">
        <v>17</v>
      </c>
      <c r="S9" s="771">
        <f t="shared" si="0"/>
        <v>100</v>
      </c>
      <c r="T9" s="770" t="s">
        <v>17</v>
      </c>
      <c r="U9" s="771">
        <f t="shared" si="1"/>
        <v>100</v>
      </c>
      <c r="V9" s="770" t="s">
        <v>17</v>
      </c>
      <c r="W9" s="771">
        <f t="shared" si="2"/>
        <v>100</v>
      </c>
      <c r="X9" s="772"/>
      <c r="Y9" s="3060"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30"/>
      <c r="Q10" s="1799" t="str">
        <f t="shared" si="6"/>
        <v>土地使用年限（年）</v>
      </c>
      <c r="R10" s="770" t="s">
        <v>17</v>
      </c>
      <c r="S10" s="771">
        <f t="shared" si="0"/>
        <v>108</v>
      </c>
      <c r="T10" s="770" t="s">
        <v>17</v>
      </c>
      <c r="U10" s="771">
        <f t="shared" si="1"/>
        <v>108</v>
      </c>
      <c r="V10" s="770" t="s">
        <v>17</v>
      </c>
      <c r="W10" s="771">
        <f t="shared" si="2"/>
        <v>108</v>
      </c>
      <c r="X10" s="772"/>
      <c r="Y10" s="3060"/>
      <c r="Z10" s="55" t="str">
        <f t="shared" si="7"/>
        <v>土地使用年限（年）</v>
      </c>
      <c r="AA10" s="773">
        <f t="shared" si="3"/>
        <v>0.92592592592592593</v>
      </c>
      <c r="AB10" s="773">
        <f t="shared" si="4"/>
        <v>0.92592592592592593</v>
      </c>
      <c r="AC10" s="773">
        <f t="shared" si="5"/>
        <v>0.92592592592592593</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0"/>
      <c r="Q11" s="1799"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30" s="117" customFormat="1" ht="15">
      <c r="A12" s="431"/>
      <c r="B12" s="2605" t="s">
        <v>2739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0"/>
      <c r="Q12" s="1799" t="str">
        <f t="shared" si="6"/>
        <v>配建</v>
      </c>
      <c r="R12" s="770" t="s">
        <v>17</v>
      </c>
      <c r="S12" s="771">
        <f t="shared" si="0"/>
        <v>100</v>
      </c>
      <c r="T12" s="770" t="s">
        <v>17</v>
      </c>
      <c r="U12" s="771">
        <f t="shared" si="1"/>
        <v>100</v>
      </c>
      <c r="V12" s="770" t="s">
        <v>17</v>
      </c>
      <c r="W12" s="771">
        <f t="shared" si="2"/>
        <v>100</v>
      </c>
      <c r="X12" s="772"/>
      <c r="Y12" s="3060"/>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0"/>
      <c r="Q13" s="1799">
        <f t="shared" si="6"/>
        <v>111</v>
      </c>
      <c r="R13" s="770" t="s">
        <v>17</v>
      </c>
      <c r="S13" s="771">
        <f t="shared" si="0"/>
        <v>100</v>
      </c>
      <c r="T13" s="770" t="s">
        <v>17</v>
      </c>
      <c r="U13" s="771">
        <f t="shared" si="1"/>
        <v>100</v>
      </c>
      <c r="V13" s="770" t="s">
        <v>17</v>
      </c>
      <c r="W13" s="771">
        <f t="shared" si="2"/>
        <v>100</v>
      </c>
      <c r="X13" s="772"/>
      <c r="Y13" s="3060"/>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0"/>
      <c r="Q14" s="1799">
        <f t="shared" si="6"/>
        <v>111</v>
      </c>
      <c r="R14" s="770" t="s">
        <v>17</v>
      </c>
      <c r="S14" s="771">
        <f t="shared" si="0"/>
        <v>100</v>
      </c>
      <c r="T14" s="770" t="s">
        <v>17</v>
      </c>
      <c r="U14" s="771">
        <f t="shared" si="1"/>
        <v>100</v>
      </c>
      <c r="V14" s="770" t="s">
        <v>17</v>
      </c>
      <c r="W14" s="771">
        <f t="shared" si="2"/>
        <v>100</v>
      </c>
      <c r="X14" s="772"/>
      <c r="Y14" s="3060"/>
      <c r="Z14" s="55">
        <f t="shared" si="7"/>
        <v>111</v>
      </c>
      <c r="AA14" s="773">
        <f>D14/F14</f>
        <v>1</v>
      </c>
      <c r="AB14" s="773">
        <f>D14/H14</f>
        <v>1</v>
      </c>
      <c r="AC14" s="773">
        <f>D14/J14</f>
        <v>1</v>
      </c>
    </row>
    <row r="15" spans="1:30" ht="15">
      <c r="A15" s="440" t="s">
        <v>2551</v>
      </c>
      <c r="B15" s="69" t="s">
        <v>2087</v>
      </c>
      <c r="C15" s="260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3" t="s">
        <v>2552</v>
      </c>
      <c r="Q15" s="1814" t="str">
        <f t="shared" si="6"/>
        <v>居住社区成熟度</v>
      </c>
      <c r="R15" s="774" t="s">
        <v>17</v>
      </c>
      <c r="S15" s="775">
        <f t="shared" si="0"/>
        <v>100</v>
      </c>
      <c r="T15" s="774" t="s">
        <v>17</v>
      </c>
      <c r="U15" s="775">
        <f t="shared" si="1"/>
        <v>100</v>
      </c>
      <c r="V15" s="774" t="s">
        <v>17</v>
      </c>
      <c r="W15" s="775">
        <f t="shared" si="2"/>
        <v>100</v>
      </c>
      <c r="X15" s="1817"/>
      <c r="Y15" s="3223" t="s">
        <v>2552</v>
      </c>
      <c r="Z15" s="1818" t="str">
        <f t="shared" si="7"/>
        <v>居住社区成熟度</v>
      </c>
      <c r="AA15" s="1815">
        <f t="shared" si="3"/>
        <v>1</v>
      </c>
      <c r="AB15" s="1815">
        <f t="shared" si="4"/>
        <v>1</v>
      </c>
      <c r="AC15" s="1815">
        <f t="shared" si="5"/>
        <v>1</v>
      </c>
    </row>
    <row r="16" spans="1:30" ht="15">
      <c r="A16" s="428"/>
      <c r="B16" s="446"/>
      <c r="C16" s="447"/>
      <c r="D16" s="448"/>
      <c r="E16" s="2610"/>
      <c r="F16" s="448"/>
      <c r="G16" s="2610"/>
      <c r="H16" s="450"/>
      <c r="I16" s="2609"/>
      <c r="J16" s="448"/>
      <c r="K16" s="672"/>
      <c r="L16" s="1143"/>
      <c r="M16" s="1134"/>
      <c r="N16" s="1134"/>
      <c r="O16" s="1142"/>
      <c r="P16" s="3224"/>
      <c r="Q16" s="1814"/>
      <c r="R16" s="774"/>
      <c r="S16" s="775"/>
      <c r="T16" s="774"/>
      <c r="U16" s="775"/>
      <c r="V16" s="774"/>
      <c r="W16" s="775"/>
      <c r="X16" s="1817"/>
      <c r="Y16" s="3224"/>
      <c r="Z16" s="1818"/>
      <c r="AA16" s="1815">
        <v>1</v>
      </c>
      <c r="AB16" s="1815">
        <v>1</v>
      </c>
      <c r="AC16" s="1815">
        <v>1</v>
      </c>
    </row>
    <row r="17" spans="1:29" ht="99.75">
      <c r="A17" s="428"/>
      <c r="B17" s="451" t="s">
        <v>2645</v>
      </c>
      <c r="C17" s="2669" t="str">
        <f>估价对象房地状况!C16</f>
        <v>估价对象位于北京临空经济核心区，周边商业多以住宅底商为主，人流量一般，商业繁华度一般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4"/>
      <c r="Q17" s="1814" t="str">
        <f>B17</f>
        <v>商业繁华度</v>
      </c>
      <c r="R17" s="774" t="s">
        <v>17</v>
      </c>
      <c r="S17" s="775">
        <f>F17</f>
        <v>100</v>
      </c>
      <c r="T17" s="774" t="s">
        <v>17</v>
      </c>
      <c r="U17" s="775">
        <f>H17</f>
        <v>100</v>
      </c>
      <c r="V17" s="774" t="s">
        <v>17</v>
      </c>
      <c r="W17" s="775">
        <f>J17</f>
        <v>100</v>
      </c>
      <c r="X17" s="1817"/>
      <c r="Y17" s="3224"/>
      <c r="Z17" s="1818" t="str">
        <f>Q17</f>
        <v>商业繁华度</v>
      </c>
      <c r="AA17" s="1815">
        <f t="shared" si="3"/>
        <v>1</v>
      </c>
      <c r="AB17" s="1815">
        <f t="shared" si="4"/>
        <v>1</v>
      </c>
      <c r="AC17" s="1815">
        <f t="shared" si="5"/>
        <v>1</v>
      </c>
    </row>
    <row r="18" spans="1:29" ht="15">
      <c r="A18" s="428"/>
      <c r="B18" s="456"/>
      <c r="C18" s="2613"/>
      <c r="D18" s="450"/>
      <c r="E18" s="2615"/>
      <c r="F18" s="450"/>
      <c r="G18" s="2615"/>
      <c r="H18" s="448"/>
      <c r="I18" s="2614"/>
      <c r="J18" s="448"/>
      <c r="K18" s="672"/>
      <c r="L18" s="1143"/>
      <c r="M18" s="1134"/>
      <c r="N18" s="1134"/>
      <c r="O18" s="1142"/>
      <c r="P18" s="3224"/>
      <c r="Q18" s="1814"/>
      <c r="R18" s="774"/>
      <c r="S18" s="775"/>
      <c r="T18" s="774"/>
      <c r="U18" s="775"/>
      <c r="V18" s="774"/>
      <c r="W18" s="775"/>
      <c r="X18" s="1817"/>
      <c r="Y18" s="3224"/>
      <c r="Z18" s="1818"/>
      <c r="AA18" s="1815">
        <v>1</v>
      </c>
      <c r="AB18" s="1815">
        <v>1</v>
      </c>
      <c r="AC18" s="1815">
        <v>1</v>
      </c>
    </row>
    <row r="19" spans="1:29" ht="85.5">
      <c r="A19" s="428"/>
      <c r="B19" s="451" t="s">
        <v>2679</v>
      </c>
      <c r="C19" s="2669" t="str">
        <f>估价对象房地状况!C17</f>
        <v>估价对象位于北京临空经济核心区，周边办公楼项目较少，入驻率高，办公集聚程度一般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4"/>
      <c r="Q19" s="1814" t="str">
        <f>B19</f>
        <v>办公集聚程度</v>
      </c>
      <c r="R19" s="774" t="s">
        <v>17</v>
      </c>
      <c r="S19" s="775">
        <f>F19</f>
        <v>100</v>
      </c>
      <c r="T19" s="774" t="s">
        <v>17</v>
      </c>
      <c r="U19" s="775">
        <f>H19</f>
        <v>100</v>
      </c>
      <c r="V19" s="774" t="s">
        <v>17</v>
      </c>
      <c r="W19" s="775">
        <f>J19</f>
        <v>100</v>
      </c>
      <c r="X19" s="1817"/>
      <c r="Y19" s="3224"/>
      <c r="Z19" s="1818" t="str">
        <f>Q19</f>
        <v>办公集聚程度</v>
      </c>
      <c r="AA19" s="1815">
        <f t="shared" si="3"/>
        <v>1</v>
      </c>
      <c r="AB19" s="1815">
        <f t="shared" si="4"/>
        <v>1</v>
      </c>
      <c r="AC19" s="1815">
        <f t="shared" si="5"/>
        <v>1</v>
      </c>
    </row>
    <row r="20" spans="1:29" ht="15">
      <c r="A20" s="428"/>
      <c r="B20" s="456"/>
      <c r="C20" s="447"/>
      <c r="D20" s="448"/>
      <c r="E20" s="2610"/>
      <c r="F20" s="448"/>
      <c r="G20" s="2610"/>
      <c r="H20" s="448"/>
      <c r="I20" s="2609"/>
      <c r="J20" s="448"/>
      <c r="K20" s="672"/>
      <c r="L20" s="1143"/>
      <c r="M20" s="1134"/>
      <c r="N20" s="1134"/>
      <c r="O20" s="1142"/>
      <c r="P20" s="3224"/>
      <c r="Q20" s="1814"/>
      <c r="R20" s="774"/>
      <c r="S20" s="775"/>
      <c r="T20" s="774"/>
      <c r="U20" s="775"/>
      <c r="V20" s="774"/>
      <c r="W20" s="775"/>
      <c r="X20" s="1817"/>
      <c r="Y20" s="3224"/>
      <c r="Z20" s="1818"/>
      <c r="AA20" s="1815">
        <v>1</v>
      </c>
      <c r="AB20" s="1815">
        <v>1</v>
      </c>
      <c r="AC20" s="1815">
        <v>1</v>
      </c>
    </row>
    <row r="21" spans="1:29" ht="185.25">
      <c r="A21" s="428"/>
      <c r="B21" s="451" t="s">
        <v>2701</v>
      </c>
      <c r="C21" s="2612" t="str">
        <f>估价对象房地状况!C18</f>
        <v>估价对象周边路网密集程度较高，行车出入较为方便。周边1公里范围内有359路、640路、顺22路、空港10路、空港1路等不足十条公交线路，距地铁机场线T3航站楼站约2.2公里，公共交通便捷度一般。</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4"/>
      <c r="Q21" s="1814" t="str">
        <f>B21</f>
        <v>交通便捷度</v>
      </c>
      <c r="R21" s="774" t="s">
        <v>17</v>
      </c>
      <c r="S21" s="775">
        <f>F21</f>
        <v>100</v>
      </c>
      <c r="T21" s="774" t="s">
        <v>17</v>
      </c>
      <c r="U21" s="775">
        <f>H21</f>
        <v>100</v>
      </c>
      <c r="V21" s="774" t="s">
        <v>17</v>
      </c>
      <c r="W21" s="775">
        <f>J21</f>
        <v>100</v>
      </c>
      <c r="X21" s="1817"/>
      <c r="Y21" s="3224"/>
      <c r="Z21" s="1818" t="str">
        <f>Q21</f>
        <v>交通便捷度</v>
      </c>
      <c r="AA21" s="1815">
        <f t="shared" si="3"/>
        <v>1</v>
      </c>
      <c r="AB21" s="1815">
        <f t="shared" si="4"/>
        <v>1</v>
      </c>
      <c r="AC21" s="1815">
        <f t="shared" si="5"/>
        <v>1</v>
      </c>
    </row>
    <row r="22" spans="1:29" ht="15">
      <c r="A22" s="428"/>
      <c r="B22" s="1387"/>
      <c r="C22" s="447"/>
      <c r="D22" s="450"/>
      <c r="E22" s="2610"/>
      <c r="F22" s="448"/>
      <c r="G22" s="2610"/>
      <c r="H22" s="448"/>
      <c r="I22" s="2609"/>
      <c r="J22" s="448"/>
      <c r="K22" s="672"/>
      <c r="L22" s="1143"/>
      <c r="M22" s="1134"/>
      <c r="N22" s="1134"/>
      <c r="O22" s="1142"/>
      <c r="P22" s="3224"/>
      <c r="Q22" s="1814"/>
      <c r="R22" s="774"/>
      <c r="S22" s="775"/>
      <c r="T22" s="774"/>
      <c r="U22" s="775"/>
      <c r="V22" s="774"/>
      <c r="W22" s="775"/>
      <c r="X22" s="1817"/>
      <c r="Y22" s="3224"/>
      <c r="Z22" s="1818"/>
      <c r="AA22" s="1815">
        <v>1</v>
      </c>
      <c r="AB22" s="1815">
        <v>1</v>
      </c>
      <c r="AC22" s="1815">
        <v>1</v>
      </c>
    </row>
    <row r="23" spans="1:29" ht="15">
      <c r="A23" s="404"/>
      <c r="B23" s="451" t="s">
        <v>2740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4"/>
      <c r="Q23" s="1814" t="str">
        <f t="shared" ref="Q23:Q37" si="8">B23</f>
        <v>区域土地利用方向</v>
      </c>
      <c r="R23" s="774" t="s">
        <v>17</v>
      </c>
      <c r="S23" s="775">
        <f>F23</f>
        <v>100</v>
      </c>
      <c r="T23" s="774" t="s">
        <v>17</v>
      </c>
      <c r="U23" s="775">
        <f>H23</f>
        <v>100</v>
      </c>
      <c r="V23" s="774" t="s">
        <v>17</v>
      </c>
      <c r="W23" s="775">
        <f>J23</f>
        <v>100</v>
      </c>
      <c r="X23" s="1817"/>
      <c r="Y23" s="3224"/>
      <c r="Z23" s="1818" t="str">
        <f>Q23</f>
        <v>区域土地利用方向</v>
      </c>
      <c r="AA23" s="1815">
        <f t="shared" si="3"/>
        <v>1</v>
      </c>
      <c r="AB23" s="1815">
        <f t="shared" si="4"/>
        <v>1</v>
      </c>
      <c r="AC23" s="1815">
        <f t="shared" si="5"/>
        <v>1</v>
      </c>
    </row>
    <row r="24" spans="1:29" ht="15">
      <c r="A24" s="404"/>
      <c r="B24" s="456"/>
      <c r="C24" s="616"/>
      <c r="D24" s="448"/>
      <c r="E24" s="2610"/>
      <c r="F24" s="448"/>
      <c r="G24" s="2609"/>
      <c r="H24" s="448"/>
      <c r="I24" s="2609"/>
      <c r="J24" s="448"/>
      <c r="K24" s="812"/>
      <c r="L24" s="1143"/>
      <c r="M24" s="1134"/>
      <c r="N24" s="1134"/>
      <c r="O24" s="1142"/>
      <c r="P24" s="3224"/>
      <c r="Q24" s="1814"/>
      <c r="R24" s="774"/>
      <c r="S24" s="775"/>
      <c r="T24" s="774"/>
      <c r="U24" s="775"/>
      <c r="V24" s="774"/>
      <c r="W24" s="775"/>
      <c r="X24" s="1817"/>
      <c r="Y24" s="3224"/>
      <c r="Z24" s="1818"/>
      <c r="AA24" s="1815"/>
      <c r="AB24" s="1815"/>
      <c r="AC24" s="1815"/>
    </row>
    <row r="25" spans="1:29" ht="114">
      <c r="A25" s="404"/>
      <c r="B25" s="1387" t="s">
        <v>2741</v>
      </c>
      <c r="C25" s="2669" t="str">
        <f>估价对象房地状况!C20</f>
        <v>估价对象2公里内有西湖园，自然环境一般，区域内有首都机场体育馆，人文环境一般。综合评价环境状况一般。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4"/>
      <c r="Q25" s="1814" t="str">
        <f t="shared" si="8"/>
        <v>自然及人文环境状况</v>
      </c>
      <c r="R25" s="774" t="s">
        <v>17</v>
      </c>
      <c r="S25" s="775">
        <f>F25</f>
        <v>100</v>
      </c>
      <c r="T25" s="774" t="s">
        <v>17</v>
      </c>
      <c r="U25" s="775">
        <f>H25</f>
        <v>100</v>
      </c>
      <c r="V25" s="774" t="s">
        <v>17</v>
      </c>
      <c r="W25" s="775">
        <f>J25</f>
        <v>100</v>
      </c>
      <c r="X25" s="1817"/>
      <c r="Y25" s="3224"/>
      <c r="Z25" s="1818" t="str">
        <f>Q25</f>
        <v>自然及人文环境状况</v>
      </c>
      <c r="AA25" s="1815">
        <f t="shared" si="3"/>
        <v>1</v>
      </c>
      <c r="AB25" s="1815">
        <f t="shared" si="4"/>
        <v>1</v>
      </c>
      <c r="AC25" s="1815">
        <f t="shared" si="5"/>
        <v>1</v>
      </c>
    </row>
    <row r="26" spans="1:29" ht="15">
      <c r="A26" s="404"/>
      <c r="B26" s="456"/>
      <c r="C26" s="447"/>
      <c r="D26" s="448"/>
      <c r="E26" s="2616"/>
      <c r="F26" s="448"/>
      <c r="G26" s="2616"/>
      <c r="H26" s="448"/>
      <c r="I26" s="447"/>
      <c r="J26" s="448"/>
      <c r="K26" s="672"/>
      <c r="L26" s="1143"/>
      <c r="M26" s="1134"/>
      <c r="N26" s="1134"/>
      <c r="O26" s="1142"/>
      <c r="P26" s="3224"/>
      <c r="Q26" s="1814"/>
      <c r="R26" s="774"/>
      <c r="S26" s="775"/>
      <c r="T26" s="774"/>
      <c r="U26" s="775"/>
      <c r="V26" s="774"/>
      <c r="W26" s="775"/>
      <c r="X26" s="1817"/>
      <c r="Y26" s="3224"/>
      <c r="Z26" s="1818"/>
      <c r="AA26" s="1815">
        <v>1</v>
      </c>
      <c r="AB26" s="1815">
        <v>1</v>
      </c>
      <c r="AC26" s="1815">
        <v>1</v>
      </c>
    </row>
    <row r="27" spans="1:29" s="117" customFormat="1" ht="228">
      <c r="A27" s="649"/>
      <c r="B27" s="1387" t="s">
        <v>2646</v>
      </c>
      <c r="C27" s="2612"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4"/>
      <c r="Q27" s="1799" t="str">
        <f t="shared" si="8"/>
        <v>公共配套设施</v>
      </c>
      <c r="R27" s="770" t="s">
        <v>17</v>
      </c>
      <c r="S27" s="771">
        <f>F27</f>
        <v>100</v>
      </c>
      <c r="T27" s="770" t="s">
        <v>17</v>
      </c>
      <c r="U27" s="771">
        <f>H27</f>
        <v>100</v>
      </c>
      <c r="V27" s="770" t="s">
        <v>17</v>
      </c>
      <c r="W27" s="771">
        <f>J27</f>
        <v>100</v>
      </c>
      <c r="X27" s="772"/>
      <c r="Y27" s="3224"/>
      <c r="Z27" s="55" t="str">
        <f>Q27</f>
        <v>公共配套设施</v>
      </c>
      <c r="AA27" s="1815">
        <f>D27/F27</f>
        <v>1</v>
      </c>
      <c r="AB27" s="1815">
        <f>D27/H27</f>
        <v>1</v>
      </c>
      <c r="AC27" s="1815">
        <f>D27/J27</f>
        <v>1</v>
      </c>
    </row>
    <row r="28" spans="1:29" s="117" customFormat="1" ht="15">
      <c r="A28" s="649"/>
      <c r="B28" s="456"/>
      <c r="C28" s="2705"/>
      <c r="D28" s="448"/>
      <c r="E28" s="2616"/>
      <c r="F28" s="448"/>
      <c r="G28" s="2616"/>
      <c r="H28" s="448"/>
      <c r="I28" s="447"/>
      <c r="J28" s="448"/>
      <c r="K28" s="672"/>
      <c r="L28" s="1135"/>
      <c r="M28" s="1136"/>
      <c r="N28" s="1136"/>
      <c r="O28" s="1137"/>
      <c r="P28" s="3224"/>
      <c r="Q28" s="1799"/>
      <c r="R28" s="770"/>
      <c r="S28" s="771"/>
      <c r="T28" s="770"/>
      <c r="U28" s="771"/>
      <c r="V28" s="770"/>
      <c r="W28" s="771"/>
      <c r="X28" s="772"/>
      <c r="Y28" s="3224"/>
      <c r="Z28" s="55"/>
      <c r="AA28" s="1815">
        <v>1</v>
      </c>
      <c r="AB28" s="1815">
        <v>1</v>
      </c>
      <c r="AC28" s="1815">
        <v>1</v>
      </c>
    </row>
    <row r="29" spans="1:29" s="117" customFormat="1" ht="42.75">
      <c r="A29" s="649"/>
      <c r="B29" s="1387" t="s">
        <v>2647</v>
      </c>
      <c r="C29" s="2612"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4"/>
      <c r="Q29" s="1799" t="str">
        <f t="shared" ref="Q29" si="9">B29</f>
        <v>基础设施水平</v>
      </c>
      <c r="R29" s="770" t="s">
        <v>17</v>
      </c>
      <c r="S29" s="771">
        <f>F29</f>
        <v>100</v>
      </c>
      <c r="T29" s="770" t="s">
        <v>17</v>
      </c>
      <c r="U29" s="771">
        <f>H29</f>
        <v>100</v>
      </c>
      <c r="V29" s="770" t="s">
        <v>17</v>
      </c>
      <c r="W29" s="771">
        <f>J29</f>
        <v>100</v>
      </c>
      <c r="X29" s="772"/>
      <c r="Y29" s="3224"/>
      <c r="Z29" s="55" t="str">
        <f>Q29</f>
        <v>基础设施水平</v>
      </c>
      <c r="AA29" s="1815">
        <f>D29/F29</f>
        <v>1</v>
      </c>
      <c r="AB29" s="1815">
        <f>D29/H29</f>
        <v>1</v>
      </c>
      <c r="AC29" s="1815">
        <f>D29/J29</f>
        <v>1</v>
      </c>
    </row>
    <row r="30" spans="1:29" s="117" customFormat="1" ht="15">
      <c r="A30" s="649"/>
      <c r="B30" s="456"/>
      <c r="C30" s="2705"/>
      <c r="D30" s="448"/>
      <c r="E30" s="2706"/>
      <c r="F30" s="448"/>
      <c r="G30" s="2706"/>
      <c r="H30" s="448"/>
      <c r="I30" s="2706"/>
      <c r="J30" s="448"/>
      <c r="K30" s="672"/>
      <c r="L30" s="1135"/>
      <c r="M30" s="1136"/>
      <c r="N30" s="1136"/>
      <c r="O30" s="1137"/>
      <c r="P30" s="3224"/>
      <c r="Q30" s="1799"/>
      <c r="R30" s="770"/>
      <c r="S30" s="771"/>
      <c r="T30" s="770"/>
      <c r="U30" s="771"/>
      <c r="V30" s="770"/>
      <c r="W30" s="771"/>
      <c r="X30" s="772"/>
      <c r="Y30" s="3224"/>
      <c r="Z30" s="55"/>
      <c r="AA30" s="1815">
        <v>1</v>
      </c>
      <c r="AB30" s="1815">
        <v>1</v>
      </c>
      <c r="AC30" s="1815">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4"/>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24"/>
      <c r="Z31" s="1818" t="str">
        <f t="shared" ref="Z31:Z45" si="13">Q31</f>
        <v>临街状况</v>
      </c>
      <c r="AA31" s="1815">
        <f t="shared" si="3"/>
        <v>1</v>
      </c>
      <c r="AB31" s="1815">
        <f t="shared" si="4"/>
        <v>1</v>
      </c>
      <c r="AC31" s="1815">
        <f t="shared" si="5"/>
        <v>1</v>
      </c>
    </row>
    <row r="32" spans="1:29" ht="27">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4"/>
      <c r="Q32" s="1814" t="str">
        <f t="shared" si="8"/>
        <v>毗邻道路的类型与等级</v>
      </c>
      <c r="R32" s="774" t="s">
        <v>17</v>
      </c>
      <c r="S32" s="775">
        <f t="shared" si="10"/>
        <v>100</v>
      </c>
      <c r="T32" s="774" t="s">
        <v>17</v>
      </c>
      <c r="U32" s="775">
        <f t="shared" si="11"/>
        <v>100</v>
      </c>
      <c r="V32" s="774" t="s">
        <v>17</v>
      </c>
      <c r="W32" s="775">
        <f t="shared" si="12"/>
        <v>100</v>
      </c>
      <c r="X32" s="1817"/>
      <c r="Y32" s="3224"/>
      <c r="Z32" s="1818" t="str">
        <f t="shared" si="13"/>
        <v>毗邻道路的类型与等级</v>
      </c>
      <c r="AA32" s="1815">
        <f t="shared" si="3"/>
        <v>1</v>
      </c>
      <c r="AB32" s="1815">
        <f t="shared" si="4"/>
        <v>1</v>
      </c>
      <c r="AC32" s="1815">
        <f t="shared" si="5"/>
        <v>1</v>
      </c>
    </row>
    <row r="33" spans="1:29" ht="15">
      <c r="A33" s="428"/>
      <c r="B33" s="456"/>
      <c r="C33" s="447"/>
      <c r="D33" s="448"/>
      <c r="E33" s="2616"/>
      <c r="F33" s="448"/>
      <c r="G33" s="2616"/>
      <c r="H33" s="448"/>
      <c r="I33" s="447"/>
      <c r="J33" s="448"/>
      <c r="K33" s="613"/>
      <c r="L33" s="1143"/>
      <c r="M33" s="1134"/>
      <c r="N33" s="1134"/>
      <c r="O33" s="1142"/>
      <c r="P33" s="3224"/>
      <c r="Q33" s="1814"/>
      <c r="R33" s="774"/>
      <c r="S33" s="775"/>
      <c r="T33" s="774"/>
      <c r="U33" s="775"/>
      <c r="V33" s="774"/>
      <c r="W33" s="775"/>
      <c r="X33" s="1817"/>
      <c r="Y33" s="3224"/>
      <c r="Z33" s="1818"/>
      <c r="AA33" s="1815">
        <v>1</v>
      </c>
      <c r="AB33" s="1815">
        <v>1</v>
      </c>
      <c r="AC33" s="1815">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4"/>
      <c r="Q34" s="1814" t="str">
        <f t="shared" si="8"/>
        <v>土地级别</v>
      </c>
      <c r="R34" s="774" t="s">
        <v>17</v>
      </c>
      <c r="S34" s="775">
        <f t="shared" si="10"/>
        <v>100</v>
      </c>
      <c r="T34" s="774" t="s">
        <v>17</v>
      </c>
      <c r="U34" s="775">
        <f t="shared" si="11"/>
        <v>100</v>
      </c>
      <c r="V34" s="774" t="s">
        <v>17</v>
      </c>
      <c r="W34" s="775">
        <f t="shared" si="12"/>
        <v>100</v>
      </c>
      <c r="X34" s="1817"/>
      <c r="Y34" s="3224"/>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4"/>
      <c r="Q35" s="1814">
        <f t="shared" si="8"/>
        <v>111</v>
      </c>
      <c r="R35" s="774" t="s">
        <v>17</v>
      </c>
      <c r="S35" s="775">
        <f t="shared" si="10"/>
        <v>100</v>
      </c>
      <c r="T35" s="774" t="s">
        <v>17</v>
      </c>
      <c r="U35" s="775">
        <f t="shared" si="11"/>
        <v>100</v>
      </c>
      <c r="V35" s="774" t="s">
        <v>17</v>
      </c>
      <c r="W35" s="775">
        <f t="shared" si="12"/>
        <v>100</v>
      </c>
      <c r="X35" s="1817"/>
      <c r="Y35" s="3224"/>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4" t="s">
        <v>2557</v>
      </c>
      <c r="Q36" s="1814">
        <f t="shared" si="8"/>
        <v>111</v>
      </c>
      <c r="R36" s="774" t="s">
        <v>17</v>
      </c>
      <c r="S36" s="775">
        <f t="shared" si="10"/>
        <v>100</v>
      </c>
      <c r="T36" s="774" t="s">
        <v>17</v>
      </c>
      <c r="U36" s="775">
        <f t="shared" si="11"/>
        <v>100</v>
      </c>
      <c r="V36" s="774" t="s">
        <v>17</v>
      </c>
      <c r="W36" s="775">
        <f t="shared" si="12"/>
        <v>100</v>
      </c>
      <c r="X36" s="1817"/>
      <c r="Y36" s="3228" t="s">
        <v>2557</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8"/>
      <c r="Q37" s="1814">
        <f t="shared" si="8"/>
        <v>111</v>
      </c>
      <c r="R37" s="777" t="s">
        <v>17</v>
      </c>
      <c r="S37" s="778">
        <f t="shared" si="10"/>
        <v>100</v>
      </c>
      <c r="T37" s="777" t="s">
        <v>17</v>
      </c>
      <c r="U37" s="778">
        <f t="shared" si="11"/>
        <v>100</v>
      </c>
      <c r="V37" s="777" t="s">
        <v>17</v>
      </c>
      <c r="W37" s="778">
        <f t="shared" si="12"/>
        <v>100</v>
      </c>
      <c r="X37" s="779"/>
      <c r="Y37" s="3228"/>
      <c r="Z37" s="780">
        <f t="shared" si="13"/>
        <v>111</v>
      </c>
      <c r="AA37" s="1815">
        <f t="shared" si="3"/>
        <v>1</v>
      </c>
      <c r="AB37" s="1815">
        <f t="shared" si="4"/>
        <v>1</v>
      </c>
      <c r="AC37" s="1815">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8"/>
      <c r="Q38" s="1814" t="str">
        <f>B38</f>
        <v>宗地面积</v>
      </c>
      <c r="R38" s="774" t="s">
        <v>17</v>
      </c>
      <c r="S38" s="775" t="e">
        <f t="shared" si="10"/>
        <v>#N/A</v>
      </c>
      <c r="T38" s="774" t="s">
        <v>17</v>
      </c>
      <c r="U38" s="775" t="e">
        <f t="shared" si="11"/>
        <v>#N/A</v>
      </c>
      <c r="V38" s="774" t="s">
        <v>17</v>
      </c>
      <c r="W38" s="775" t="e">
        <f t="shared" si="12"/>
        <v>#N/A</v>
      </c>
      <c r="X38" s="1817"/>
      <c r="Y38" s="3228"/>
      <c r="Z38" s="1818" t="str">
        <f t="shared" si="13"/>
        <v>宗地面积</v>
      </c>
      <c r="AA38" s="1815" t="e">
        <f t="shared" si="3"/>
        <v>#N/A</v>
      </c>
      <c r="AB38" s="1815" t="e">
        <f t="shared" si="4"/>
        <v>#N/A</v>
      </c>
      <c r="AC38" s="1815" t="e">
        <f t="shared" si="5"/>
        <v>#N/A</v>
      </c>
    </row>
    <row r="39" spans="1:29" ht="15">
      <c r="A39" s="472"/>
      <c r="B39" s="422" t="s">
        <v>2744</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28"/>
      <c r="Q39" s="1814" t="str">
        <f t="shared" ref="Q39:Q45" si="14">B39</f>
        <v>宗地形状</v>
      </c>
      <c r="R39" s="774" t="s">
        <v>17</v>
      </c>
      <c r="S39" s="775">
        <f t="shared" si="10"/>
        <v>100</v>
      </c>
      <c r="T39" s="774" t="s">
        <v>17</v>
      </c>
      <c r="U39" s="775">
        <f t="shared" si="11"/>
        <v>100</v>
      </c>
      <c r="V39" s="774" t="s">
        <v>17</v>
      </c>
      <c r="W39" s="775">
        <f t="shared" si="12"/>
        <v>100</v>
      </c>
      <c r="X39" s="1817"/>
      <c r="Y39" s="3228"/>
      <c r="Z39" s="1818" t="str">
        <f t="shared" si="13"/>
        <v>宗地形状</v>
      </c>
      <c r="AA39" s="1815">
        <f t="shared" si="3"/>
        <v>1</v>
      </c>
      <c r="AB39" s="1815">
        <f t="shared" si="4"/>
        <v>1</v>
      </c>
      <c r="AC39" s="1815">
        <f t="shared" si="5"/>
        <v>1</v>
      </c>
    </row>
    <row r="40" spans="1:29" ht="15">
      <c r="A40" s="472"/>
      <c r="B40" s="422" t="s">
        <v>2745</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28"/>
      <c r="Q40" s="1814" t="str">
        <f t="shared" si="14"/>
        <v>临街宽度及深度</v>
      </c>
      <c r="R40" s="774" t="s">
        <v>17</v>
      </c>
      <c r="S40" s="775">
        <f t="shared" si="10"/>
        <v>100</v>
      </c>
      <c r="T40" s="774" t="s">
        <v>17</v>
      </c>
      <c r="U40" s="775">
        <f t="shared" si="11"/>
        <v>100</v>
      </c>
      <c r="V40" s="774" t="s">
        <v>17</v>
      </c>
      <c r="W40" s="775">
        <f t="shared" si="12"/>
        <v>100</v>
      </c>
      <c r="X40" s="1817"/>
      <c r="Y40" s="3228"/>
      <c r="Z40" s="1818" t="str">
        <f t="shared" si="13"/>
        <v>临街宽度及深度</v>
      </c>
      <c r="AA40" s="1815">
        <f t="shared" si="3"/>
        <v>1</v>
      </c>
      <c r="AB40" s="1815">
        <f t="shared" si="4"/>
        <v>1</v>
      </c>
      <c r="AC40" s="1815">
        <f t="shared" si="5"/>
        <v>1</v>
      </c>
    </row>
    <row r="41" spans="1:29" s="117" customFormat="1" ht="15">
      <c r="A41" s="473"/>
      <c r="B41" s="422" t="s">
        <v>2746</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28"/>
      <c r="Q41" s="1814" t="str">
        <f t="shared" si="14"/>
        <v>宗地开发程度</v>
      </c>
      <c r="R41" s="770" t="s">
        <v>17</v>
      </c>
      <c r="S41" s="771">
        <f t="shared" si="10"/>
        <v>100</v>
      </c>
      <c r="T41" s="770" t="s">
        <v>17</v>
      </c>
      <c r="U41" s="771">
        <f t="shared" si="11"/>
        <v>100</v>
      </c>
      <c r="V41" s="770" t="s">
        <v>17</v>
      </c>
      <c r="W41" s="771">
        <f t="shared" si="12"/>
        <v>100</v>
      </c>
      <c r="X41" s="772"/>
      <c r="Y41" s="3228"/>
      <c r="Z41" s="55" t="str">
        <f t="shared" si="13"/>
        <v>宗地开发程度</v>
      </c>
      <c r="AA41" s="773">
        <f t="shared" si="3"/>
        <v>1</v>
      </c>
      <c r="AB41" s="773">
        <f t="shared" si="4"/>
        <v>1</v>
      </c>
      <c r="AC41" s="773">
        <f t="shared" si="5"/>
        <v>1</v>
      </c>
    </row>
    <row r="42" spans="1:29" ht="15">
      <c r="A42" s="472"/>
      <c r="B42" s="422" t="s">
        <v>2747</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28" t="s">
        <v>2557</v>
      </c>
      <c r="Q42" s="1814" t="str">
        <f t="shared" si="14"/>
        <v>工程地质条件</v>
      </c>
      <c r="R42" s="774" t="s">
        <v>17</v>
      </c>
      <c r="S42" s="775">
        <f t="shared" si="10"/>
        <v>100</v>
      </c>
      <c r="T42" s="774" t="s">
        <v>17</v>
      </c>
      <c r="U42" s="775">
        <f t="shared" si="11"/>
        <v>100</v>
      </c>
      <c r="V42" s="774" t="s">
        <v>17</v>
      </c>
      <c r="W42" s="775">
        <f t="shared" si="12"/>
        <v>100</v>
      </c>
      <c r="X42" s="1817"/>
      <c r="Y42" s="3228" t="s">
        <v>2557</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8"/>
      <c r="Q43" s="1814">
        <f t="shared" si="14"/>
        <v>111</v>
      </c>
      <c r="R43" s="774" t="s">
        <v>17</v>
      </c>
      <c r="S43" s="775">
        <f t="shared" si="10"/>
        <v>100</v>
      </c>
      <c r="T43" s="774" t="s">
        <v>17</v>
      </c>
      <c r="U43" s="775">
        <f t="shared" si="11"/>
        <v>100</v>
      </c>
      <c r="V43" s="774" t="s">
        <v>17</v>
      </c>
      <c r="W43" s="775">
        <f t="shared" si="12"/>
        <v>100</v>
      </c>
      <c r="X43" s="1817"/>
      <c r="Y43" s="3228"/>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8"/>
      <c r="Q44" s="1814">
        <f t="shared" si="14"/>
        <v>111</v>
      </c>
      <c r="R44" s="774" t="s">
        <v>17</v>
      </c>
      <c r="S44" s="775">
        <f t="shared" si="10"/>
        <v>100</v>
      </c>
      <c r="T44" s="774" t="s">
        <v>17</v>
      </c>
      <c r="U44" s="775">
        <f t="shared" si="11"/>
        <v>100</v>
      </c>
      <c r="V44" s="774" t="s">
        <v>17</v>
      </c>
      <c r="W44" s="775">
        <f t="shared" si="12"/>
        <v>100</v>
      </c>
      <c r="X44" s="1817"/>
      <c r="Y44" s="3228"/>
      <c r="Z44" s="1818">
        <f t="shared" si="13"/>
        <v>111</v>
      </c>
      <c r="AA44" s="1815">
        <f t="shared" si="3"/>
        <v>1</v>
      </c>
      <c r="AB44" s="1815">
        <f t="shared" si="4"/>
        <v>1</v>
      </c>
      <c r="AC44" s="1815">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8"/>
      <c r="Q45" s="1814">
        <f t="shared" si="14"/>
        <v>111</v>
      </c>
      <c r="R45" s="777" t="s">
        <v>17</v>
      </c>
      <c r="S45" s="778">
        <f t="shared" si="10"/>
        <v>100</v>
      </c>
      <c r="T45" s="777" t="s">
        <v>17</v>
      </c>
      <c r="U45" s="778">
        <f t="shared" si="11"/>
        <v>100</v>
      </c>
      <c r="V45" s="777" t="s">
        <v>17</v>
      </c>
      <c r="W45" s="778">
        <f t="shared" si="12"/>
        <v>100</v>
      </c>
      <c r="X45" s="779"/>
      <c r="Y45" s="3228"/>
      <c r="Z45" s="780">
        <f t="shared" si="13"/>
        <v>111</v>
      </c>
      <c r="AA45" s="1815">
        <f t="shared" si="3"/>
        <v>1</v>
      </c>
      <c r="AB45" s="1815">
        <f t="shared" si="4"/>
        <v>1</v>
      </c>
      <c r="AC45" s="1815">
        <f t="shared" si="5"/>
        <v>1</v>
      </c>
    </row>
    <row r="46" spans="1:29" ht="15">
      <c r="A46" s="479" t="s">
        <v>2712</v>
      </c>
      <c r="B46" s="2709" t="s">
        <v>2748</v>
      </c>
      <c r="C46" s="682" t="s">
        <v>1</v>
      </c>
      <c r="D46" s="481"/>
      <c r="E46" s="482"/>
      <c r="F46" s="483"/>
      <c r="G46" s="484"/>
      <c r="H46" s="485"/>
      <c r="I46" s="482"/>
      <c r="J46" s="485"/>
      <c r="K46" s="783"/>
      <c r="L46" s="1146"/>
      <c r="M46" s="1147"/>
      <c r="N46" s="1134"/>
      <c r="O46" s="1147"/>
      <c r="P46" s="3230" t="str">
        <f>A46</f>
        <v>成交单价</v>
      </c>
      <c r="Q46" s="3230"/>
      <c r="R46" s="3218">
        <f>E46</f>
        <v>0</v>
      </c>
      <c r="S46" s="3218"/>
      <c r="T46" s="3218">
        <f>G46</f>
        <v>0</v>
      </c>
      <c r="U46" s="3218"/>
      <c r="V46" s="3218">
        <f>I46</f>
        <v>0</v>
      </c>
      <c r="W46" s="3218"/>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6"/>
      <c r="M47" s="1147"/>
      <c r="N47" s="1147"/>
      <c r="O47" s="1147"/>
      <c r="P47" s="3230" t="str">
        <f>A47</f>
        <v>比较价值（元/平方米）</v>
      </c>
      <c r="Q47" s="3230"/>
      <c r="R47" s="3275" t="e">
        <f>ROUND(PRODUCT(R46,AA7:AA45),0)</f>
        <v>#DIV/0!</v>
      </c>
      <c r="S47" s="3275"/>
      <c r="T47" s="3275" t="e">
        <f>ROUND(PRODUCT(T46,AB7:AB45),0)</f>
        <v>#DIV/0!</v>
      </c>
      <c r="U47" s="3275"/>
      <c r="V47" s="3275" t="e">
        <f>ROUND(PRODUCT(V46,AC7:AC45),0)</f>
        <v>#DIV/0!</v>
      </c>
      <c r="W47" s="3275"/>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6"/>
      <c r="M48" s="1147"/>
      <c r="N48" s="1147"/>
      <c r="O48" s="1147"/>
      <c r="P48" s="3271" t="str">
        <f>A48</f>
        <v>估价对象XX用房的比较价值（楼面单价，元/平方米）</v>
      </c>
      <c r="Q48" s="3272"/>
      <c r="R48" s="3276" t="e">
        <f>ROUND(AVERAGE(R47:V47),0)</f>
        <v>#DIV/0!</v>
      </c>
      <c r="S48" s="3276"/>
      <c r="T48" s="3276"/>
      <c r="U48" s="3276"/>
      <c r="V48" s="3276"/>
      <c r="W48" s="327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2750</v>
      </c>
      <c r="B55" s="685" t="s">
        <v>2751</v>
      </c>
      <c r="C55" s="2710" t="s">
        <v>2752</v>
      </c>
      <c r="D55" s="2711" t="s">
        <v>2753</v>
      </c>
      <c r="E55" s="686" t="s">
        <v>2754</v>
      </c>
      <c r="F55" s="1110" t="s">
        <v>2755</v>
      </c>
      <c r="G55" s="3205" t="s">
        <v>2756</v>
      </c>
      <c r="H55" s="3277"/>
      <c r="I55" s="144" t="s">
        <v>2757</v>
      </c>
      <c r="J55" s="2712">
        <f>项目基本情况!F35</f>
        <v>0</v>
      </c>
      <c r="K55" s="2713" t="s">
        <v>2758</v>
      </c>
      <c r="L55" s="1109"/>
      <c r="M55" s="1147"/>
      <c r="N55" s="1147"/>
      <c r="O55" s="1147"/>
    </row>
    <row r="56" spans="1:15" s="692" customFormat="1">
      <c r="A56" s="688" t="s">
        <v>2759</v>
      </c>
      <c r="B56" s="689" t="e">
        <f>C48</f>
        <v>#DIV/0!</v>
      </c>
      <c r="C56" s="690">
        <v>1</v>
      </c>
      <c r="D56" s="1166">
        <v>1</v>
      </c>
      <c r="E56" s="690">
        <f>'数据-汇总表'!E8+'数据-汇总表'!E9</f>
        <v>1266.6499999999999</v>
      </c>
      <c r="F56" s="1106" t="e">
        <f t="shared" ref="F56:F65" si="15">ROUND(B56*E56/10000,0)</f>
        <v>#DIV/0!</v>
      </c>
      <c r="G56" s="3201"/>
      <c r="H56" s="3230"/>
      <c r="I56" s="1111">
        <v>1</v>
      </c>
      <c r="J56" s="1114">
        <v>1</v>
      </c>
      <c r="K56" s="1148"/>
      <c r="L56" s="944"/>
      <c r="M56" s="944"/>
      <c r="N56" s="944"/>
      <c r="O56" s="944"/>
    </row>
    <row r="57" spans="1:15" s="692" customFormat="1">
      <c r="A57" s="693" t="s">
        <v>2760</v>
      </c>
      <c r="B57" s="262" t="e">
        <f>ROUND($C$48*C57*D57,0)</f>
        <v>#DIV/0!</v>
      </c>
      <c r="C57" s="200">
        <f t="shared" ref="C57:C65" si="16">IF($C$55="北京市系数",I57,J57)</f>
        <v>0</v>
      </c>
      <c r="D57" s="1167">
        <v>0.25</v>
      </c>
      <c r="E57" s="694"/>
      <c r="F57" s="1106" t="e">
        <f t="shared" si="15"/>
        <v>#DIV/0!</v>
      </c>
      <c r="G57" s="3278" t="s">
        <v>2761</v>
      </c>
      <c r="H57" s="1107">
        <f>项目基本情况!B37</f>
        <v>0</v>
      </c>
      <c r="I57" s="1111">
        <f>SUMIF(修正!A45:A56,H57,修正!B45:B56)</f>
        <v>0</v>
      </c>
      <c r="J57" s="1115"/>
      <c r="K57" s="1147"/>
      <c r="L57" s="944"/>
      <c r="M57" s="944"/>
      <c r="N57" s="944"/>
      <c r="O57" s="944"/>
    </row>
    <row r="58" spans="1:15" s="692" customFormat="1">
      <c r="A58" s="693" t="s">
        <v>2762</v>
      </c>
      <c r="B58" s="262" t="e">
        <f t="shared" ref="B58:B65" si="17">ROUND($C$48*C58*D58,0)</f>
        <v>#DIV/0!</v>
      </c>
      <c r="C58" s="200">
        <f t="shared" si="16"/>
        <v>0</v>
      </c>
      <c r="D58" s="1167">
        <v>0.25</v>
      </c>
      <c r="E58" s="694"/>
      <c r="F58" s="1106" t="e">
        <f t="shared" si="15"/>
        <v>#DIV/0!</v>
      </c>
      <c r="G58" s="3278"/>
      <c r="H58" s="1107">
        <f>项目基本情况!B37</f>
        <v>0</v>
      </c>
      <c r="I58" s="1111">
        <f>SUMIF(修正!A45:A56,H58,修正!C45:C56)</f>
        <v>0</v>
      </c>
      <c r="J58" s="1115"/>
      <c r="K58" s="1148"/>
      <c r="L58" s="944"/>
      <c r="M58" s="944"/>
      <c r="N58" s="944"/>
      <c r="O58" s="944"/>
    </row>
    <row r="59" spans="1:15" s="692" customFormat="1">
      <c r="A59" s="693" t="s">
        <v>2763</v>
      </c>
      <c r="B59" s="262" t="e">
        <f t="shared" si="17"/>
        <v>#DIV/0!</v>
      </c>
      <c r="C59" s="200">
        <f t="shared" si="16"/>
        <v>0</v>
      </c>
      <c r="D59" s="1167">
        <v>0.25</v>
      </c>
      <c r="E59" s="694"/>
      <c r="F59" s="1106" t="e">
        <f t="shared" si="15"/>
        <v>#DIV/0!</v>
      </c>
      <c r="G59" s="3278"/>
      <c r="H59" s="1107">
        <f>项目基本情况!B37</f>
        <v>0</v>
      </c>
      <c r="I59" s="1111">
        <f>SUMIF(修正!A45:A56,H59,修正!D45:D56)</f>
        <v>0</v>
      </c>
      <c r="J59" s="1115"/>
      <c r="K59" s="1147"/>
      <c r="L59" s="944"/>
      <c r="M59" s="944"/>
      <c r="N59" s="944"/>
      <c r="O59" s="944"/>
    </row>
    <row r="60" spans="1:15" s="692" customFormat="1">
      <c r="A60" s="693" t="s">
        <v>2764</v>
      </c>
      <c r="B60" s="262" t="e">
        <f t="shared" si="17"/>
        <v>#DIV/0!</v>
      </c>
      <c r="C60" s="200">
        <f t="shared" si="16"/>
        <v>0</v>
      </c>
      <c r="D60" s="1167">
        <v>0.25</v>
      </c>
      <c r="E60" s="694"/>
      <c r="F60" s="1106" t="e">
        <f t="shared" si="15"/>
        <v>#DIV/0!</v>
      </c>
      <c r="G60" s="3278"/>
      <c r="H60" s="1107">
        <f>项目基本情况!B37</f>
        <v>0</v>
      </c>
      <c r="I60" s="1111">
        <f>SUMIF(修正!A45:A56,H60,修正!E45:E56)</f>
        <v>0</v>
      </c>
      <c r="J60" s="1115"/>
      <c r="K60" s="1148"/>
      <c r="L60" s="944"/>
      <c r="M60" s="944"/>
      <c r="N60" s="944"/>
      <c r="O60" s="944"/>
    </row>
    <row r="61" spans="1:15" s="692" customFormat="1">
      <c r="A61" s="693" t="s">
        <v>2765</v>
      </c>
      <c r="B61" s="262" t="e">
        <f t="shared" si="17"/>
        <v>#DIV/0!</v>
      </c>
      <c r="C61" s="200">
        <f t="shared" si="16"/>
        <v>0.25</v>
      </c>
      <c r="D61" s="1167">
        <v>0.25</v>
      </c>
      <c r="E61" s="261">
        <f>'数据-汇总表'!E11</f>
        <v>0</v>
      </c>
      <c r="F61" s="1106" t="e">
        <f t="shared" si="15"/>
        <v>#DIV/0!</v>
      </c>
      <c r="G61" s="2714" t="s">
        <v>2766</v>
      </c>
      <c r="H61" s="1107" t="str">
        <f>项目基本情况!C37</f>
        <v>七级</v>
      </c>
      <c r="I61" s="1111">
        <f>SUMIF(修正!A45:A56,H61,修正!F45:F56)</f>
        <v>0.25</v>
      </c>
      <c r="J61" s="1115"/>
      <c r="K61" s="1147"/>
      <c r="L61" s="944"/>
      <c r="M61" s="944"/>
      <c r="N61" s="944"/>
      <c r="O61" s="944"/>
    </row>
    <row r="62" spans="1:15" s="692" customFormat="1">
      <c r="A62" s="693" t="s">
        <v>2767</v>
      </c>
      <c r="B62" s="262" t="e">
        <f t="shared" si="17"/>
        <v>#DIV/0!</v>
      </c>
      <c r="C62" s="200">
        <f t="shared" si="16"/>
        <v>0.25</v>
      </c>
      <c r="D62" s="1167">
        <v>0.25</v>
      </c>
      <c r="E62" s="261">
        <f>'数据-汇总表'!E12</f>
        <v>0</v>
      </c>
      <c r="F62" s="1106" t="e">
        <f t="shared" si="15"/>
        <v>#DIV/0!</v>
      </c>
      <c r="G62" s="1112" t="s">
        <v>2768</v>
      </c>
      <c r="H62" s="1107" t="str">
        <f>IF(G62="商业",项目基本情况!B37,IF(G62="办公",项目基本情况!C37,IF(G62="住宅",项目基本情况!D37,项目基本情况!E37)))</f>
        <v>七级</v>
      </c>
      <c r="I62" s="1111">
        <f>SUMIF(修正!A45:A56,H62,修正!G45:G56)</f>
        <v>0.25</v>
      </c>
      <c r="J62" s="1115"/>
      <c r="K62" s="1148"/>
      <c r="L62" s="944"/>
      <c r="M62" s="944"/>
      <c r="N62" s="944"/>
      <c r="O62" s="944"/>
    </row>
    <row r="63" spans="1:15" s="692" customFormat="1">
      <c r="A63" s="693" t="s">
        <v>2769</v>
      </c>
      <c r="B63" s="262" t="e">
        <f t="shared" si="17"/>
        <v>#DIV/0!</v>
      </c>
      <c r="C63" s="200">
        <f t="shared" si="16"/>
        <v>0</v>
      </c>
      <c r="D63" s="1167">
        <v>0.25</v>
      </c>
      <c r="E63" s="261">
        <f>'数据-汇总表'!E13</f>
        <v>0</v>
      </c>
      <c r="F63" s="1106" t="e">
        <f t="shared" si="15"/>
        <v>#DIV/0!</v>
      </c>
      <c r="G63" s="1112" t="s">
        <v>2770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2771</v>
      </c>
      <c r="B64" s="262" t="e">
        <f t="shared" si="17"/>
        <v>#DIV/0!</v>
      </c>
      <c r="C64" s="200">
        <f t="shared" si="16"/>
        <v>0</v>
      </c>
      <c r="D64" s="1167">
        <v>0.25</v>
      </c>
      <c r="E64" s="261">
        <f>'数据-汇总表'!E14</f>
        <v>0</v>
      </c>
      <c r="F64" s="1106" t="e">
        <f t="shared" si="15"/>
        <v>#DIV/0!</v>
      </c>
      <c r="G64" s="2714" t="s">
        <v>2761</v>
      </c>
      <c r="H64" s="1107">
        <f>项目基本情况!B37</f>
        <v>0</v>
      </c>
      <c r="I64" s="1111">
        <f>SUMIF(修正!A45:A56,H64,修正!H45:H56)</f>
        <v>0</v>
      </c>
      <c r="J64" s="1115"/>
      <c r="K64" s="1148"/>
      <c r="L64" s="944"/>
      <c r="M64" s="944"/>
      <c r="N64" s="944"/>
      <c r="O64" s="944"/>
    </row>
    <row r="65" spans="1:17" s="692" customFormat="1" ht="15" thickBot="1">
      <c r="A65" s="693" t="s">
        <v>2772</v>
      </c>
      <c r="B65" s="262" t="e">
        <f t="shared" si="17"/>
        <v>#DIV/0!</v>
      </c>
      <c r="C65" s="200">
        <f t="shared" si="16"/>
        <v>0.2</v>
      </c>
      <c r="D65" s="1167">
        <v>0.25</v>
      </c>
      <c r="E65" s="261">
        <f>'数据-汇总表'!E15</f>
        <v>0</v>
      </c>
      <c r="F65" s="1106" t="e">
        <f t="shared" si="15"/>
        <v>#DIV/0!</v>
      </c>
      <c r="G65" s="2715" t="s">
        <v>2766</v>
      </c>
      <c r="H65" s="1117" t="str">
        <f>项目基本情况!C37</f>
        <v>七级</v>
      </c>
      <c r="I65" s="1113">
        <f>SUMIF(修正!A45:A56,H65,修正!H45:H56)</f>
        <v>0.2</v>
      </c>
      <c r="J65" s="1116"/>
      <c r="K65" s="1147"/>
      <c r="L65" s="944"/>
      <c r="M65" s="944"/>
      <c r="N65" s="944"/>
      <c r="O65" s="944"/>
    </row>
    <row r="66" spans="1:17" s="692" customFormat="1" ht="13.5" thickBot="1">
      <c r="A66" s="695" t="s">
        <v>2773</v>
      </c>
      <c r="B66" s="696" t="s">
        <v>28</v>
      </c>
      <c r="C66" s="696" t="s">
        <v>29</v>
      </c>
      <c r="D66" s="696" t="s">
        <v>1029</v>
      </c>
      <c r="E66" s="696">
        <f>IF(B46="楼面地价",SUM(E56:E65),'数据-汇总表'!D3)</f>
        <v>1266.6499999999999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16" t="s">
        <v>2774</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7" t="s">
        <v>2775</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205" t="s">
        <v>2638</v>
      </c>
      <c r="D4" s="3206"/>
      <c r="E4" s="3207" t="s">
        <v>2639</v>
      </c>
      <c r="F4" s="3208"/>
      <c r="G4" s="3205" t="s">
        <v>2640</v>
      </c>
      <c r="H4" s="3206"/>
      <c r="I4" s="3205" t="s">
        <v>2641</v>
      </c>
      <c r="J4" s="3206"/>
      <c r="K4" s="610" t="s">
        <v>2642</v>
      </c>
      <c r="L4" s="1133"/>
      <c r="M4" s="1134"/>
      <c r="N4" s="1134"/>
      <c r="O4" s="1134"/>
      <c r="P4" s="3267" t="s">
        <v>2643</v>
      </c>
      <c r="Q4" s="3268"/>
      <c r="R4" s="3263" t="s">
        <v>2639</v>
      </c>
      <c r="S4" s="3264"/>
      <c r="T4" s="3263" t="s">
        <v>2640</v>
      </c>
      <c r="U4" s="3264"/>
      <c r="V4" s="3218" t="s">
        <v>2641</v>
      </c>
      <c r="W4" s="3218"/>
      <c r="X4" s="1817"/>
      <c r="Y4" s="3263" t="s">
        <v>2643</v>
      </c>
      <c r="Z4" s="3264"/>
      <c r="AA4" s="3262" t="s">
        <v>2639</v>
      </c>
      <c r="AB4" s="3184" t="s">
        <v>2640</v>
      </c>
      <c r="AC4" s="3262" t="s">
        <v>2641</v>
      </c>
    </row>
    <row r="5" spans="1:29" ht="15">
      <c r="A5" s="404"/>
      <c r="B5" s="405"/>
      <c r="C5" s="3266" t="s">
        <v>2534</v>
      </c>
      <c r="D5" s="3195"/>
      <c r="E5" s="3265" t="s">
        <v>2535</v>
      </c>
      <c r="F5" s="3193"/>
      <c r="G5" s="3266" t="s">
        <v>2536</v>
      </c>
      <c r="H5" s="3195"/>
      <c r="I5" s="3266" t="s">
        <v>2537</v>
      </c>
      <c r="J5" s="3195"/>
      <c r="K5" s="610"/>
      <c r="L5" s="1133"/>
      <c r="M5" s="1134"/>
      <c r="N5" s="1134"/>
      <c r="O5" s="1134"/>
      <c r="P5" s="3269"/>
      <c r="Q5" s="3212"/>
      <c r="R5" s="3190"/>
      <c r="S5" s="3191"/>
      <c r="T5" s="3190"/>
      <c r="U5" s="3191"/>
      <c r="V5" s="3218"/>
      <c r="W5" s="3218"/>
      <c r="X5" s="1817"/>
      <c r="Y5" s="3190"/>
      <c r="Z5" s="3191"/>
      <c r="AA5" s="3184"/>
      <c r="AB5" s="3184"/>
      <c r="AC5" s="3184"/>
    </row>
    <row r="6" spans="1:29" ht="15.75" thickBot="1">
      <c r="A6" s="406"/>
      <c r="B6" s="407"/>
      <c r="C6" s="3279" t="s">
        <v>2789</v>
      </c>
      <c r="D6" s="3280"/>
      <c r="E6" s="3281" t="s">
        <v>2789</v>
      </c>
      <c r="F6" s="3282"/>
      <c r="G6" s="3279" t="s">
        <v>2789</v>
      </c>
      <c r="H6" s="3280"/>
      <c r="I6" s="3279" t="s">
        <v>2789</v>
      </c>
      <c r="J6" s="3280"/>
      <c r="K6" s="610" t="s">
        <v>2539</v>
      </c>
      <c r="L6" s="1133"/>
      <c r="M6" s="1134"/>
      <c r="N6" s="1134"/>
      <c r="O6" s="1134"/>
      <c r="P6" s="3270"/>
      <c r="Q6" s="3214"/>
      <c r="R6" s="3190"/>
      <c r="S6" s="3191"/>
      <c r="T6" s="3215"/>
      <c r="U6" s="3216"/>
      <c r="V6" s="3218"/>
      <c r="W6" s="3218"/>
      <c r="X6" s="1817"/>
      <c r="Y6" s="3215"/>
      <c r="Z6" s="3216"/>
      <c r="AA6" s="3185"/>
      <c r="AB6" s="3185"/>
      <c r="AC6" s="3185"/>
    </row>
    <row r="7" spans="1:29" s="117" customFormat="1" ht="15.75" thickBot="1">
      <c r="A7" s="408" t="s">
        <v>2540</v>
      </c>
      <c r="B7" s="409"/>
      <c r="C7" s="410">
        <f>'数据-取费表'!B2</f>
        <v>43056</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86" t="s">
        <v>2541</v>
      </c>
      <c r="Q7" s="3220"/>
      <c r="R7" s="770" t="s">
        <v>17</v>
      </c>
      <c r="S7" s="771">
        <f t="shared" ref="S7:S15" si="0">F7</f>
        <v>0</v>
      </c>
      <c r="T7" s="770" t="s">
        <v>17</v>
      </c>
      <c r="U7" s="771">
        <f t="shared" ref="U7:U15" si="1">H7</f>
        <v>0</v>
      </c>
      <c r="V7" s="770" t="s">
        <v>17</v>
      </c>
      <c r="W7" s="771">
        <f t="shared" ref="W7:W15" si="2">J7</f>
        <v>0</v>
      </c>
      <c r="X7" s="772"/>
      <c r="Y7" s="3186" t="s">
        <v>2541</v>
      </c>
      <c r="Z7" s="3187"/>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6" t="s">
        <v>2544</v>
      </c>
      <c r="Q8" s="3187"/>
      <c r="R8" s="770" t="s">
        <v>17</v>
      </c>
      <c r="S8" s="771">
        <f t="shared" si="0"/>
        <v>0</v>
      </c>
      <c r="T8" s="770" t="s">
        <v>17</v>
      </c>
      <c r="U8" s="771">
        <f t="shared" si="1"/>
        <v>0</v>
      </c>
      <c r="V8" s="770" t="s">
        <v>17</v>
      </c>
      <c r="W8" s="771">
        <f t="shared" si="2"/>
        <v>0</v>
      </c>
      <c r="X8" s="772"/>
      <c r="Y8" s="3186" t="s">
        <v>2544</v>
      </c>
      <c r="Z8" s="3187"/>
      <c r="AA8" s="773" t="e">
        <f t="shared" ref="AA8:AA40" si="3">D8/F8</f>
        <v>#DIV/0!</v>
      </c>
      <c r="AB8" s="773" t="e">
        <f t="shared" ref="AB8:AB40" si="4">D8/H8</f>
        <v>#DIV/0!</v>
      </c>
      <c r="AC8" s="773" t="e">
        <f t="shared" ref="AC8:AC40" si="5">D8/J8</f>
        <v>#DIV/0!</v>
      </c>
    </row>
    <row r="9" spans="1:29" s="117" customFormat="1">
      <c r="A9" s="415" t="s">
        <v>2545</v>
      </c>
      <c r="B9" s="71" t="s">
        <v>2546</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30" t="s">
        <v>2547</v>
      </c>
      <c r="Q9" s="1799" t="str">
        <f t="shared" ref="Q9:Q15" si="6">B9</f>
        <v>用途</v>
      </c>
      <c r="R9" s="770" t="s">
        <v>17</v>
      </c>
      <c r="S9" s="771">
        <f t="shared" si="0"/>
        <v>100</v>
      </c>
      <c r="T9" s="770" t="s">
        <v>17</v>
      </c>
      <c r="U9" s="771">
        <f t="shared" si="1"/>
        <v>100</v>
      </c>
      <c r="V9" s="770" t="s">
        <v>17</v>
      </c>
      <c r="W9" s="771">
        <f t="shared" si="2"/>
        <v>100</v>
      </c>
      <c r="X9" s="772"/>
      <c r="Y9" s="3060"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30"/>
      <c r="Q10" s="1799" t="str">
        <f t="shared" si="6"/>
        <v>土地使用年限（年）</v>
      </c>
      <c r="R10" s="770" t="s">
        <v>17</v>
      </c>
      <c r="S10" s="771">
        <f t="shared" si="0"/>
        <v>108</v>
      </c>
      <c r="T10" s="770" t="s">
        <v>17</v>
      </c>
      <c r="U10" s="771">
        <f t="shared" si="1"/>
        <v>108</v>
      </c>
      <c r="V10" s="770" t="s">
        <v>17</v>
      </c>
      <c r="W10" s="771">
        <f t="shared" si="2"/>
        <v>108</v>
      </c>
      <c r="X10" s="772"/>
      <c r="Y10" s="3060"/>
      <c r="Z10" s="55" t="str">
        <f t="shared" si="7"/>
        <v>土地使用年限（年）</v>
      </c>
      <c r="AA10" s="773">
        <f t="shared" si="3"/>
        <v>0.92592592592592593</v>
      </c>
      <c r="AB10" s="773">
        <f t="shared" si="4"/>
        <v>0.92592592592592593</v>
      </c>
      <c r="AC10" s="773">
        <f t="shared" si="5"/>
        <v>0.92592592592592593</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0"/>
      <c r="Q11" s="1799"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0"/>
      <c r="Q12" s="1799">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0"/>
      <c r="Q13" s="1799">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0"/>
      <c r="Q14" s="1799">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57">
      <c r="A15" s="440" t="s">
        <v>2551</v>
      </c>
      <c r="B15" s="629" t="s">
        <v>2790</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3" t="s">
        <v>2552</v>
      </c>
      <c r="Q15" s="1814" t="str">
        <f t="shared" si="6"/>
        <v>产业集聚程度</v>
      </c>
      <c r="R15" s="774" t="s">
        <v>17</v>
      </c>
      <c r="S15" s="775">
        <f t="shared" si="0"/>
        <v>100</v>
      </c>
      <c r="T15" s="774" t="s">
        <v>17</v>
      </c>
      <c r="U15" s="775">
        <f t="shared" si="1"/>
        <v>100</v>
      </c>
      <c r="V15" s="774" t="s">
        <v>17</v>
      </c>
      <c r="W15" s="775">
        <f t="shared" si="2"/>
        <v>100</v>
      </c>
      <c r="X15" s="1817"/>
      <c r="Y15" s="3223" t="s">
        <v>2552</v>
      </c>
      <c r="Z15" s="1818" t="str">
        <f t="shared" si="7"/>
        <v>产业集聚程度</v>
      </c>
      <c r="AA15" s="1815">
        <f t="shared" si="3"/>
        <v>1</v>
      </c>
      <c r="AB15" s="1815">
        <f t="shared" si="4"/>
        <v>1</v>
      </c>
      <c r="AC15" s="1815">
        <f t="shared" si="5"/>
        <v>1</v>
      </c>
    </row>
    <row r="16" spans="1:29" ht="15">
      <c r="A16" s="428"/>
      <c r="B16" s="630"/>
      <c r="C16" s="447"/>
      <c r="D16" s="448"/>
      <c r="E16" s="2616"/>
      <c r="F16" s="448"/>
      <c r="G16" s="2616"/>
      <c r="H16" s="450"/>
      <c r="I16" s="2616"/>
      <c r="J16" s="448"/>
      <c r="K16" s="672"/>
      <c r="L16" s="1143"/>
      <c r="M16" s="1134"/>
      <c r="N16" s="1134"/>
      <c r="O16" s="1142"/>
      <c r="P16" s="3224"/>
      <c r="Q16" s="1814"/>
      <c r="R16" s="774"/>
      <c r="S16" s="775"/>
      <c r="T16" s="774"/>
      <c r="U16" s="775"/>
      <c r="V16" s="774"/>
      <c r="W16" s="775"/>
      <c r="X16" s="1817"/>
      <c r="Y16" s="3224"/>
      <c r="Z16" s="1818"/>
      <c r="AA16" s="1815">
        <v>1</v>
      </c>
      <c r="AB16" s="1815">
        <v>1</v>
      </c>
      <c r="AC16" s="1815">
        <v>1</v>
      </c>
    </row>
    <row r="17" spans="1:29" ht="85.5">
      <c r="A17" s="428"/>
      <c r="B17" s="631" t="s">
        <v>2701</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4"/>
      <c r="Q17" s="1814" t="str">
        <f>B17</f>
        <v>交通便捷度</v>
      </c>
      <c r="R17" s="774" t="s">
        <v>17</v>
      </c>
      <c r="S17" s="775">
        <f>F17</f>
        <v>100</v>
      </c>
      <c r="T17" s="774" t="s">
        <v>17</v>
      </c>
      <c r="U17" s="775">
        <f>H17</f>
        <v>100</v>
      </c>
      <c r="V17" s="774" t="s">
        <v>17</v>
      </c>
      <c r="W17" s="775">
        <f>J17</f>
        <v>100</v>
      </c>
      <c r="X17" s="1817"/>
      <c r="Y17" s="3224"/>
      <c r="Z17" s="1818" t="str">
        <f>Q17</f>
        <v>交通便捷度</v>
      </c>
      <c r="AA17" s="1815">
        <f t="shared" si="3"/>
        <v>1</v>
      </c>
      <c r="AB17" s="1815">
        <f t="shared" si="4"/>
        <v>1</v>
      </c>
      <c r="AC17" s="1815">
        <f t="shared" si="5"/>
        <v>1</v>
      </c>
    </row>
    <row r="18" spans="1:29" ht="15">
      <c r="A18" s="428"/>
      <c r="B18" s="632"/>
      <c r="C18" s="447"/>
      <c r="D18" s="448"/>
      <c r="E18" s="2610"/>
      <c r="F18" s="448"/>
      <c r="G18" s="2610"/>
      <c r="H18" s="448"/>
      <c r="I18" s="2609"/>
      <c r="J18" s="448"/>
      <c r="K18" s="672"/>
      <c r="L18" s="1143"/>
      <c r="M18" s="1134"/>
      <c r="N18" s="1134"/>
      <c r="O18" s="1142"/>
      <c r="P18" s="3224"/>
      <c r="Q18" s="1814"/>
      <c r="R18" s="774"/>
      <c r="S18" s="775"/>
      <c r="T18" s="774"/>
      <c r="U18" s="775"/>
      <c r="V18" s="774"/>
      <c r="W18" s="775"/>
      <c r="X18" s="1817"/>
      <c r="Y18" s="3224"/>
      <c r="Z18" s="1818"/>
      <c r="AA18" s="1815">
        <v>1</v>
      </c>
      <c r="AB18" s="1815">
        <v>1</v>
      </c>
      <c r="AC18" s="1815">
        <v>1</v>
      </c>
    </row>
    <row r="19" spans="1:29" ht="15">
      <c r="A19" s="428"/>
      <c r="B19" s="631" t="s">
        <v>2740</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4"/>
      <c r="Q19" s="1814" t="str">
        <f t="shared" ref="Q19:Q33" si="8">B19</f>
        <v>区域土地利用方向</v>
      </c>
      <c r="R19" s="774" t="s">
        <v>17</v>
      </c>
      <c r="S19" s="775">
        <f>F19</f>
        <v>100</v>
      </c>
      <c r="T19" s="774" t="s">
        <v>17</v>
      </c>
      <c r="U19" s="775">
        <f>H19</f>
        <v>100</v>
      </c>
      <c r="V19" s="774" t="s">
        <v>17</v>
      </c>
      <c r="W19" s="775">
        <f>J19</f>
        <v>100</v>
      </c>
      <c r="X19" s="1817"/>
      <c r="Y19" s="3224"/>
      <c r="Z19" s="1818" t="str">
        <f>Q19</f>
        <v>区域土地利用方向</v>
      </c>
      <c r="AA19" s="1815">
        <f t="shared" si="3"/>
        <v>1</v>
      </c>
      <c r="AB19" s="1815">
        <f t="shared" si="4"/>
        <v>1</v>
      </c>
      <c r="AC19" s="1815">
        <f t="shared" si="5"/>
        <v>1</v>
      </c>
    </row>
    <row r="20" spans="1:29" ht="15">
      <c r="A20" s="404"/>
      <c r="B20" s="632"/>
      <c r="C20" s="447"/>
      <c r="D20" s="448"/>
      <c r="E20" s="2610"/>
      <c r="F20" s="448"/>
      <c r="G20" s="2610"/>
      <c r="H20" s="448"/>
      <c r="I20" s="2610"/>
      <c r="J20" s="448"/>
      <c r="K20" s="812"/>
      <c r="L20" s="1143"/>
      <c r="M20" s="1134"/>
      <c r="N20" s="1134"/>
      <c r="O20" s="1142"/>
      <c r="P20" s="3224"/>
      <c r="Q20" s="1814"/>
      <c r="R20" s="774"/>
      <c r="S20" s="775"/>
      <c r="T20" s="774"/>
      <c r="U20" s="775"/>
      <c r="V20" s="774"/>
      <c r="W20" s="775"/>
      <c r="X20" s="1817"/>
      <c r="Y20" s="3224"/>
      <c r="Z20" s="1818"/>
      <c r="AA20" s="1815"/>
      <c r="AB20" s="1815"/>
      <c r="AC20" s="1815"/>
    </row>
    <row r="21" spans="1:29" ht="71.25">
      <c r="A21" s="404"/>
      <c r="B21" s="631" t="s">
        <v>2791</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4"/>
      <c r="Q21" s="1814" t="str">
        <f t="shared" si="8"/>
        <v>环境状况</v>
      </c>
      <c r="R21" s="774" t="s">
        <v>17</v>
      </c>
      <c r="S21" s="775">
        <f>F21</f>
        <v>100</v>
      </c>
      <c r="T21" s="774" t="s">
        <v>17</v>
      </c>
      <c r="U21" s="775">
        <f>H21</f>
        <v>100</v>
      </c>
      <c r="V21" s="774" t="s">
        <v>17</v>
      </c>
      <c r="W21" s="775">
        <f>J21</f>
        <v>100</v>
      </c>
      <c r="X21" s="1817"/>
      <c r="Y21" s="3224"/>
      <c r="Z21" s="1818" t="str">
        <f>Q21</f>
        <v>环境状况</v>
      </c>
      <c r="AA21" s="1815">
        <f t="shared" si="3"/>
        <v>1</v>
      </c>
      <c r="AB21" s="1815">
        <f t="shared" si="4"/>
        <v>1</v>
      </c>
      <c r="AC21" s="1815">
        <f t="shared" si="5"/>
        <v>1</v>
      </c>
    </row>
    <row r="22" spans="1:29" ht="15">
      <c r="A22" s="404"/>
      <c r="B22" s="632"/>
      <c r="C22" s="447"/>
      <c r="D22" s="448"/>
      <c r="E22" s="2616"/>
      <c r="F22" s="448"/>
      <c r="G22" s="2616"/>
      <c r="H22" s="448"/>
      <c r="I22" s="447"/>
      <c r="J22" s="448"/>
      <c r="K22" s="672"/>
      <c r="L22" s="1143"/>
      <c r="M22" s="1134"/>
      <c r="N22" s="1134"/>
      <c r="O22" s="1142"/>
      <c r="P22" s="3224"/>
      <c r="Q22" s="1814"/>
      <c r="R22" s="774"/>
      <c r="S22" s="775"/>
      <c r="T22" s="774"/>
      <c r="U22" s="775"/>
      <c r="V22" s="774"/>
      <c r="W22" s="775"/>
      <c r="X22" s="1817"/>
      <c r="Y22" s="3224"/>
      <c r="Z22" s="1818"/>
      <c r="AA22" s="1815">
        <v>1</v>
      </c>
      <c r="AB22" s="1815">
        <v>1</v>
      </c>
      <c r="AC22" s="1815">
        <v>1</v>
      </c>
    </row>
    <row r="23" spans="1:29" s="117" customFormat="1" ht="42.75">
      <c r="A23" s="649"/>
      <c r="B23" s="633" t="s">
        <v>2646</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4"/>
      <c r="Q23" s="1799" t="str">
        <f t="shared" si="8"/>
        <v>公共配套设施</v>
      </c>
      <c r="R23" s="770" t="s">
        <v>17</v>
      </c>
      <c r="S23" s="771">
        <f>F23</f>
        <v>100</v>
      </c>
      <c r="T23" s="770" t="s">
        <v>17</v>
      </c>
      <c r="U23" s="771">
        <f>H23</f>
        <v>100</v>
      </c>
      <c r="V23" s="770" t="s">
        <v>17</v>
      </c>
      <c r="W23" s="771">
        <f>J23</f>
        <v>100</v>
      </c>
      <c r="X23" s="772"/>
      <c r="Y23" s="3224"/>
      <c r="Z23" s="55" t="str">
        <f>Q23</f>
        <v>公共配套设施</v>
      </c>
      <c r="AA23" s="1815">
        <f>D23/F23</f>
        <v>1</v>
      </c>
      <c r="AB23" s="1815">
        <f>D23/H23</f>
        <v>1</v>
      </c>
      <c r="AC23" s="1815">
        <f>D23/J23</f>
        <v>1</v>
      </c>
    </row>
    <row r="24" spans="1:29" s="117" customFormat="1" ht="15">
      <c r="A24" s="649"/>
      <c r="B24" s="632"/>
      <c r="C24" s="2705"/>
      <c r="D24" s="448"/>
      <c r="E24" s="2616"/>
      <c r="F24" s="448"/>
      <c r="G24" s="2616"/>
      <c r="H24" s="448"/>
      <c r="I24" s="447"/>
      <c r="J24" s="448"/>
      <c r="K24" s="672"/>
      <c r="L24" s="1135"/>
      <c r="M24" s="1136"/>
      <c r="N24" s="1136"/>
      <c r="O24" s="1137"/>
      <c r="P24" s="3224"/>
      <c r="Q24" s="1799"/>
      <c r="R24" s="770"/>
      <c r="S24" s="771"/>
      <c r="T24" s="770"/>
      <c r="U24" s="771"/>
      <c r="V24" s="770"/>
      <c r="W24" s="771"/>
      <c r="X24" s="772"/>
      <c r="Y24" s="3224"/>
      <c r="Z24" s="55"/>
      <c r="AA24" s="773">
        <v>1</v>
      </c>
      <c r="AB24" s="773">
        <v>1</v>
      </c>
      <c r="AC24" s="773">
        <v>1</v>
      </c>
    </row>
    <row r="25" spans="1:29" s="117" customFormat="1" ht="28.5">
      <c r="A25" s="649"/>
      <c r="B25" s="633" t="s">
        <v>2647</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4"/>
      <c r="Q25" s="1799" t="str">
        <f t="shared" ref="Q25" si="9">B25</f>
        <v>基础设施水平</v>
      </c>
      <c r="R25" s="770" t="s">
        <v>17</v>
      </c>
      <c r="S25" s="771">
        <f>F25</f>
        <v>100</v>
      </c>
      <c r="T25" s="770" t="s">
        <v>17</v>
      </c>
      <c r="U25" s="771">
        <f>H25</f>
        <v>100</v>
      </c>
      <c r="V25" s="770" t="s">
        <v>17</v>
      </c>
      <c r="W25" s="771">
        <f>J25</f>
        <v>100</v>
      </c>
      <c r="X25" s="772"/>
      <c r="Y25" s="3224"/>
      <c r="Z25" s="55" t="str">
        <f>Q25</f>
        <v>基础设施水平</v>
      </c>
      <c r="AA25" s="1815">
        <f>D25/F25</f>
        <v>1</v>
      </c>
      <c r="AB25" s="1815">
        <f>D25/H25</f>
        <v>1</v>
      </c>
      <c r="AC25" s="1815">
        <f>D25/J25</f>
        <v>1</v>
      </c>
    </row>
    <row r="26" spans="1:29" s="117" customFormat="1" ht="15">
      <c r="A26" s="649"/>
      <c r="B26" s="632"/>
      <c r="C26" s="2705"/>
      <c r="D26" s="448"/>
      <c r="E26" s="2706"/>
      <c r="F26" s="448"/>
      <c r="G26" s="2706"/>
      <c r="H26" s="448"/>
      <c r="I26" s="2706"/>
      <c r="J26" s="448"/>
      <c r="K26" s="672"/>
      <c r="L26" s="1135"/>
      <c r="M26" s="1136"/>
      <c r="N26" s="1136"/>
      <c r="O26" s="1137"/>
      <c r="P26" s="3224"/>
      <c r="Q26" s="1799"/>
      <c r="R26" s="770"/>
      <c r="S26" s="771"/>
      <c r="T26" s="770"/>
      <c r="U26" s="771"/>
      <c r="V26" s="770"/>
      <c r="W26" s="771"/>
      <c r="X26" s="772"/>
      <c r="Y26" s="3224"/>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4"/>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24"/>
      <c r="Z27" s="1818" t="str">
        <f t="shared" ref="Z27:Z40" si="13">Q27</f>
        <v>临街状况</v>
      </c>
      <c r="AA27" s="1815">
        <f t="shared" si="3"/>
        <v>1</v>
      </c>
      <c r="AB27" s="1815">
        <f t="shared" si="4"/>
        <v>1</v>
      </c>
      <c r="AC27" s="1815">
        <f t="shared" si="5"/>
        <v>1</v>
      </c>
    </row>
    <row r="28" spans="1:29" ht="27">
      <c r="A28" s="428"/>
      <c r="B28" s="633" t="s">
        <v>2683</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4"/>
      <c r="Q28" s="1814" t="str">
        <f t="shared" si="8"/>
        <v>毗邻道路的类型与等级</v>
      </c>
      <c r="R28" s="774" t="s">
        <v>17</v>
      </c>
      <c r="S28" s="775">
        <f t="shared" si="10"/>
        <v>100</v>
      </c>
      <c r="T28" s="774" t="s">
        <v>17</v>
      </c>
      <c r="U28" s="775">
        <f t="shared" si="11"/>
        <v>100</v>
      </c>
      <c r="V28" s="774" t="s">
        <v>17</v>
      </c>
      <c r="W28" s="775">
        <f t="shared" si="12"/>
        <v>100</v>
      </c>
      <c r="X28" s="1817"/>
      <c r="Y28" s="3224"/>
      <c r="Z28" s="1818" t="str">
        <f t="shared" si="13"/>
        <v>毗邻道路的类型与等级</v>
      </c>
      <c r="AA28" s="1815">
        <f t="shared" si="3"/>
        <v>1</v>
      </c>
      <c r="AB28" s="1815">
        <f t="shared" si="4"/>
        <v>1</v>
      </c>
      <c r="AC28" s="1815">
        <f t="shared" si="5"/>
        <v>1</v>
      </c>
    </row>
    <row r="29" spans="1:29" ht="15">
      <c r="A29" s="428"/>
      <c r="B29" s="632"/>
      <c r="C29" s="447"/>
      <c r="D29" s="448"/>
      <c r="E29" s="2616"/>
      <c r="F29" s="448"/>
      <c r="G29" s="2616"/>
      <c r="H29" s="448"/>
      <c r="I29" s="2616"/>
      <c r="J29" s="448"/>
      <c r="K29" s="613"/>
      <c r="L29" s="1143"/>
      <c r="M29" s="1134"/>
      <c r="N29" s="1134"/>
      <c r="O29" s="1142"/>
      <c r="P29" s="3224"/>
      <c r="Q29" s="1814"/>
      <c r="R29" s="774"/>
      <c r="S29" s="775"/>
      <c r="T29" s="774"/>
      <c r="U29" s="775"/>
      <c r="V29" s="774"/>
      <c r="W29" s="775"/>
      <c r="X29" s="1817"/>
      <c r="Y29" s="3224"/>
      <c r="Z29" s="1818"/>
      <c r="AA29" s="1815">
        <v>1</v>
      </c>
      <c r="AB29" s="1815">
        <v>1</v>
      </c>
      <c r="AC29" s="1815">
        <v>1</v>
      </c>
    </row>
    <row r="30" spans="1:29" ht="15">
      <c r="A30" s="428"/>
      <c r="B30" s="654" t="s">
        <v>2742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4"/>
      <c r="Q30" s="1814" t="str">
        <f t="shared" si="8"/>
        <v>土地级别</v>
      </c>
      <c r="R30" s="774" t="s">
        <v>17</v>
      </c>
      <c r="S30" s="775">
        <f t="shared" si="10"/>
        <v>100</v>
      </c>
      <c r="T30" s="774" t="s">
        <v>17</v>
      </c>
      <c r="U30" s="775">
        <f t="shared" si="11"/>
        <v>100</v>
      </c>
      <c r="V30" s="774" t="s">
        <v>17</v>
      </c>
      <c r="W30" s="775">
        <f t="shared" si="12"/>
        <v>100</v>
      </c>
      <c r="X30" s="1817"/>
      <c r="Y30" s="3224"/>
      <c r="Z30" s="1818" t="str">
        <f t="shared" si="13"/>
        <v>土地级别</v>
      </c>
      <c r="AA30" s="1815">
        <f t="shared" si="3"/>
        <v>1</v>
      </c>
      <c r="AB30" s="1815">
        <f t="shared" si="4"/>
        <v>1</v>
      </c>
      <c r="AC30" s="1815">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4"/>
      <c r="Q31" s="1814">
        <f t="shared" si="8"/>
        <v>111</v>
      </c>
      <c r="R31" s="774" t="s">
        <v>17</v>
      </c>
      <c r="S31" s="775">
        <f t="shared" si="10"/>
        <v>100</v>
      </c>
      <c r="T31" s="774" t="s">
        <v>17</v>
      </c>
      <c r="U31" s="775">
        <f t="shared" si="11"/>
        <v>100</v>
      </c>
      <c r="V31" s="774" t="s">
        <v>17</v>
      </c>
      <c r="W31" s="775">
        <f t="shared" si="12"/>
        <v>100</v>
      </c>
      <c r="X31" s="1817"/>
      <c r="Y31" s="3224"/>
      <c r="Z31" s="1818">
        <f t="shared" si="13"/>
        <v>111</v>
      </c>
      <c r="AA31" s="1815">
        <f t="shared" si="3"/>
        <v>1</v>
      </c>
      <c r="AB31" s="1815">
        <f t="shared" si="4"/>
        <v>1</v>
      </c>
      <c r="AC31" s="1815">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4" t="s">
        <v>2557</v>
      </c>
      <c r="Q32" s="1814">
        <f t="shared" si="8"/>
        <v>111</v>
      </c>
      <c r="R32" s="774" t="s">
        <v>17</v>
      </c>
      <c r="S32" s="775">
        <f t="shared" si="10"/>
        <v>100</v>
      </c>
      <c r="T32" s="774" t="s">
        <v>17</v>
      </c>
      <c r="U32" s="775">
        <f t="shared" si="11"/>
        <v>100</v>
      </c>
      <c r="V32" s="774" t="s">
        <v>17</v>
      </c>
      <c r="W32" s="775">
        <f t="shared" si="12"/>
        <v>100</v>
      </c>
      <c r="X32" s="1817"/>
      <c r="Y32" s="3228" t="s">
        <v>2557</v>
      </c>
      <c r="Z32" s="1818">
        <f t="shared" si="13"/>
        <v>111</v>
      </c>
      <c r="AA32" s="1815">
        <f t="shared" si="3"/>
        <v>1</v>
      </c>
      <c r="AB32" s="1815">
        <f t="shared" si="4"/>
        <v>1</v>
      </c>
      <c r="AC32" s="1815">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8"/>
      <c r="Q33" s="1814">
        <f t="shared" si="8"/>
        <v>111</v>
      </c>
      <c r="R33" s="777" t="s">
        <v>17</v>
      </c>
      <c r="S33" s="778">
        <f t="shared" si="10"/>
        <v>100</v>
      </c>
      <c r="T33" s="777" t="s">
        <v>17</v>
      </c>
      <c r="U33" s="778">
        <f t="shared" si="11"/>
        <v>100</v>
      </c>
      <c r="V33" s="777" t="s">
        <v>17</v>
      </c>
      <c r="W33" s="778">
        <f t="shared" si="12"/>
        <v>100</v>
      </c>
      <c r="X33" s="779"/>
      <c r="Y33" s="3228"/>
      <c r="Z33" s="780">
        <f t="shared" si="13"/>
        <v>111</v>
      </c>
      <c r="AA33" s="1815">
        <f t="shared" si="3"/>
        <v>1</v>
      </c>
      <c r="AB33" s="1815">
        <f t="shared" si="4"/>
        <v>1</v>
      </c>
      <c r="AC33" s="1815">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8"/>
      <c r="Q34" s="1814" t="str">
        <f>B34</f>
        <v>宗地面积</v>
      </c>
      <c r="R34" s="774" t="s">
        <v>17</v>
      </c>
      <c r="S34" s="775" t="e">
        <f t="shared" si="10"/>
        <v>#N/A</v>
      </c>
      <c r="T34" s="774" t="s">
        <v>17</v>
      </c>
      <c r="U34" s="775" t="e">
        <f t="shared" si="11"/>
        <v>#N/A</v>
      </c>
      <c r="V34" s="774" t="s">
        <v>17</v>
      </c>
      <c r="W34" s="775" t="e">
        <f t="shared" si="12"/>
        <v>#N/A</v>
      </c>
      <c r="X34" s="1817"/>
      <c r="Y34" s="3228"/>
      <c r="Z34" s="1818" t="str">
        <f t="shared" si="13"/>
        <v>宗地面积</v>
      </c>
      <c r="AA34" s="1815" t="e">
        <f t="shared" si="3"/>
        <v>#N/A</v>
      </c>
      <c r="AB34" s="1815" t="e">
        <f t="shared" si="4"/>
        <v>#N/A</v>
      </c>
      <c r="AC34" s="1815" t="e">
        <f t="shared" si="5"/>
        <v>#N/A</v>
      </c>
    </row>
    <row r="35" spans="1:29" ht="15">
      <c r="A35" s="472"/>
      <c r="B35" s="422" t="s">
        <v>2744</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28"/>
      <c r="Q35" s="1814" t="str">
        <f t="shared" ref="Q35:Q40" si="14">B35</f>
        <v>宗地形状</v>
      </c>
      <c r="R35" s="774" t="s">
        <v>17</v>
      </c>
      <c r="S35" s="775">
        <f t="shared" si="10"/>
        <v>100</v>
      </c>
      <c r="T35" s="774" t="s">
        <v>17</v>
      </c>
      <c r="U35" s="775">
        <f t="shared" si="11"/>
        <v>100</v>
      </c>
      <c r="V35" s="774" t="s">
        <v>17</v>
      </c>
      <c r="W35" s="775">
        <f t="shared" si="12"/>
        <v>100</v>
      </c>
      <c r="X35" s="1817"/>
      <c r="Y35" s="3228"/>
      <c r="Z35" s="1818" t="str">
        <f t="shared" si="13"/>
        <v>宗地形状</v>
      </c>
      <c r="AA35" s="1815">
        <f t="shared" si="3"/>
        <v>1</v>
      </c>
      <c r="AB35" s="1815">
        <f t="shared" si="4"/>
        <v>1</v>
      </c>
      <c r="AC35" s="1815">
        <f t="shared" si="5"/>
        <v>1</v>
      </c>
    </row>
    <row r="36" spans="1:29" s="117" customFormat="1" ht="15">
      <c r="A36" s="473"/>
      <c r="B36" s="422" t="s">
        <v>2746</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28"/>
      <c r="Q36" s="1814" t="str">
        <f t="shared" si="14"/>
        <v>宗地开发程度</v>
      </c>
      <c r="R36" s="770" t="s">
        <v>17</v>
      </c>
      <c r="S36" s="771">
        <f t="shared" si="10"/>
        <v>100</v>
      </c>
      <c r="T36" s="770" t="s">
        <v>17</v>
      </c>
      <c r="U36" s="771">
        <f t="shared" si="11"/>
        <v>100</v>
      </c>
      <c r="V36" s="770" t="s">
        <v>17</v>
      </c>
      <c r="W36" s="771">
        <f t="shared" si="12"/>
        <v>100</v>
      </c>
      <c r="X36" s="772"/>
      <c r="Y36" s="3228"/>
      <c r="Z36" s="55" t="str">
        <f t="shared" si="13"/>
        <v>宗地开发程度</v>
      </c>
      <c r="AA36" s="773">
        <f t="shared" si="3"/>
        <v>1</v>
      </c>
      <c r="AB36" s="773">
        <f t="shared" si="4"/>
        <v>1</v>
      </c>
      <c r="AC36" s="773">
        <f t="shared" si="5"/>
        <v>1</v>
      </c>
    </row>
    <row r="37" spans="1:29" ht="15">
      <c r="A37" s="472"/>
      <c r="B37" s="422" t="s">
        <v>2747</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28" t="s">
        <v>2557</v>
      </c>
      <c r="Q37" s="1814" t="str">
        <f t="shared" si="14"/>
        <v>工程地质条件</v>
      </c>
      <c r="R37" s="774" t="s">
        <v>17</v>
      </c>
      <c r="S37" s="775">
        <f t="shared" si="10"/>
        <v>100</v>
      </c>
      <c r="T37" s="774" t="s">
        <v>17</v>
      </c>
      <c r="U37" s="775">
        <f t="shared" si="11"/>
        <v>100</v>
      </c>
      <c r="V37" s="774" t="s">
        <v>17</v>
      </c>
      <c r="W37" s="775">
        <f t="shared" si="12"/>
        <v>100</v>
      </c>
      <c r="X37" s="1817"/>
      <c r="Y37" s="3228" t="s">
        <v>2557</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8"/>
      <c r="Q38" s="1814">
        <f t="shared" si="14"/>
        <v>111</v>
      </c>
      <c r="R38" s="774" t="s">
        <v>17</v>
      </c>
      <c r="S38" s="775">
        <f t="shared" si="10"/>
        <v>100</v>
      </c>
      <c r="T38" s="774" t="s">
        <v>17</v>
      </c>
      <c r="U38" s="775">
        <f t="shared" si="11"/>
        <v>100</v>
      </c>
      <c r="V38" s="774" t="s">
        <v>17</v>
      </c>
      <c r="W38" s="775">
        <f t="shared" si="12"/>
        <v>100</v>
      </c>
      <c r="X38" s="1817"/>
      <c r="Y38" s="3228"/>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8"/>
      <c r="Q39" s="1814">
        <f t="shared" si="14"/>
        <v>111</v>
      </c>
      <c r="R39" s="774" t="s">
        <v>17</v>
      </c>
      <c r="S39" s="775">
        <f t="shared" si="10"/>
        <v>100</v>
      </c>
      <c r="T39" s="774" t="s">
        <v>17</v>
      </c>
      <c r="U39" s="775">
        <f t="shared" si="11"/>
        <v>100</v>
      </c>
      <c r="V39" s="774" t="s">
        <v>17</v>
      </c>
      <c r="W39" s="775">
        <f t="shared" si="12"/>
        <v>100</v>
      </c>
      <c r="X39" s="1817"/>
      <c r="Y39" s="3228"/>
      <c r="Z39" s="1818">
        <f t="shared" si="13"/>
        <v>111</v>
      </c>
      <c r="AA39" s="1815">
        <f t="shared" si="3"/>
        <v>1</v>
      </c>
      <c r="AB39" s="1815">
        <f t="shared" si="4"/>
        <v>1</v>
      </c>
      <c r="AC39" s="1815">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8"/>
      <c r="Q40" s="1814">
        <f t="shared" si="14"/>
        <v>111</v>
      </c>
      <c r="R40" s="777" t="s">
        <v>17</v>
      </c>
      <c r="S40" s="778">
        <f t="shared" si="10"/>
        <v>100</v>
      </c>
      <c r="T40" s="777" t="s">
        <v>17</v>
      </c>
      <c r="U40" s="778">
        <f t="shared" si="11"/>
        <v>100</v>
      </c>
      <c r="V40" s="777" t="s">
        <v>17</v>
      </c>
      <c r="W40" s="778">
        <f t="shared" si="12"/>
        <v>100</v>
      </c>
      <c r="X40" s="779"/>
      <c r="Y40" s="3228"/>
      <c r="Z40" s="780">
        <f t="shared" si="13"/>
        <v>111</v>
      </c>
      <c r="AA40" s="1815">
        <f t="shared" si="3"/>
        <v>1</v>
      </c>
      <c r="AB40" s="1815">
        <f t="shared" si="4"/>
        <v>1</v>
      </c>
      <c r="AC40" s="1815">
        <f t="shared" si="5"/>
        <v>1</v>
      </c>
    </row>
    <row r="41" spans="1:29" ht="15">
      <c r="A41" s="479" t="s">
        <v>2712</v>
      </c>
      <c r="B41" s="2709" t="s">
        <v>2792</v>
      </c>
      <c r="C41" s="682" t="s">
        <v>1</v>
      </c>
      <c r="D41" s="481"/>
      <c r="E41" s="482"/>
      <c r="F41" s="483"/>
      <c r="G41" s="484"/>
      <c r="H41" s="485"/>
      <c r="I41" s="482"/>
      <c r="J41" s="485"/>
      <c r="K41" s="783"/>
      <c r="L41" s="1146"/>
      <c r="M41" s="1134"/>
      <c r="N41" s="1134"/>
      <c r="O41" s="1147"/>
      <c r="P41" s="3230" t="str">
        <f>A41</f>
        <v>成交单价</v>
      </c>
      <c r="Q41" s="3230"/>
      <c r="R41" s="3218">
        <f>E41</f>
        <v>0</v>
      </c>
      <c r="S41" s="3218"/>
      <c r="T41" s="3218">
        <f>G41</f>
        <v>0</v>
      </c>
      <c r="U41" s="3218"/>
      <c r="V41" s="3218">
        <f>I41</f>
        <v>0</v>
      </c>
      <c r="W41" s="3218"/>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230" t="str">
        <f>A42</f>
        <v>比较价值（元/平方米）</v>
      </c>
      <c r="Q42" s="3230"/>
      <c r="R42" s="3275" t="e">
        <f>ROUND(PRODUCT(R41,AA7:AA40),0)</f>
        <v>#DIV/0!</v>
      </c>
      <c r="S42" s="3275"/>
      <c r="T42" s="3275" t="e">
        <f>ROUND(PRODUCT(T41,AB7:AB40),0)</f>
        <v>#DIV/0!</v>
      </c>
      <c r="U42" s="3275"/>
      <c r="V42" s="3275" t="e">
        <f>ROUND(PRODUCT(V41,AC7:AC40),0)</f>
        <v>#DIV/0!</v>
      </c>
      <c r="W42" s="3275"/>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271" t="str">
        <f>A43</f>
        <v>估价对象XX用房的比较价值（楼面单价，元/平方米）</v>
      </c>
      <c r="Q43" s="3272"/>
      <c r="R43" s="3276" t="e">
        <f>ROUND(AVERAGE(R42:V42),0)</f>
        <v>#DIV/0!</v>
      </c>
      <c r="S43" s="3276"/>
      <c r="T43" s="3276"/>
      <c r="U43" s="3276"/>
      <c r="V43" s="3276"/>
      <c r="W43" s="327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2750</v>
      </c>
      <c r="B50" s="685" t="s">
        <v>2751</v>
      </c>
      <c r="C50" s="2710" t="s">
        <v>2752</v>
      </c>
      <c r="D50" s="2711" t="s">
        <v>2753</v>
      </c>
      <c r="E50" s="686" t="s">
        <v>2754</v>
      </c>
      <c r="F50" s="687" t="s">
        <v>2755</v>
      </c>
      <c r="G50" s="3205" t="s">
        <v>2756</v>
      </c>
      <c r="H50" s="3277"/>
      <c r="I50" s="1818" t="s">
        <v>2793</v>
      </c>
      <c r="J50" s="1818">
        <f>项目基本情况!F35</f>
        <v>0</v>
      </c>
      <c r="K50" s="2713" t="s">
        <v>2758</v>
      </c>
      <c r="L50" s="1109"/>
      <c r="M50" s="1147"/>
      <c r="N50" s="1147"/>
      <c r="O50" s="1147"/>
    </row>
    <row r="51" spans="1:17" s="692" customFormat="1">
      <c r="A51" s="688" t="s">
        <v>2759</v>
      </c>
      <c r="B51" s="689" t="e">
        <f>C43</f>
        <v>#DIV/0!</v>
      </c>
      <c r="C51" s="690">
        <v>1</v>
      </c>
      <c r="D51" s="1166">
        <v>1</v>
      </c>
      <c r="E51" s="690">
        <f>'数据-汇总表'!E8+'数据-汇总表'!E9</f>
        <v>1266.6499999999999</v>
      </c>
      <c r="F51" s="691" t="e">
        <f t="shared" ref="F51:F60" si="15">ROUND(B51*E51/10000,0)</f>
        <v>#DIV/0!</v>
      </c>
      <c r="G51" s="3201"/>
      <c r="H51" s="3230"/>
      <c r="I51" s="945">
        <v>1</v>
      </c>
      <c r="J51" s="945">
        <v>1</v>
      </c>
      <c r="K51" s="1148"/>
      <c r="L51" s="944"/>
      <c r="M51" s="944"/>
      <c r="N51" s="944"/>
      <c r="O51" s="944"/>
    </row>
    <row r="52" spans="1:17" s="692" customFormat="1">
      <c r="A52" s="693" t="s">
        <v>2760</v>
      </c>
      <c r="B52" s="262" t="e">
        <f>ROUND($C$43*C52*D52,0)</f>
        <v>#DIV/0!</v>
      </c>
      <c r="C52" s="200">
        <f t="shared" ref="C52:C60" si="16">IF($C$50="北京市系数",I52,J52)</f>
        <v>0</v>
      </c>
      <c r="D52" s="1167">
        <v>0.25</v>
      </c>
      <c r="E52" s="694"/>
      <c r="F52" s="691" t="e">
        <f t="shared" si="15"/>
        <v>#DIV/0!</v>
      </c>
      <c r="G52" s="3278" t="s">
        <v>2761</v>
      </c>
      <c r="H52" s="1107">
        <f>项目基本情况!B37</f>
        <v>0</v>
      </c>
      <c r="I52" s="945">
        <f>SUMIF(修正!A45:A56,H52,修正!B45:B56)</f>
        <v>0</v>
      </c>
      <c r="J52" s="946"/>
      <c r="K52" s="1147"/>
      <c r="L52" s="944"/>
      <c r="M52" s="944"/>
      <c r="N52" s="944"/>
      <c r="O52" s="944"/>
    </row>
    <row r="53" spans="1:17" s="692" customFormat="1">
      <c r="A53" s="693" t="s">
        <v>2762</v>
      </c>
      <c r="B53" s="262" t="e">
        <f t="shared" ref="B53:B60" si="17">ROUND($C$43*C53*D53,0)</f>
        <v>#DIV/0!</v>
      </c>
      <c r="C53" s="200">
        <f t="shared" si="16"/>
        <v>0</v>
      </c>
      <c r="D53" s="1167">
        <v>0.25</v>
      </c>
      <c r="E53" s="694"/>
      <c r="F53" s="691" t="e">
        <f t="shared" si="15"/>
        <v>#DIV/0!</v>
      </c>
      <c r="G53" s="3278"/>
      <c r="H53" s="1107">
        <f>项目基本情况!B37</f>
        <v>0</v>
      </c>
      <c r="I53" s="945">
        <f>SUMIF(修正!A45:A56,H53,修正!C45:C56)</f>
        <v>0</v>
      </c>
      <c r="J53" s="946"/>
      <c r="K53" s="1148"/>
      <c r="L53" s="944"/>
      <c r="M53" s="944"/>
      <c r="N53" s="944"/>
      <c r="O53" s="944"/>
    </row>
    <row r="54" spans="1:17" s="692" customFormat="1">
      <c r="A54" s="693" t="s">
        <v>2763</v>
      </c>
      <c r="B54" s="262" t="e">
        <f t="shared" si="17"/>
        <v>#DIV/0!</v>
      </c>
      <c r="C54" s="200">
        <f t="shared" si="16"/>
        <v>0</v>
      </c>
      <c r="D54" s="1167">
        <v>0.25</v>
      </c>
      <c r="E54" s="694"/>
      <c r="F54" s="691" t="e">
        <f t="shared" si="15"/>
        <v>#DIV/0!</v>
      </c>
      <c r="G54" s="3278"/>
      <c r="H54" s="1107">
        <f>项目基本情况!B37</f>
        <v>0</v>
      </c>
      <c r="I54" s="945">
        <f>SUMIF(修正!A45:A56,H54,修正!D45:D56)</f>
        <v>0</v>
      </c>
      <c r="J54" s="946"/>
      <c r="K54" s="1147"/>
      <c r="L54" s="944"/>
      <c r="M54" s="944"/>
      <c r="N54" s="944"/>
      <c r="O54" s="944"/>
    </row>
    <row r="55" spans="1:17" s="692" customFormat="1">
      <c r="A55" s="693" t="s">
        <v>2764</v>
      </c>
      <c r="B55" s="262" t="e">
        <f t="shared" si="17"/>
        <v>#DIV/0!</v>
      </c>
      <c r="C55" s="200">
        <f t="shared" si="16"/>
        <v>0</v>
      </c>
      <c r="D55" s="1167">
        <v>0.25</v>
      </c>
      <c r="E55" s="694"/>
      <c r="F55" s="691" t="e">
        <f t="shared" si="15"/>
        <v>#DIV/0!</v>
      </c>
      <c r="G55" s="3278"/>
      <c r="H55" s="1107">
        <f>项目基本情况!B37</f>
        <v>0</v>
      </c>
      <c r="I55" s="945">
        <f>SUMIF(修正!A45:A56,H55,修正!E45:E56)</f>
        <v>0</v>
      </c>
      <c r="J55" s="946"/>
      <c r="K55" s="1148"/>
      <c r="L55" s="944"/>
      <c r="M55" s="944"/>
      <c r="N55" s="944"/>
      <c r="O55" s="944"/>
    </row>
    <row r="56" spans="1:17" s="692" customFormat="1">
      <c r="A56" s="693" t="s">
        <v>2765</v>
      </c>
      <c r="B56" s="262" t="e">
        <f t="shared" si="17"/>
        <v>#DIV/0!</v>
      </c>
      <c r="C56" s="200">
        <f t="shared" si="16"/>
        <v>0.25</v>
      </c>
      <c r="D56" s="1167">
        <v>0.25</v>
      </c>
      <c r="E56" s="261">
        <f>'数据-汇总表'!E11</f>
        <v>0</v>
      </c>
      <c r="F56" s="691" t="e">
        <f t="shared" si="15"/>
        <v>#DIV/0!</v>
      </c>
      <c r="G56" s="2714" t="s">
        <v>2766</v>
      </c>
      <c r="H56" s="1107" t="str">
        <f>项目基本情况!C37</f>
        <v>七级</v>
      </c>
      <c r="I56" s="945">
        <f>SUMIF(修正!A45:A56,H56,修正!F45:F56)</f>
        <v>0.25</v>
      </c>
      <c r="J56" s="946"/>
      <c r="K56" s="1147"/>
      <c r="L56" s="944"/>
      <c r="M56" s="944"/>
      <c r="N56" s="944"/>
      <c r="O56" s="944"/>
    </row>
    <row r="57" spans="1:17" s="692" customFormat="1">
      <c r="A57" s="693" t="s">
        <v>2767</v>
      </c>
      <c r="B57" s="262" t="e">
        <f t="shared" si="17"/>
        <v>#DIV/0!</v>
      </c>
      <c r="C57" s="200">
        <f t="shared" si="16"/>
        <v>0.25</v>
      </c>
      <c r="D57" s="1167">
        <v>0.25</v>
      </c>
      <c r="E57" s="261">
        <f>'数据-汇总表'!E12</f>
        <v>0</v>
      </c>
      <c r="F57" s="691" t="e">
        <f t="shared" si="15"/>
        <v>#DIV/0!</v>
      </c>
      <c r="G57" s="1112" t="s">
        <v>2768</v>
      </c>
      <c r="H57" s="1107" t="str">
        <f>IF(G57="商业",项目基本情况!B37,IF(G57="办公",项目基本情况!C37,IF(G57="住宅",项目基本情况!D37,项目基本情况!E37)))</f>
        <v>七级</v>
      </c>
      <c r="I57" s="945">
        <f>SUMIF(修正!A45:A56,H57,修正!G45:G56)</f>
        <v>0.25</v>
      </c>
      <c r="J57" s="946"/>
      <c r="K57" s="1148"/>
      <c r="L57" s="944"/>
      <c r="M57" s="944"/>
      <c r="N57" s="944"/>
      <c r="O57" s="944"/>
    </row>
    <row r="58" spans="1:17" s="692" customFormat="1">
      <c r="A58" s="693" t="s">
        <v>2769</v>
      </c>
      <c r="B58" s="262" t="e">
        <f t="shared" si="17"/>
        <v>#DIV/0!</v>
      </c>
      <c r="C58" s="200">
        <f t="shared" si="16"/>
        <v>0</v>
      </c>
      <c r="D58" s="1167">
        <v>0.25</v>
      </c>
      <c r="E58" s="261">
        <f>'数据-汇总表'!E13</f>
        <v>0</v>
      </c>
      <c r="F58" s="691" t="e">
        <f t="shared" si="15"/>
        <v>#DIV/0!</v>
      </c>
      <c r="G58" s="1112" t="s">
        <v>2770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2771</v>
      </c>
      <c r="B59" s="262" t="e">
        <f t="shared" si="17"/>
        <v>#DIV/0!</v>
      </c>
      <c r="C59" s="200">
        <f t="shared" si="16"/>
        <v>0</v>
      </c>
      <c r="D59" s="1167">
        <v>0.25</v>
      </c>
      <c r="E59" s="261">
        <f>'数据-汇总表'!E14</f>
        <v>0</v>
      </c>
      <c r="F59" s="691" t="e">
        <f t="shared" si="15"/>
        <v>#DIV/0!</v>
      </c>
      <c r="G59" s="2714" t="s">
        <v>2761</v>
      </c>
      <c r="H59" s="1107">
        <f>项目基本情况!B37</f>
        <v>0</v>
      </c>
      <c r="I59" s="945">
        <f>SUMIF(修正!A45:A56,H59,修正!H45:H56)</f>
        <v>0</v>
      </c>
      <c r="J59" s="946"/>
      <c r="K59" s="1148"/>
      <c r="L59" s="944"/>
      <c r="M59" s="944"/>
      <c r="N59" s="944"/>
      <c r="O59" s="944"/>
    </row>
    <row r="60" spans="1:17" s="692" customFormat="1" ht="15" thickBot="1">
      <c r="A60" s="693" t="s">
        <v>2772</v>
      </c>
      <c r="B60" s="262" t="e">
        <f t="shared" si="17"/>
        <v>#DIV/0!</v>
      </c>
      <c r="C60" s="200">
        <f t="shared" si="16"/>
        <v>0.2</v>
      </c>
      <c r="D60" s="1167">
        <v>0.25</v>
      </c>
      <c r="E60" s="261">
        <f>'数据-汇总表'!E15</f>
        <v>0</v>
      </c>
      <c r="F60" s="691" t="e">
        <f t="shared" si="15"/>
        <v>#DIV/0!</v>
      </c>
      <c r="G60" s="2715" t="s">
        <v>2766</v>
      </c>
      <c r="H60" s="1117" t="str">
        <f>项目基本情况!C37</f>
        <v>七级</v>
      </c>
      <c r="I60" s="945">
        <f>SUMIF(修正!A45:A56,H60,修正!H45:H56)</f>
        <v>0.2</v>
      </c>
      <c r="J60" s="946"/>
      <c r="K60" s="1147"/>
      <c r="L60" s="944"/>
      <c r="M60" s="944"/>
      <c r="N60" s="944"/>
      <c r="O60" s="944"/>
    </row>
    <row r="61" spans="1:17" s="692" customFormat="1" ht="15" thickBot="1">
      <c r="A61" s="695" t="s">
        <v>2773</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16" t="s">
        <v>2774</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1" t="s">
        <v>2794</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3" t="s">
        <v>183</v>
      </c>
      <c r="B18" s="882" t="s">
        <v>560</v>
      </c>
      <c r="C18" s="883" t="s">
        <v>561</v>
      </c>
      <c r="D18" s="884"/>
      <c r="E18" s="882">
        <v>1</v>
      </c>
      <c r="F18" s="885" t="s">
        <v>562</v>
      </c>
      <c r="G18" s="886"/>
      <c r="H18" s="878"/>
      <c r="I18" s="878"/>
    </row>
    <row r="19" spans="1:9" s="887" customFormat="1" ht="19.5" customHeight="1">
      <c r="A19" s="3283"/>
      <c r="B19" s="3283" t="s">
        <v>563</v>
      </c>
      <c r="C19" s="883" t="s">
        <v>564</v>
      </c>
      <c r="D19" s="884"/>
      <c r="E19" s="882">
        <v>0.9</v>
      </c>
      <c r="F19" s="885" t="s">
        <v>565</v>
      </c>
      <c r="G19" s="886"/>
      <c r="H19" s="878"/>
      <c r="I19" s="878"/>
    </row>
    <row r="20" spans="1:9" s="887" customFormat="1" ht="19.5" customHeight="1">
      <c r="A20" s="3283"/>
      <c r="B20" s="3283"/>
      <c r="C20" s="883" t="s">
        <v>566</v>
      </c>
      <c r="D20" s="884"/>
      <c r="E20" s="882">
        <v>1.1000000000000001</v>
      </c>
      <c r="F20" s="885" t="s">
        <v>567</v>
      </c>
      <c r="G20" s="886"/>
      <c r="H20" s="878"/>
      <c r="I20" s="878"/>
    </row>
    <row r="21" spans="1:9" s="887" customFormat="1" ht="19.5" customHeight="1">
      <c r="A21" s="3283"/>
      <c r="B21" s="3283"/>
      <c r="C21" s="883" t="s">
        <v>568</v>
      </c>
      <c r="D21" s="884"/>
      <c r="E21" s="882">
        <v>0.8</v>
      </c>
      <c r="F21" s="885" t="s">
        <v>569</v>
      </c>
      <c r="G21" s="886"/>
      <c r="H21" s="878"/>
      <c r="I21" s="878"/>
    </row>
    <row r="22" spans="1:9" s="887" customFormat="1" ht="19.5" customHeight="1">
      <c r="A22" s="3283"/>
      <c r="B22" s="3283"/>
      <c r="C22" s="883" t="s">
        <v>570</v>
      </c>
      <c r="D22" s="884"/>
      <c r="E22" s="882">
        <v>0.5</v>
      </c>
      <c r="F22" s="885"/>
      <c r="G22" s="886"/>
      <c r="H22" s="878"/>
      <c r="I22" s="878"/>
    </row>
    <row r="23" spans="1:9" s="887" customFormat="1" ht="19.5" customHeight="1">
      <c r="A23" s="3283" t="s">
        <v>184</v>
      </c>
      <c r="B23" s="882" t="s">
        <v>560</v>
      </c>
      <c r="C23" s="883" t="s">
        <v>571</v>
      </c>
      <c r="D23" s="884"/>
      <c r="E23" s="882">
        <v>1</v>
      </c>
      <c r="F23" s="885" t="s">
        <v>572</v>
      </c>
      <c r="G23" s="886"/>
      <c r="H23" s="878"/>
      <c r="I23" s="878"/>
    </row>
    <row r="24" spans="1:9" s="887" customFormat="1" ht="19.5" customHeight="1">
      <c r="A24" s="3283"/>
      <c r="B24" s="3283" t="s">
        <v>563</v>
      </c>
      <c r="C24" s="883" t="s">
        <v>573</v>
      </c>
      <c r="D24" s="884"/>
      <c r="E24" s="882">
        <v>0.5</v>
      </c>
      <c r="F24" s="885"/>
      <c r="G24" s="886"/>
      <c r="H24" s="878"/>
      <c r="I24" s="878"/>
    </row>
    <row r="25" spans="1:9" s="887" customFormat="1" ht="19.5" customHeight="1">
      <c r="A25" s="3283"/>
      <c r="B25" s="3283"/>
      <c r="C25" s="883" t="s">
        <v>574</v>
      </c>
      <c r="D25" s="884"/>
      <c r="E25" s="882">
        <v>1.1000000000000001</v>
      </c>
      <c r="F25" s="885"/>
      <c r="G25" s="886"/>
      <c r="H25" s="878"/>
      <c r="I25" s="878"/>
    </row>
    <row r="26" spans="1:9" s="887" customFormat="1" ht="19.5" customHeight="1">
      <c r="A26" s="3283"/>
      <c r="B26" s="3283"/>
      <c r="C26" s="883" t="s">
        <v>575</v>
      </c>
      <c r="D26" s="884"/>
      <c r="E26" s="882">
        <v>1.1000000000000001</v>
      </c>
      <c r="F26" s="885"/>
      <c r="G26" s="886"/>
      <c r="H26" s="878"/>
      <c r="I26" s="878"/>
    </row>
    <row r="27" spans="1:9" s="887" customFormat="1" ht="19.5" customHeight="1">
      <c r="A27" s="3283"/>
      <c r="B27" s="3283"/>
      <c r="C27" s="883" t="s">
        <v>576</v>
      </c>
      <c r="D27" s="884"/>
      <c r="E27" s="882">
        <v>0.9</v>
      </c>
      <c r="F27" s="885" t="s">
        <v>577</v>
      </c>
      <c r="G27" s="886"/>
      <c r="H27" s="878"/>
      <c r="I27" s="878"/>
    </row>
    <row r="28" spans="1:9" s="887" customFormat="1" ht="19.5" customHeight="1">
      <c r="A28" s="3283"/>
      <c r="B28" s="3283"/>
      <c r="C28" s="883" t="s">
        <v>578</v>
      </c>
      <c r="D28" s="884"/>
      <c r="E28" s="882">
        <v>0.9</v>
      </c>
      <c r="F28" s="885" t="s">
        <v>579</v>
      </c>
      <c r="G28" s="886"/>
      <c r="H28" s="878"/>
      <c r="I28" s="878"/>
    </row>
    <row r="29" spans="1:9" s="887" customFormat="1" ht="19.5" customHeight="1">
      <c r="A29" s="3283"/>
      <c r="B29" s="3283"/>
      <c r="C29" s="883" t="s">
        <v>580</v>
      </c>
      <c r="D29" s="884"/>
      <c r="E29" s="882">
        <v>0.9</v>
      </c>
      <c r="F29" s="885" t="s">
        <v>581</v>
      </c>
      <c r="G29" s="886"/>
      <c r="H29" s="878"/>
      <c r="I29" s="878"/>
    </row>
    <row r="30" spans="1:9" s="887" customFormat="1" ht="19.5" customHeight="1">
      <c r="A30" s="3283"/>
      <c r="B30" s="3283"/>
      <c r="C30" s="883" t="s">
        <v>582</v>
      </c>
      <c r="D30" s="884"/>
      <c r="E30" s="882">
        <v>0.9</v>
      </c>
      <c r="F30" s="885" t="s">
        <v>583</v>
      </c>
      <c r="G30" s="886"/>
      <c r="H30" s="878"/>
      <c r="I30" s="878"/>
    </row>
    <row r="31" spans="1:9" s="887" customFormat="1" ht="19.5" customHeight="1">
      <c r="A31" s="3283"/>
      <c r="B31" s="3283"/>
      <c r="C31" s="883" t="s">
        <v>584</v>
      </c>
      <c r="D31" s="884"/>
      <c r="E31" s="882">
        <v>0.8</v>
      </c>
      <c r="F31" s="885" t="s">
        <v>585</v>
      </c>
      <c r="G31" s="886"/>
      <c r="H31" s="878"/>
      <c r="I31" s="878"/>
    </row>
    <row r="32" spans="1:9" s="887" customFormat="1" ht="19.5" customHeight="1">
      <c r="A32" s="3283"/>
      <c r="B32" s="3283"/>
      <c r="C32" s="883" t="s">
        <v>586</v>
      </c>
      <c r="D32" s="884"/>
      <c r="E32" s="882">
        <v>0.8</v>
      </c>
      <c r="F32" s="885" t="s">
        <v>587</v>
      </c>
      <c r="G32" s="886"/>
      <c r="H32" s="878"/>
      <c r="I32" s="878"/>
    </row>
    <row r="33" spans="1:9" s="887" customFormat="1" ht="19.5" customHeight="1">
      <c r="A33" s="3283" t="s">
        <v>185</v>
      </c>
      <c r="B33" s="882" t="s">
        <v>560</v>
      </c>
      <c r="C33" s="883" t="s">
        <v>588</v>
      </c>
      <c r="D33" s="884"/>
      <c r="E33" s="882">
        <v>1</v>
      </c>
      <c r="F33" s="885" t="s">
        <v>589</v>
      </c>
      <c r="G33" s="886"/>
      <c r="H33" s="878"/>
      <c r="I33" s="878"/>
    </row>
    <row r="34" spans="1:9" s="887" customFormat="1" ht="19.5" customHeight="1">
      <c r="A34" s="3283"/>
      <c r="B34" s="882" t="s">
        <v>563</v>
      </c>
      <c r="C34" s="883" t="s">
        <v>590</v>
      </c>
      <c r="D34" s="884"/>
      <c r="E34" s="882">
        <v>1.5</v>
      </c>
      <c r="F34" s="885" t="s">
        <v>591</v>
      </c>
      <c r="G34" s="886"/>
      <c r="H34" s="878"/>
      <c r="I34" s="878"/>
    </row>
    <row r="35" spans="1:9" s="887" customFormat="1" ht="19.5" customHeight="1">
      <c r="A35" s="3283" t="s">
        <v>186</v>
      </c>
      <c r="B35" s="882" t="s">
        <v>560</v>
      </c>
      <c r="C35" s="883" t="s">
        <v>592</v>
      </c>
      <c r="D35" s="884"/>
      <c r="E35" s="882">
        <v>1</v>
      </c>
      <c r="F35" s="885" t="s">
        <v>593</v>
      </c>
      <c r="G35" s="886"/>
      <c r="H35" s="878"/>
      <c r="I35" s="878"/>
    </row>
    <row r="36" spans="1:9" s="887" customFormat="1" ht="19.5" customHeight="1">
      <c r="A36" s="3283"/>
      <c r="B36" s="3283" t="s">
        <v>563</v>
      </c>
      <c r="C36" s="883" t="s">
        <v>594</v>
      </c>
      <c r="D36" s="884"/>
      <c r="E36" s="882">
        <v>1</v>
      </c>
      <c r="F36" s="885" t="s">
        <v>595</v>
      </c>
      <c r="G36" s="886"/>
      <c r="H36" s="878"/>
      <c r="I36" s="878"/>
    </row>
    <row r="37" spans="1:9" s="887" customFormat="1" ht="19.5" customHeight="1">
      <c r="A37" s="3283"/>
      <c r="B37" s="3283"/>
      <c r="C37" s="883" t="s">
        <v>596</v>
      </c>
      <c r="D37" s="884"/>
      <c r="E37" s="882">
        <v>1.5</v>
      </c>
      <c r="F37" s="885" t="s">
        <v>597</v>
      </c>
      <c r="G37" s="886"/>
      <c r="H37" s="878"/>
      <c r="I37" s="878"/>
    </row>
    <row r="38" spans="1:9" s="887" customFormat="1" ht="19.5" customHeight="1">
      <c r="A38" s="3283"/>
      <c r="B38" s="3283"/>
      <c r="C38" s="883" t="s">
        <v>598</v>
      </c>
      <c r="D38" s="884"/>
      <c r="E38" s="882">
        <v>1</v>
      </c>
      <c r="F38" s="885" t="s">
        <v>599</v>
      </c>
      <c r="G38" s="886"/>
      <c r="H38" s="878"/>
      <c r="I38" s="878"/>
    </row>
    <row r="39" spans="1:9" s="887" customFormat="1" ht="19.5" customHeight="1">
      <c r="A39" s="3283"/>
      <c r="B39" s="328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3" t="s">
        <v>614</v>
      </c>
      <c r="C61" s="818" t="s">
        <v>615</v>
      </c>
      <c r="D61" s="818" t="s">
        <v>616</v>
      </c>
      <c r="E61" s="895">
        <v>0.5</v>
      </c>
      <c r="F61" s="882">
        <v>80</v>
      </c>
    </row>
    <row r="62" spans="1:8" s="878" customFormat="1" ht="24">
      <c r="A62" s="882">
        <v>2</v>
      </c>
      <c r="B62" s="3283"/>
      <c r="C62" s="818" t="s">
        <v>617</v>
      </c>
      <c r="D62" s="818" t="s">
        <v>618</v>
      </c>
      <c r="E62" s="895">
        <v>0.5</v>
      </c>
      <c r="F62" s="882">
        <v>80</v>
      </c>
    </row>
    <row r="63" spans="1:8" s="878" customFormat="1" ht="36">
      <c r="A63" s="882">
        <v>3</v>
      </c>
      <c r="B63" s="3283"/>
      <c r="C63" s="818" t="s">
        <v>619</v>
      </c>
      <c r="D63" s="818" t="s">
        <v>620</v>
      </c>
      <c r="E63" s="895">
        <v>0.5</v>
      </c>
      <c r="F63" s="882">
        <v>80</v>
      </c>
    </row>
    <row r="64" spans="1:8" s="878" customFormat="1" ht="36">
      <c r="A64" s="882">
        <v>4</v>
      </c>
      <c r="B64" s="3283"/>
      <c r="C64" s="818" t="s">
        <v>621</v>
      </c>
      <c r="D64" s="818" t="s">
        <v>622</v>
      </c>
      <c r="E64" s="895">
        <v>0.4</v>
      </c>
      <c r="F64" s="882">
        <v>60</v>
      </c>
    </row>
    <row r="65" spans="1:6" s="878" customFormat="1" ht="36">
      <c r="A65" s="882">
        <v>5</v>
      </c>
      <c r="B65" s="3283"/>
      <c r="C65" s="818" t="s">
        <v>623</v>
      </c>
      <c r="D65" s="818" t="s">
        <v>624</v>
      </c>
      <c r="E65" s="895">
        <v>0.2</v>
      </c>
      <c r="F65" s="882">
        <v>30</v>
      </c>
    </row>
    <row r="66" spans="1:6" s="878" customFormat="1" ht="36">
      <c r="A66" s="882">
        <v>6</v>
      </c>
      <c r="B66" s="3283"/>
      <c r="C66" s="818" t="s">
        <v>625</v>
      </c>
      <c r="D66" s="818" t="s">
        <v>626</v>
      </c>
      <c r="E66" s="895">
        <v>0.3</v>
      </c>
      <c r="F66" s="882">
        <v>50</v>
      </c>
    </row>
    <row r="67" spans="1:6" s="878" customFormat="1" ht="36">
      <c r="A67" s="882">
        <v>7</v>
      </c>
      <c r="B67" s="3283"/>
      <c r="C67" s="818" t="s">
        <v>627</v>
      </c>
      <c r="D67" s="818" t="s">
        <v>628</v>
      </c>
      <c r="E67" s="895">
        <v>0.2</v>
      </c>
      <c r="F67" s="882">
        <v>30</v>
      </c>
    </row>
    <row r="68" spans="1:6" s="878" customFormat="1" ht="36">
      <c r="A68" s="882">
        <v>8</v>
      </c>
      <c r="B68" s="3283"/>
      <c r="C68" s="818" t="s">
        <v>629</v>
      </c>
      <c r="D68" s="818" t="s">
        <v>630</v>
      </c>
      <c r="E68" s="895">
        <v>0.2</v>
      </c>
      <c r="F68" s="882">
        <v>30</v>
      </c>
    </row>
    <row r="69" spans="1:6" s="878" customFormat="1" ht="36">
      <c r="A69" s="882">
        <v>9</v>
      </c>
      <c r="B69" s="3283"/>
      <c r="C69" s="818" t="s">
        <v>631</v>
      </c>
      <c r="D69" s="818" t="s">
        <v>632</v>
      </c>
      <c r="E69" s="895">
        <v>0.2</v>
      </c>
      <c r="F69" s="882">
        <v>30</v>
      </c>
    </row>
    <row r="70" spans="1:6" s="878" customFormat="1" ht="48">
      <c r="A70" s="882">
        <v>10</v>
      </c>
      <c r="B70" s="3283"/>
      <c r="C70" s="818" t="s">
        <v>633</v>
      </c>
      <c r="D70" s="818" t="s">
        <v>634</v>
      </c>
      <c r="E70" s="895">
        <v>0.2</v>
      </c>
      <c r="F70" s="882">
        <v>30</v>
      </c>
    </row>
    <row r="71" spans="1:6" s="878" customFormat="1" ht="48">
      <c r="A71" s="882">
        <v>11</v>
      </c>
      <c r="B71" s="3283"/>
      <c r="C71" s="818" t="s">
        <v>635</v>
      </c>
      <c r="D71" s="818" t="s">
        <v>636</v>
      </c>
      <c r="E71" s="895">
        <v>0.2</v>
      </c>
      <c r="F71" s="882">
        <v>30</v>
      </c>
    </row>
    <row r="72" spans="1:6" s="878" customFormat="1" ht="36">
      <c r="A72" s="882">
        <v>12</v>
      </c>
      <c r="B72" s="3283"/>
      <c r="C72" s="818" t="s">
        <v>637</v>
      </c>
      <c r="D72" s="818" t="s">
        <v>638</v>
      </c>
      <c r="E72" s="895">
        <v>0.5</v>
      </c>
      <c r="F72" s="882">
        <v>80</v>
      </c>
    </row>
    <row r="73" spans="1:6" s="878" customFormat="1" ht="24">
      <c r="A73" s="882">
        <v>13</v>
      </c>
      <c r="B73" s="3283"/>
      <c r="C73" s="818" t="s">
        <v>639</v>
      </c>
      <c r="D73" s="818" t="s">
        <v>640</v>
      </c>
      <c r="E73" s="895">
        <v>0.4</v>
      </c>
      <c r="F73" s="882">
        <v>60</v>
      </c>
    </row>
    <row r="74" spans="1:6" s="878" customFormat="1" ht="24">
      <c r="A74" s="882">
        <v>14</v>
      </c>
      <c r="B74" s="3283"/>
      <c r="C74" s="818" t="s">
        <v>641</v>
      </c>
      <c r="D74" s="818" t="s">
        <v>642</v>
      </c>
      <c r="E74" s="895">
        <v>0.2</v>
      </c>
      <c r="F74" s="882">
        <v>30</v>
      </c>
    </row>
    <row r="75" spans="1:6" s="878" customFormat="1" ht="24">
      <c r="A75" s="882">
        <v>15</v>
      </c>
      <c r="B75" s="3283"/>
      <c r="C75" s="818" t="s">
        <v>643</v>
      </c>
      <c r="D75" s="818" t="s">
        <v>644</v>
      </c>
      <c r="E75" s="895">
        <v>0.2</v>
      </c>
      <c r="F75" s="882">
        <v>30</v>
      </c>
    </row>
    <row r="76" spans="1:6" s="878" customFormat="1" ht="24">
      <c r="A76" s="882">
        <v>16</v>
      </c>
      <c r="B76" s="3283" t="s">
        <v>645</v>
      </c>
      <c r="C76" s="818" t="s">
        <v>646</v>
      </c>
      <c r="D76" s="818" t="s">
        <v>647</v>
      </c>
      <c r="E76" s="895">
        <v>0.5</v>
      </c>
      <c r="F76" s="882">
        <v>80</v>
      </c>
    </row>
    <row r="77" spans="1:6" s="878" customFormat="1" ht="24">
      <c r="A77" s="882">
        <v>17</v>
      </c>
      <c r="B77" s="3283"/>
      <c r="C77" s="818" t="s">
        <v>648</v>
      </c>
      <c r="D77" s="818" t="s">
        <v>649</v>
      </c>
      <c r="E77" s="895">
        <v>0.5</v>
      </c>
      <c r="F77" s="882">
        <v>80</v>
      </c>
    </row>
    <row r="78" spans="1:6" s="878" customFormat="1" ht="24">
      <c r="A78" s="882">
        <v>18</v>
      </c>
      <c r="B78" s="3283"/>
      <c r="C78" s="818" t="s">
        <v>650</v>
      </c>
      <c r="D78" s="818" t="s">
        <v>651</v>
      </c>
      <c r="E78" s="895">
        <v>0.2</v>
      </c>
      <c r="F78" s="882">
        <v>30</v>
      </c>
    </row>
    <row r="79" spans="1:6" s="878" customFormat="1" ht="24">
      <c r="A79" s="882">
        <v>19</v>
      </c>
      <c r="B79" s="3283"/>
      <c r="C79" s="818" t="s">
        <v>652</v>
      </c>
      <c r="D79" s="818" t="s">
        <v>653</v>
      </c>
      <c r="E79" s="895">
        <v>0.5</v>
      </c>
      <c r="F79" s="882">
        <v>80</v>
      </c>
    </row>
    <row r="80" spans="1:6" s="878" customFormat="1" ht="36">
      <c r="A80" s="882">
        <v>20</v>
      </c>
      <c r="B80" s="3283"/>
      <c r="C80" s="818" t="s">
        <v>654</v>
      </c>
      <c r="D80" s="818" t="s">
        <v>655</v>
      </c>
      <c r="E80" s="895">
        <v>0.2</v>
      </c>
      <c r="F80" s="882">
        <v>30</v>
      </c>
    </row>
    <row r="81" spans="1:6" s="878" customFormat="1" ht="36">
      <c r="A81" s="882">
        <v>21</v>
      </c>
      <c r="B81" s="3283"/>
      <c r="C81" s="818" t="s">
        <v>656</v>
      </c>
      <c r="D81" s="818" t="s">
        <v>657</v>
      </c>
      <c r="E81" s="895">
        <v>0.2</v>
      </c>
      <c r="F81" s="882">
        <v>30</v>
      </c>
    </row>
    <row r="82" spans="1:6" s="878" customFormat="1" ht="48">
      <c r="A82" s="882">
        <v>22</v>
      </c>
      <c r="B82" s="3283"/>
      <c r="C82" s="818" t="s">
        <v>658</v>
      </c>
      <c r="D82" s="818" t="s">
        <v>659</v>
      </c>
      <c r="E82" s="895">
        <v>0.2</v>
      </c>
      <c r="F82" s="882">
        <v>30</v>
      </c>
    </row>
    <row r="83" spans="1:6" s="878" customFormat="1" ht="48">
      <c r="A83" s="882">
        <v>23</v>
      </c>
      <c r="B83" s="3283"/>
      <c r="C83" s="818" t="s">
        <v>660</v>
      </c>
      <c r="D83" s="818" t="s">
        <v>661</v>
      </c>
      <c r="E83" s="895">
        <v>0.2</v>
      </c>
      <c r="F83" s="882">
        <v>30</v>
      </c>
    </row>
    <row r="84" spans="1:6" s="878" customFormat="1" ht="36">
      <c r="A84" s="882">
        <v>24</v>
      </c>
      <c r="B84" s="3283"/>
      <c r="C84" s="818" t="s">
        <v>662</v>
      </c>
      <c r="D84" s="818" t="s">
        <v>663</v>
      </c>
      <c r="E84" s="895">
        <v>0.2</v>
      </c>
      <c r="F84" s="882">
        <v>30</v>
      </c>
    </row>
    <row r="85" spans="1:6" s="878" customFormat="1" ht="36">
      <c r="A85" s="882">
        <v>25</v>
      </c>
      <c r="B85" s="3283"/>
      <c r="C85" s="818" t="s">
        <v>664</v>
      </c>
      <c r="D85" s="818" t="s">
        <v>665</v>
      </c>
      <c r="E85" s="895">
        <v>0.5</v>
      </c>
      <c r="F85" s="882">
        <v>80</v>
      </c>
    </row>
    <row r="86" spans="1:6" s="878" customFormat="1" ht="36">
      <c r="A86" s="882">
        <v>26</v>
      </c>
      <c r="B86" s="3283"/>
      <c r="C86" s="818" t="s">
        <v>666</v>
      </c>
      <c r="D86" s="818" t="s">
        <v>667</v>
      </c>
      <c r="E86" s="895">
        <v>0.2</v>
      </c>
      <c r="F86" s="882">
        <v>30</v>
      </c>
    </row>
    <row r="87" spans="1:6" s="878" customFormat="1" ht="36">
      <c r="A87" s="882">
        <v>27</v>
      </c>
      <c r="B87" s="3283"/>
      <c r="C87" s="818" t="s">
        <v>668</v>
      </c>
      <c r="D87" s="818" t="s">
        <v>669</v>
      </c>
      <c r="E87" s="895">
        <v>0.2</v>
      </c>
      <c r="F87" s="882">
        <v>30</v>
      </c>
    </row>
    <row r="88" spans="1:6" s="878" customFormat="1" ht="36">
      <c r="A88" s="882">
        <v>28</v>
      </c>
      <c r="B88" s="3283"/>
      <c r="C88" s="818" t="s">
        <v>670</v>
      </c>
      <c r="D88" s="818" t="s">
        <v>671</v>
      </c>
      <c r="E88" s="895">
        <v>0.2</v>
      </c>
      <c r="F88" s="882">
        <v>30</v>
      </c>
    </row>
    <row r="89" spans="1:6" s="878" customFormat="1" ht="24">
      <c r="A89" s="882">
        <v>29</v>
      </c>
      <c r="B89" s="3283"/>
      <c r="C89" s="818" t="s">
        <v>672</v>
      </c>
      <c r="D89" s="818" t="s">
        <v>673</v>
      </c>
      <c r="E89" s="895">
        <v>0.2</v>
      </c>
      <c r="F89" s="882">
        <v>30</v>
      </c>
    </row>
    <row r="90" spans="1:6" s="878" customFormat="1" ht="24">
      <c r="A90" s="882">
        <v>30</v>
      </c>
      <c r="B90" s="3283"/>
      <c r="C90" s="818" t="s">
        <v>674</v>
      </c>
      <c r="D90" s="818" t="s">
        <v>675</v>
      </c>
      <c r="E90" s="895">
        <v>0.2</v>
      </c>
      <c r="F90" s="882">
        <v>30</v>
      </c>
    </row>
    <row r="91" spans="1:6" s="878" customFormat="1" ht="36">
      <c r="A91" s="882">
        <v>31</v>
      </c>
      <c r="B91" s="3283"/>
      <c r="C91" s="818" t="s">
        <v>676</v>
      </c>
      <c r="D91" s="818" t="s">
        <v>677</v>
      </c>
      <c r="E91" s="895">
        <v>0.2</v>
      </c>
      <c r="F91" s="882">
        <v>30</v>
      </c>
    </row>
    <row r="92" spans="1:6" s="878" customFormat="1" ht="24">
      <c r="A92" s="882">
        <v>32</v>
      </c>
      <c r="B92" s="3283" t="s">
        <v>678</v>
      </c>
      <c r="C92" s="882" t="s">
        <v>679</v>
      </c>
      <c r="D92" s="818" t="s">
        <v>680</v>
      </c>
      <c r="E92" s="895">
        <v>0.2</v>
      </c>
      <c r="F92" s="882">
        <v>30</v>
      </c>
    </row>
    <row r="93" spans="1:6" s="878" customFormat="1" ht="36">
      <c r="A93" s="882">
        <v>33</v>
      </c>
      <c r="B93" s="3283"/>
      <c r="C93" s="882" t="s">
        <v>681</v>
      </c>
      <c r="D93" s="818" t="s">
        <v>682</v>
      </c>
      <c r="E93" s="895">
        <v>0.2</v>
      </c>
      <c r="F93" s="882">
        <v>30</v>
      </c>
    </row>
    <row r="94" spans="1:6" s="878" customFormat="1" ht="48">
      <c r="A94" s="882">
        <v>34</v>
      </c>
      <c r="B94" s="3283"/>
      <c r="C94" s="882" t="s">
        <v>683</v>
      </c>
      <c r="D94" s="818" t="s">
        <v>684</v>
      </c>
      <c r="E94" s="895">
        <v>0.2</v>
      </c>
      <c r="F94" s="882">
        <v>30</v>
      </c>
    </row>
    <row r="95" spans="1:6" s="878" customFormat="1" ht="36">
      <c r="A95" s="882">
        <v>35</v>
      </c>
      <c r="B95" s="3283"/>
      <c r="C95" s="882" t="s">
        <v>685</v>
      </c>
      <c r="D95" s="818" t="s">
        <v>686</v>
      </c>
      <c r="E95" s="895">
        <v>0.2</v>
      </c>
      <c r="F95" s="882">
        <v>30</v>
      </c>
    </row>
    <row r="96" spans="1:6" s="878" customFormat="1" ht="48">
      <c r="A96" s="882">
        <v>36</v>
      </c>
      <c r="B96" s="3283"/>
      <c r="C96" s="818" t="s">
        <v>687</v>
      </c>
      <c r="D96" s="818" t="s">
        <v>688</v>
      </c>
      <c r="E96" s="895">
        <v>0.2</v>
      </c>
      <c r="F96" s="882">
        <v>30</v>
      </c>
    </row>
    <row r="97" spans="1:6" s="878" customFormat="1" ht="36">
      <c r="A97" s="882">
        <v>37</v>
      </c>
      <c r="B97" s="3283"/>
      <c r="C97" s="882" t="s">
        <v>689</v>
      </c>
      <c r="D97" s="818" t="s">
        <v>690</v>
      </c>
      <c r="E97" s="895">
        <v>0.2</v>
      </c>
      <c r="F97" s="882">
        <v>30</v>
      </c>
    </row>
    <row r="98" spans="1:6" s="878" customFormat="1" ht="36">
      <c r="A98" s="882">
        <v>38</v>
      </c>
      <c r="B98" s="3283"/>
      <c r="C98" s="882" t="s">
        <v>691</v>
      </c>
      <c r="D98" s="818" t="s">
        <v>692</v>
      </c>
      <c r="E98" s="895">
        <v>0.2</v>
      </c>
      <c r="F98" s="882">
        <v>30</v>
      </c>
    </row>
    <row r="99" spans="1:6" s="878" customFormat="1" ht="36">
      <c r="A99" s="882">
        <v>39</v>
      </c>
      <c r="B99" s="3283" t="s">
        <v>693</v>
      </c>
      <c r="C99" s="882" t="s">
        <v>694</v>
      </c>
      <c r="D99" s="818" t="s">
        <v>695</v>
      </c>
      <c r="E99" s="895">
        <v>0.3</v>
      </c>
      <c r="F99" s="882">
        <v>50</v>
      </c>
    </row>
    <row r="100" spans="1:6" s="878" customFormat="1" ht="24">
      <c r="A100" s="882">
        <v>40</v>
      </c>
      <c r="B100" s="3283"/>
      <c r="C100" s="882" t="s">
        <v>696</v>
      </c>
      <c r="D100" s="818" t="s">
        <v>697</v>
      </c>
      <c r="E100" s="895">
        <v>0.2</v>
      </c>
      <c r="F100" s="882">
        <v>30</v>
      </c>
    </row>
    <row r="101" spans="1:6" s="878" customFormat="1" ht="36">
      <c r="A101" s="882">
        <v>41</v>
      </c>
      <c r="B101" s="328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3" t="s">
        <v>708</v>
      </c>
      <c r="C105" s="882" t="s">
        <v>709</v>
      </c>
      <c r="D105" s="818" t="s">
        <v>710</v>
      </c>
      <c r="E105" s="895">
        <v>0.2</v>
      </c>
      <c r="F105" s="882">
        <v>30</v>
      </c>
    </row>
    <row r="106" spans="1:6" s="878" customFormat="1" ht="36">
      <c r="A106" s="882">
        <v>46</v>
      </c>
      <c r="B106" s="3283"/>
      <c r="C106" s="882" t="s">
        <v>711</v>
      </c>
      <c r="D106" s="818" t="s">
        <v>712</v>
      </c>
      <c r="E106" s="895">
        <v>0.2</v>
      </c>
      <c r="F106" s="882">
        <v>30</v>
      </c>
    </row>
    <row r="107" spans="1:6" s="878" customFormat="1" ht="36">
      <c r="A107" s="882">
        <v>47</v>
      </c>
      <c r="B107" s="3283" t="s">
        <v>713</v>
      </c>
      <c r="C107" s="882" t="s">
        <v>714</v>
      </c>
      <c r="D107" s="818" t="s">
        <v>715</v>
      </c>
      <c r="E107" s="895">
        <v>0.3</v>
      </c>
      <c r="F107" s="882">
        <v>50</v>
      </c>
    </row>
    <row r="108" spans="1:6" s="878" customFormat="1" ht="36">
      <c r="A108" s="882">
        <v>48</v>
      </c>
      <c r="B108" s="328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3" t="s">
        <v>724</v>
      </c>
      <c r="C111" s="882" t="s">
        <v>725</v>
      </c>
      <c r="D111" s="818" t="s">
        <v>726</v>
      </c>
      <c r="E111" s="895">
        <v>0.2</v>
      </c>
      <c r="F111" s="882">
        <v>30</v>
      </c>
    </row>
    <row r="112" spans="1:6" s="878" customFormat="1" ht="24">
      <c r="A112" s="882">
        <v>52</v>
      </c>
      <c r="B112" s="3283"/>
      <c r="C112" s="882" t="s">
        <v>727</v>
      </c>
      <c r="D112" s="818" t="s">
        <v>728</v>
      </c>
      <c r="E112" s="895">
        <v>0.2</v>
      </c>
      <c r="F112" s="882">
        <v>30</v>
      </c>
    </row>
    <row r="113" spans="1:6" s="878" customFormat="1" ht="24">
      <c r="A113" s="882">
        <v>53</v>
      </c>
      <c r="B113" s="328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3" t="s">
        <v>737</v>
      </c>
      <c r="C116" s="882" t="s">
        <v>738</v>
      </c>
      <c r="D116" s="818" t="s">
        <v>739</v>
      </c>
      <c r="E116" s="895">
        <v>0.2</v>
      </c>
      <c r="F116" s="882">
        <v>30</v>
      </c>
    </row>
    <row r="117" spans="1:6" ht="36">
      <c r="A117" s="882">
        <v>57</v>
      </c>
      <c r="B117" s="328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36" sqref="J36"/>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6" t="s">
        <v>2994</v>
      </c>
    </row>
    <row r="2" spans="1:5" ht="15.75">
      <c r="A2" s="2915" t="s">
        <v>2986</v>
      </c>
      <c r="B2" s="2916">
        <f ca="1">SUMIF(B6:B13,"&lt;&gt;#ref!",B6:B13)</f>
        <v>1150</v>
      </c>
      <c r="C2" s="2915" t="s">
        <v>2987</v>
      </c>
      <c r="D2" s="2915" t="s">
        <v>2988</v>
      </c>
      <c r="E2" s="2916" t="e">
        <f ca="1">SUM(E6:E13)</f>
        <v>#REF!</v>
      </c>
    </row>
    <row r="3" spans="1:5" ht="15.75">
      <c r="A3" s="2915" t="s">
        <v>2989</v>
      </c>
      <c r="B3" s="2916" t="e">
        <f ca="1">ROUND(B2*10000/E2,0)</f>
        <v>#REF!</v>
      </c>
      <c r="C3" s="2915" t="s">
        <v>2995</v>
      </c>
      <c r="D3" s="2917"/>
      <c r="E3" s="2917"/>
    </row>
    <row r="4" spans="1:5" ht="15.75">
      <c r="A4" s="2918"/>
      <c r="B4" s="2917"/>
      <c r="C4" s="2917"/>
      <c r="D4" s="2917"/>
      <c r="E4" s="2917"/>
    </row>
    <row r="5" spans="1:5" ht="28.5">
      <c r="A5" s="2919" t="s">
        <v>2990</v>
      </c>
      <c r="B5" s="2915" t="s">
        <v>2991</v>
      </c>
      <c r="C5" s="2916"/>
      <c r="D5" s="2917"/>
      <c r="E5" s="2915" t="s">
        <v>2992</v>
      </c>
    </row>
    <row r="6" spans="1:5" ht="15.75">
      <c r="A6" s="2920" t="s">
        <v>2993</v>
      </c>
      <c r="B6" s="2916">
        <f ca="1">SUMIF(INDIRECT("'"&amp;A6&amp;"'"&amp;"!A:A"),"总价",INDIRECT("'"&amp;A6&amp;"'"&amp;"!B:B"))</f>
        <v>1150</v>
      </c>
      <c r="C6" s="2915" t="s">
        <v>2987</v>
      </c>
      <c r="D6" s="2917"/>
      <c r="E6" s="2580">
        <f ca="1">SUMIF(INDIRECT("'"&amp;A6&amp;"'"&amp;"!C:C"),"建筑面积",INDIRECT("'"&amp;A6&amp;"'"&amp;"!D:D"))</f>
        <v>1266.6499999999999</v>
      </c>
    </row>
    <row r="7" spans="1:5" ht="15.75">
      <c r="A7" s="2920"/>
      <c r="B7" s="2916" t="e">
        <f ca="1">SUMIF(INDIRECT("'"&amp;A7&amp;"'"&amp;"!A:A"),"总价",INDIRECT("'"&amp;A7&amp;"'"&amp;"!B:B"))</f>
        <v>#REF!</v>
      </c>
      <c r="C7" s="2915" t="s">
        <v>2987</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2987</v>
      </c>
      <c r="D8" s="2917"/>
      <c r="E8" s="2580" t="e">
        <f t="shared" ca="1" si="0"/>
        <v>#REF!</v>
      </c>
    </row>
    <row r="9" spans="1:5" ht="15.75">
      <c r="A9" s="2920"/>
      <c r="B9" s="2916" t="e">
        <f t="shared" ca="1" si="1"/>
        <v>#REF!</v>
      </c>
      <c r="C9" s="2915" t="s">
        <v>2987</v>
      </c>
      <c r="D9" s="2917"/>
      <c r="E9" s="2580" t="e">
        <f t="shared" ca="1" si="0"/>
        <v>#REF!</v>
      </c>
    </row>
    <row r="10" spans="1:5" ht="15.75">
      <c r="A10" s="2920"/>
      <c r="B10" s="2916" t="e">
        <f t="shared" ca="1" si="1"/>
        <v>#REF!</v>
      </c>
      <c r="C10" s="2915" t="s">
        <v>2987</v>
      </c>
      <c r="D10" s="2917"/>
      <c r="E10" s="2580" t="e">
        <f t="shared" ca="1" si="0"/>
        <v>#REF!</v>
      </c>
    </row>
    <row r="11" spans="1:5" ht="15.75">
      <c r="A11" s="2920"/>
      <c r="B11" s="2916" t="e">
        <f t="shared" ca="1" si="1"/>
        <v>#REF!</v>
      </c>
      <c r="C11" s="2915" t="s">
        <v>2987</v>
      </c>
      <c r="D11" s="2917"/>
      <c r="E11" s="2580" t="e">
        <f t="shared" ca="1" si="0"/>
        <v>#REF!</v>
      </c>
    </row>
    <row r="12" spans="1:5" ht="15.75">
      <c r="A12" s="2920"/>
      <c r="B12" s="2916" t="e">
        <f t="shared" ca="1" si="1"/>
        <v>#REF!</v>
      </c>
      <c r="C12" s="2915" t="s">
        <v>2987</v>
      </c>
      <c r="D12" s="2917"/>
      <c r="E12" s="2580" t="e">
        <f t="shared" ca="1" si="0"/>
        <v>#REF!</v>
      </c>
    </row>
    <row r="13" spans="1:5" ht="15.75">
      <c r="A13" s="2920"/>
      <c r="B13" s="2916" t="e">
        <f t="shared" ca="1" si="1"/>
        <v>#REF!</v>
      </c>
      <c r="C13" s="2915" t="s">
        <v>2987</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4" sqref="I4"/>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89" t="s">
        <v>1150</v>
      </c>
      <c r="C1" s="3289"/>
      <c r="D1" s="3289"/>
      <c r="E1" s="3289"/>
      <c r="F1" s="3289"/>
      <c r="G1" s="3285" t="s">
        <v>1151</v>
      </c>
      <c r="H1" s="3285"/>
      <c r="I1" s="3285"/>
      <c r="J1" s="3285"/>
      <c r="K1" s="3285"/>
      <c r="L1" s="3285"/>
      <c r="N1" s="3285" t="s">
        <v>1152</v>
      </c>
      <c r="O1" s="3285"/>
      <c r="P1" s="3285"/>
      <c r="Q1" s="3285"/>
      <c r="R1" s="1449"/>
      <c r="S1" s="3285" t="s">
        <v>1153</v>
      </c>
      <c r="T1" s="3285"/>
      <c r="U1" s="3285"/>
      <c r="V1" s="3285"/>
      <c r="X1" s="3284" t="s">
        <v>1154</v>
      </c>
      <c r="Y1" s="3285"/>
      <c r="Z1" s="3285"/>
      <c r="AA1" s="3285"/>
      <c r="AB1" s="3285"/>
      <c r="AD1" s="3284" t="s">
        <v>1155</v>
      </c>
      <c r="AE1" s="3285"/>
      <c r="AF1" s="3285"/>
      <c r="AG1" s="3285"/>
      <c r="AH1" s="3285"/>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9"/>
      <c r="J3" s="2929"/>
      <c r="K3" s="2929"/>
      <c r="L3" s="2929"/>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3025</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9">
        <f>ROUND(AVERAGE(I5:I20),2)</f>
        <v>2.4900000000000002</v>
      </c>
      <c r="J4" s="2929">
        <f t="shared" ref="J4:L4" si="7">ROUND(AVERAGE(J5:J20),2)</f>
        <v>1.64</v>
      </c>
      <c r="K4" s="2929">
        <f t="shared" si="7"/>
        <v>2.78</v>
      </c>
      <c r="L4" s="2929">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3023</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6">
        <v>2017</v>
      </c>
      <c r="H5" s="1734">
        <v>4</v>
      </c>
      <c r="I5" s="2930">
        <f>ROUND(AVERAGE(I6:I20),2)</f>
        <v>2.4900000000000002</v>
      </c>
      <c r="J5" s="2930">
        <f>ROUND(AVERAGE(J6:J20),2)</f>
        <v>1.64</v>
      </c>
      <c r="K5" s="2930">
        <f>ROUND(AVERAGE(K6:K20),2)</f>
        <v>2.78</v>
      </c>
      <c r="L5" s="2930">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3024</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8"/>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7"/>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8"/>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90">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87"/>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87"/>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88"/>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86">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87"/>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87"/>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88"/>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86">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87"/>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87"/>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88"/>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91">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92"/>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92"/>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93"/>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86">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87"/>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87"/>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88"/>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86">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87">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87">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88">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86">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87">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87">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88">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86">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87">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87">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88">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86">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87">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87">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88">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86">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87">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87">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88">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86">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87">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87">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88">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86">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87">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87">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88">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86">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87">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87">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88">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86">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87">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87">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88">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86">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87">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87">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88">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2" sqref="A22:S3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2996</v>
      </c>
      <c r="C1" s="3295" t="s">
        <v>2997</v>
      </c>
      <c r="D1" s="3296"/>
      <c r="E1" s="3296"/>
      <c r="F1" s="3296"/>
      <c r="G1" s="3296"/>
      <c r="H1" s="3296"/>
      <c r="I1" s="3296"/>
      <c r="J1" s="3296"/>
      <c r="K1" s="3296"/>
      <c r="L1" s="3296"/>
      <c r="M1" s="3296"/>
      <c r="N1" s="3296"/>
      <c r="O1" s="3296"/>
      <c r="P1" s="3296"/>
      <c r="Q1" s="3296"/>
      <c r="R1" s="3296"/>
      <c r="S1" s="3297"/>
      <c r="T1" s="1207" t="s">
        <v>2998</v>
      </c>
    </row>
    <row r="2" spans="1:45" s="707" customFormat="1" ht="38.25">
      <c r="A2" s="1208"/>
      <c r="B2" s="703" t="s">
        <v>2999</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v>
      </c>
      <c r="E3" s="710">
        <v>100</v>
      </c>
      <c r="F3" s="1708">
        <v>150</v>
      </c>
      <c r="G3" s="1708">
        <v>200</v>
      </c>
      <c r="H3" s="1708">
        <v>250</v>
      </c>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2">
        <v>97</v>
      </c>
      <c r="G4" s="1712">
        <v>96</v>
      </c>
      <c r="H4" s="1712">
        <v>95</v>
      </c>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5.5">
      <c r="A5" s="1218"/>
      <c r="B5" s="1773" t="s">
        <v>3120</v>
      </c>
      <c r="C5" s="1219" t="s">
        <v>3066</v>
      </c>
      <c r="D5" s="1220" t="s">
        <v>3061</v>
      </c>
      <c r="E5" s="1220" t="s">
        <v>3123</v>
      </c>
      <c r="F5" s="1715" t="s">
        <v>3072</v>
      </c>
      <c r="G5" s="1715"/>
      <c r="H5" s="1715"/>
      <c r="I5" s="1715"/>
      <c r="J5" s="1715"/>
      <c r="K5" s="1715"/>
      <c r="L5" s="1716"/>
      <c r="M5" s="1717"/>
      <c r="N5" s="1717"/>
      <c r="O5" s="1715"/>
      <c r="P5" s="1715"/>
      <c r="Q5" s="1715"/>
      <c r="R5" s="1715"/>
      <c r="S5" s="1718"/>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9">
        <f t="shared" si="7"/>
        <v>94</v>
      </c>
      <c r="G6" s="1719">
        <f t="shared" si="7"/>
        <v>92</v>
      </c>
      <c r="H6" s="1719">
        <f t="shared" si="7"/>
        <v>90</v>
      </c>
      <c r="I6" s="1719">
        <f t="shared" si="7"/>
        <v>88</v>
      </c>
      <c r="J6" s="1719">
        <f t="shared" si="7"/>
        <v>86</v>
      </c>
      <c r="K6" s="1719">
        <f t="shared" si="7"/>
        <v>84</v>
      </c>
      <c r="L6" s="1719">
        <f t="shared" si="7"/>
        <v>82</v>
      </c>
      <c r="M6" s="1719">
        <f t="shared" si="7"/>
        <v>80</v>
      </c>
      <c r="N6" s="1719">
        <f t="shared" si="7"/>
        <v>78</v>
      </c>
      <c r="O6" s="1719">
        <f t="shared" si="7"/>
        <v>76</v>
      </c>
      <c r="P6" s="1719">
        <f t="shared" si="7"/>
        <v>74</v>
      </c>
      <c r="Q6" s="1719">
        <f t="shared" si="7"/>
        <v>72</v>
      </c>
      <c r="R6" s="1719">
        <f t="shared" si="7"/>
        <v>70</v>
      </c>
      <c r="S6" s="1719">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3121</v>
      </c>
      <c r="C7" s="1124" t="s">
        <v>3124</v>
      </c>
      <c r="D7" s="1118" t="s">
        <v>3065</v>
      </c>
      <c r="E7" s="1118"/>
      <c r="F7" s="1720"/>
      <c r="G7" s="1720"/>
      <c r="H7" s="1720"/>
      <c r="I7" s="1720"/>
      <c r="J7" s="1720"/>
      <c r="K7" s="1720"/>
      <c r="L7" s="1720"/>
      <c r="M7" s="1721"/>
      <c r="N7" s="1722"/>
      <c r="O7" s="1723"/>
      <c r="P7" s="1724"/>
      <c r="Q7" s="1725"/>
      <c r="R7" s="1726"/>
      <c r="S7" s="1727"/>
      <c r="T7" s="713">
        <v>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95</v>
      </c>
      <c r="E8" s="1122">
        <f t="shared" ref="E8:S8" si="8">D8-$T7</f>
        <v>90</v>
      </c>
      <c r="F8" s="1719">
        <f t="shared" si="8"/>
        <v>85</v>
      </c>
      <c r="G8" s="1719">
        <f t="shared" si="8"/>
        <v>80</v>
      </c>
      <c r="H8" s="1719">
        <f t="shared" si="8"/>
        <v>75</v>
      </c>
      <c r="I8" s="1719">
        <f t="shared" si="8"/>
        <v>70</v>
      </c>
      <c r="J8" s="1719">
        <f t="shared" si="8"/>
        <v>65</v>
      </c>
      <c r="K8" s="1719">
        <f t="shared" si="8"/>
        <v>60</v>
      </c>
      <c r="L8" s="1719">
        <f t="shared" si="8"/>
        <v>55</v>
      </c>
      <c r="M8" s="1719">
        <f t="shared" si="8"/>
        <v>50</v>
      </c>
      <c r="N8" s="1719">
        <f t="shared" si="8"/>
        <v>45</v>
      </c>
      <c r="O8" s="1719">
        <f t="shared" si="8"/>
        <v>40</v>
      </c>
      <c r="P8" s="1719">
        <f t="shared" si="8"/>
        <v>35</v>
      </c>
      <c r="Q8" s="1719">
        <f t="shared" si="8"/>
        <v>30</v>
      </c>
      <c r="R8" s="1719">
        <f t="shared" si="8"/>
        <v>25</v>
      </c>
      <c r="S8" s="1719">
        <f t="shared" si="8"/>
        <v>20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5.5">
      <c r="A9" s="1218"/>
      <c r="B9" s="1774" t="s">
        <v>3057</v>
      </c>
      <c r="C9" s="1124" t="s">
        <v>3037</v>
      </c>
      <c r="D9" s="1118" t="s">
        <v>3034</v>
      </c>
      <c r="E9" s="1118"/>
      <c r="F9" s="1720"/>
      <c r="G9" s="1720"/>
      <c r="H9" s="1720"/>
      <c r="I9" s="1720"/>
      <c r="J9" s="1720"/>
      <c r="K9" s="1720"/>
      <c r="L9" s="1728"/>
      <c r="M9" s="1721"/>
      <c r="N9" s="1722"/>
      <c r="O9" s="1723"/>
      <c r="P9" s="1724"/>
      <c r="Q9" s="1725"/>
      <c r="R9" s="1726"/>
      <c r="S9" s="1727"/>
      <c r="T9" s="713">
        <v>5</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95</v>
      </c>
      <c r="E10" s="1224">
        <f t="shared" ref="E10:S10" si="9">D10-$T9</f>
        <v>90</v>
      </c>
      <c r="F10" s="1729">
        <f t="shared" si="9"/>
        <v>85</v>
      </c>
      <c r="G10" s="1729">
        <f t="shared" si="9"/>
        <v>80</v>
      </c>
      <c r="H10" s="1729">
        <f t="shared" si="9"/>
        <v>75</v>
      </c>
      <c r="I10" s="1729">
        <f t="shared" si="9"/>
        <v>70</v>
      </c>
      <c r="J10" s="1729">
        <f t="shared" si="9"/>
        <v>65</v>
      </c>
      <c r="K10" s="1729">
        <f t="shared" si="9"/>
        <v>60</v>
      </c>
      <c r="L10" s="1729">
        <f t="shared" si="9"/>
        <v>55</v>
      </c>
      <c r="M10" s="1729">
        <f t="shared" si="9"/>
        <v>50</v>
      </c>
      <c r="N10" s="1729">
        <f t="shared" si="9"/>
        <v>45</v>
      </c>
      <c r="O10" s="1729">
        <f t="shared" si="9"/>
        <v>40</v>
      </c>
      <c r="P10" s="1729">
        <f t="shared" si="9"/>
        <v>35</v>
      </c>
      <c r="Q10" s="1729">
        <f t="shared" si="9"/>
        <v>30</v>
      </c>
      <c r="R10" s="1729">
        <f t="shared" si="9"/>
        <v>25</v>
      </c>
      <c r="S10" s="1729">
        <f t="shared" si="9"/>
        <v>20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25.5">
      <c r="A11" s="1218"/>
      <c r="B11" s="1773" t="s">
        <v>3122</v>
      </c>
      <c r="C11" s="1219" t="s">
        <v>3085</v>
      </c>
      <c r="D11" s="1220" t="s">
        <v>3087</v>
      </c>
      <c r="E11" s="1220" t="s">
        <v>3070</v>
      </c>
      <c r="F11" s="1220" t="s">
        <v>3090</v>
      </c>
      <c r="G11" s="1220"/>
      <c r="H11" s="1220"/>
      <c r="I11" s="1220"/>
      <c r="J11" s="1220"/>
      <c r="K11" s="1220"/>
      <c r="L11" s="1220"/>
      <c r="M11" s="1221"/>
      <c r="N11" s="1225"/>
      <c r="O11" s="1226"/>
      <c r="P11" s="1227"/>
      <c r="Q11" s="1228"/>
      <c r="R11" s="1229"/>
      <c r="S11" s="1230"/>
      <c r="T11" s="1222">
        <v>10</v>
      </c>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90</v>
      </c>
      <c r="E12" s="1122">
        <f t="shared" ref="E12:S12" si="10">D12-$T11</f>
        <v>80</v>
      </c>
      <c r="F12" s="1122">
        <f t="shared" si="10"/>
        <v>70</v>
      </c>
      <c r="G12" s="1122">
        <f t="shared" si="10"/>
        <v>60</v>
      </c>
      <c r="H12" s="1122">
        <f t="shared" si="10"/>
        <v>50</v>
      </c>
      <c r="I12" s="1122">
        <f t="shared" si="10"/>
        <v>40</v>
      </c>
      <c r="J12" s="1122">
        <f t="shared" si="10"/>
        <v>30</v>
      </c>
      <c r="K12" s="1122">
        <f t="shared" si="10"/>
        <v>20</v>
      </c>
      <c r="L12" s="1122">
        <f t="shared" si="10"/>
        <v>10</v>
      </c>
      <c r="M12" s="1122">
        <f t="shared" si="10"/>
        <v>0</v>
      </c>
      <c r="N12" s="1122">
        <f t="shared" si="10"/>
        <v>-10</v>
      </c>
      <c r="O12" s="1122">
        <f t="shared" si="10"/>
        <v>-20</v>
      </c>
      <c r="P12" s="1122">
        <f t="shared" si="10"/>
        <v>-30</v>
      </c>
      <c r="Q12" s="1122">
        <f t="shared" si="10"/>
        <v>-40</v>
      </c>
      <c r="R12" s="1122">
        <f>Q12-$T11</f>
        <v>-50</v>
      </c>
      <c r="S12" s="1122">
        <f t="shared" si="10"/>
        <v>-60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3000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3001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3002</v>
      </c>
      <c r="B17" s="2922" t="s">
        <v>3003</v>
      </c>
      <c r="C17" s="1234">
        <v>1</v>
      </c>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3004</v>
      </c>
      <c r="E19" s="1796"/>
      <c r="F19" s="1796"/>
      <c r="G19" s="1796"/>
      <c r="H19" s="1283"/>
      <c r="I19" s="168"/>
      <c r="J19" s="168"/>
      <c r="K19" s="168"/>
      <c r="L19" s="168"/>
      <c r="M19" s="168"/>
      <c r="N19" s="168"/>
      <c r="O19" s="168"/>
      <c r="P19" s="168"/>
      <c r="Q19" s="168"/>
      <c r="R19" s="788"/>
      <c r="S19" s="138"/>
    </row>
    <row r="20" spans="1:45" ht="16.5" thickBot="1">
      <c r="A20" s="715" t="s">
        <v>3005</v>
      </c>
      <c r="B20" s="338">
        <f ca="1">IF(D20="——",S22,S22-F20)</f>
        <v>4214</v>
      </c>
      <c r="C20" s="168"/>
      <c r="D20" s="2924" t="s">
        <v>70</v>
      </c>
      <c r="E20" s="1797"/>
      <c r="F20" s="1207" t="e">
        <f ca="1">SUMIF(INDIRECT("'"&amp;H20&amp;"'"&amp;"!A:A"),"承租人权益价值",INDIRECT("'"&amp;H20&amp;"'"&amp;"!c:c"))</f>
        <v>#REF!</v>
      </c>
      <c r="G20" s="1207" t="s">
        <v>3006</v>
      </c>
      <c r="H20" s="2925"/>
      <c r="I20" s="168"/>
      <c r="J20" s="168"/>
      <c r="K20" s="168"/>
      <c r="L20" s="168"/>
      <c r="M20" s="168"/>
      <c r="N20" s="168"/>
      <c r="O20" s="168"/>
      <c r="P20" s="168"/>
      <c r="Q20" s="168"/>
      <c r="R20" s="788"/>
      <c r="S20" s="138"/>
    </row>
    <row r="21" spans="1:45" ht="15.75">
      <c r="A21" s="715" t="s">
        <v>3007</v>
      </c>
      <c r="B21" s="338">
        <f ca="1">R22</f>
        <v>33269</v>
      </c>
      <c r="C21" s="168"/>
      <c r="D21" s="168"/>
      <c r="E21" s="168"/>
      <c r="F21" s="168"/>
      <c r="G21" s="168"/>
      <c r="H21" s="168"/>
      <c r="I21" s="168"/>
      <c r="J21" s="168"/>
      <c r="K21" s="168"/>
      <c r="L21" s="168"/>
      <c r="M21" s="168"/>
      <c r="N21" s="168"/>
      <c r="O21" s="168"/>
      <c r="P21" s="168"/>
      <c r="Q21" s="168"/>
      <c r="R21" s="788"/>
      <c r="S21" s="138"/>
    </row>
    <row r="22" spans="1:45">
      <c r="A22" s="361" t="s">
        <v>3008</v>
      </c>
      <c r="B22" s="24">
        <f>SUM(B24:B10000)</f>
        <v>1266.6499999999999</v>
      </c>
      <c r="C22" s="3095" t="s">
        <v>33</v>
      </c>
      <c r="D22" s="3096"/>
      <c r="E22" s="3096"/>
      <c r="F22" s="3096"/>
      <c r="G22" s="3096"/>
      <c r="H22" s="3096"/>
      <c r="I22" s="3096"/>
      <c r="J22" s="3096"/>
      <c r="K22" s="3096"/>
      <c r="L22" s="3096"/>
      <c r="M22" s="3096"/>
      <c r="N22" s="3096"/>
      <c r="O22" s="3096"/>
      <c r="P22" s="3096"/>
      <c r="Q22" s="3294"/>
      <c r="R22" s="716">
        <f ca="1">ROUND(S22*10000/B22,0)</f>
        <v>33269</v>
      </c>
      <c r="S22" s="24">
        <f ca="1">SUM(S24:S10000)</f>
        <v>4214</v>
      </c>
    </row>
    <row r="23" spans="1:45" s="12" customFormat="1" ht="25.5">
      <c r="A23" s="11" t="s">
        <v>3009</v>
      </c>
      <c r="B23" s="11" t="s">
        <v>3010</v>
      </c>
      <c r="C23" s="11" t="s">
        <v>3011</v>
      </c>
      <c r="D23" s="11" t="str">
        <f>B5</f>
        <v>内部装修</v>
      </c>
      <c r="E23" s="11" t="s">
        <v>3011</v>
      </c>
      <c r="F23" s="11" t="str">
        <f>B7</f>
        <v>层高</v>
      </c>
      <c r="G23" s="11" t="s">
        <v>3011</v>
      </c>
      <c r="H23" s="11" t="str">
        <f>B9</f>
        <v>是否含地下室</v>
      </c>
      <c r="I23" s="11" t="s">
        <v>3011</v>
      </c>
      <c r="J23" s="11" t="str">
        <f>B11</f>
        <v>临街状况</v>
      </c>
      <c r="K23" s="11" t="s">
        <v>3011</v>
      </c>
      <c r="L23" s="11" t="str">
        <f>B13</f>
        <v>修正项6</v>
      </c>
      <c r="M23" s="11" t="s">
        <v>3011</v>
      </c>
      <c r="N23" s="11" t="str">
        <f>B15</f>
        <v>修正项7</v>
      </c>
      <c r="O23" s="11" t="s">
        <v>3011</v>
      </c>
      <c r="P23" s="11" t="str">
        <f>B17</f>
        <v>楼层</v>
      </c>
      <c r="Q23" s="11" t="s">
        <v>3011</v>
      </c>
      <c r="R23" s="717" t="s">
        <v>3012</v>
      </c>
      <c r="S23" s="11" t="s">
        <v>3013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101</v>
      </c>
      <c r="B24" s="718">
        <v>125.74</v>
      </c>
      <c r="C24" s="719">
        <v>1</v>
      </c>
      <c r="D24" s="720" t="s">
        <v>3061</v>
      </c>
      <c r="E24" s="719">
        <v>1</v>
      </c>
      <c r="F24" s="720" t="s">
        <v>3065</v>
      </c>
      <c r="G24" s="719">
        <v>1</v>
      </c>
      <c r="H24" s="720" t="s">
        <v>3034</v>
      </c>
      <c r="I24" s="719">
        <v>1</v>
      </c>
      <c r="J24" s="720" t="s">
        <v>3070</v>
      </c>
      <c r="K24" s="719">
        <v>1</v>
      </c>
      <c r="L24" s="720"/>
      <c r="M24" s="719">
        <v>1</v>
      </c>
      <c r="N24" s="720"/>
      <c r="O24" s="719">
        <v>1</v>
      </c>
      <c r="P24" s="720">
        <v>1</v>
      </c>
      <c r="Q24" s="719">
        <v>1</v>
      </c>
      <c r="R24" s="721">
        <f ca="1">结果表!G20</f>
        <v>33326</v>
      </c>
      <c r="S24" s="719">
        <f t="shared" ref="S24:S54" ca="1" si="11">ROUND(R24*B24/10000,0)</f>
        <v>419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44">
        <v>102</v>
      </c>
      <c r="B25" s="2944">
        <v>138.44999999999999</v>
      </c>
      <c r="C25" s="24">
        <f>IF(B25="",1,(LOOKUP(B25,$3:$3,$4:$4)-LOOKUP($B$24,$3:$3,$4:$4)+100)/100)</f>
        <v>1</v>
      </c>
      <c r="D25" s="720" t="s">
        <v>3061</v>
      </c>
      <c r="E25" s="24">
        <f>(SUMIF($5:$5,D25,$6:$6)-SUMIF($5:$5,$D$24,$6:$6)+100)/100</f>
        <v>1</v>
      </c>
      <c r="F25" s="720" t="s">
        <v>3065</v>
      </c>
      <c r="G25" s="24">
        <f>(SUMIF($7:$7,F25,$8:$8)-SUMIF($7:$7,$F$24,$8:$8)+100)/100</f>
        <v>1</v>
      </c>
      <c r="H25" s="720" t="s">
        <v>3034</v>
      </c>
      <c r="I25" s="24">
        <f>(SUMIF($9:$9,H25,$10:$10)-SUMIF($9:$9,$H$24,$10:$10)+100)/100</f>
        <v>1</v>
      </c>
      <c r="J25" s="720" t="s">
        <v>3070</v>
      </c>
      <c r="K25" s="24">
        <f>(SUMIF($11:$11,J25,$12:$12)-SUMIF($11:$11,$J$24,$12:$12)+100)/100</f>
        <v>1</v>
      </c>
      <c r="L25" s="720"/>
      <c r="M25" s="24">
        <f>(SUMIF($13:$13,L25,$14:$14)-SUMIF($13:$13,$L$24,$14:$14)+100)/100</f>
        <v>1</v>
      </c>
      <c r="N25" s="720"/>
      <c r="O25" s="24">
        <f>(SUMIF($15:$15,N25,$16:$16)-SUMIF($15:$15,$N$24,$16:$16)+100)/100</f>
        <v>1</v>
      </c>
      <c r="P25" s="720">
        <v>1</v>
      </c>
      <c r="Q25" s="24">
        <f>(SUMIF($17:$17,P25,$18:$18)-SUMIF($17:$17,$P$24,$18:$18)+100)/100</f>
        <v>1</v>
      </c>
      <c r="R25" s="716">
        <f ca="1">IF(B25="",0,ROUND($R$24*C25*E25*G25*I25*K25*M25*O25*Q25,0))</f>
        <v>33326</v>
      </c>
      <c r="S25" s="361">
        <f t="shared" ca="1" si="11"/>
        <v>461</v>
      </c>
    </row>
    <row r="26" spans="1:45">
      <c r="A26" s="2944">
        <v>103</v>
      </c>
      <c r="B26" s="2944">
        <v>137.61000000000001</v>
      </c>
      <c r="C26" s="24">
        <f t="shared" ref="C26:C89" si="12">IF(B26="",1,(LOOKUP(B26,$3:$3,$4:$4)-LOOKUP($B$24,$3:$3,$4:$4)+100)/100)</f>
        <v>1</v>
      </c>
      <c r="D26" s="720" t="s">
        <v>3061</v>
      </c>
      <c r="E26" s="24">
        <f t="shared" ref="E26:E89" si="13">(SUMIF($5:$5,D26,$6:$6)-SUMIF($5:$5,$D$24,$6:$6)+100)/100</f>
        <v>1</v>
      </c>
      <c r="F26" s="720" t="s">
        <v>3065</v>
      </c>
      <c r="G26" s="24">
        <f t="shared" ref="G26:G89" si="14">(SUMIF($7:$7,F26,$8:$8)-SUMIF($7:$7,$F$24,$8:$8)+100)/100</f>
        <v>1</v>
      </c>
      <c r="H26" s="720" t="s">
        <v>3034</v>
      </c>
      <c r="I26" s="24">
        <f t="shared" ref="I26:I89" si="15">(SUMIF($9:$9,H26,$10:$10)-SUMIF($9:$9,$H$24,$10:$10)+100)/100</f>
        <v>1</v>
      </c>
      <c r="J26" s="720" t="s">
        <v>3070</v>
      </c>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1</v>
      </c>
      <c r="Q26" s="24">
        <f t="shared" ref="Q26:Q89" si="19">(SUMIF($17:$17,P26,$18:$18)-SUMIF($17:$17,$P$24,$18:$18)+100)/100</f>
        <v>1</v>
      </c>
      <c r="R26" s="716">
        <f t="shared" ref="R26:R89" ca="1" si="20">IF(B26="",0,ROUND($R$24*C26*E26*G26*I26*K26*M26*O26*Q26,0))</f>
        <v>33326</v>
      </c>
      <c r="S26" s="361">
        <f t="shared" ca="1" si="11"/>
        <v>459</v>
      </c>
    </row>
    <row r="27" spans="1:45">
      <c r="A27" s="2944">
        <v>104</v>
      </c>
      <c r="B27" s="2944">
        <v>121.22</v>
      </c>
      <c r="C27" s="24">
        <f t="shared" si="12"/>
        <v>1</v>
      </c>
      <c r="D27" s="720" t="s">
        <v>3061</v>
      </c>
      <c r="E27" s="24">
        <f t="shared" si="13"/>
        <v>1</v>
      </c>
      <c r="F27" s="720" t="s">
        <v>3065</v>
      </c>
      <c r="G27" s="24">
        <f t="shared" si="14"/>
        <v>1</v>
      </c>
      <c r="H27" s="720" t="s">
        <v>3034</v>
      </c>
      <c r="I27" s="24">
        <f t="shared" si="15"/>
        <v>1</v>
      </c>
      <c r="J27" s="720" t="s">
        <v>3070</v>
      </c>
      <c r="K27" s="24">
        <f t="shared" si="16"/>
        <v>1</v>
      </c>
      <c r="L27" s="720"/>
      <c r="M27" s="24">
        <f t="shared" si="17"/>
        <v>1</v>
      </c>
      <c r="N27" s="720"/>
      <c r="O27" s="24">
        <f t="shared" si="18"/>
        <v>1</v>
      </c>
      <c r="P27" s="720">
        <v>1</v>
      </c>
      <c r="Q27" s="24">
        <f t="shared" si="19"/>
        <v>1</v>
      </c>
      <c r="R27" s="716">
        <f t="shared" ca="1" si="20"/>
        <v>33326</v>
      </c>
      <c r="S27" s="361">
        <f t="shared" ca="1" si="11"/>
        <v>404</v>
      </c>
    </row>
    <row r="28" spans="1:45">
      <c r="A28" s="2944">
        <v>105</v>
      </c>
      <c r="B28" s="2944">
        <v>72.12</v>
      </c>
      <c r="C28" s="24">
        <f t="shared" si="12"/>
        <v>1.01</v>
      </c>
      <c r="D28" s="720" t="s">
        <v>3061</v>
      </c>
      <c r="E28" s="24">
        <f t="shared" si="13"/>
        <v>1</v>
      </c>
      <c r="F28" s="720" t="s">
        <v>3065</v>
      </c>
      <c r="G28" s="24">
        <f t="shared" si="14"/>
        <v>1</v>
      </c>
      <c r="H28" s="720" t="s">
        <v>3037</v>
      </c>
      <c r="I28" s="24">
        <f t="shared" si="15"/>
        <v>1.05</v>
      </c>
      <c r="J28" s="720" t="s">
        <v>3070</v>
      </c>
      <c r="K28" s="24">
        <f t="shared" si="16"/>
        <v>1</v>
      </c>
      <c r="L28" s="720"/>
      <c r="M28" s="24">
        <f t="shared" si="17"/>
        <v>1</v>
      </c>
      <c r="N28" s="720"/>
      <c r="O28" s="24">
        <f t="shared" si="18"/>
        <v>1</v>
      </c>
      <c r="P28" s="720">
        <v>1</v>
      </c>
      <c r="Q28" s="24">
        <f t="shared" si="19"/>
        <v>1</v>
      </c>
      <c r="R28" s="716">
        <f t="shared" ca="1" si="20"/>
        <v>35342</v>
      </c>
      <c r="S28" s="361">
        <f t="shared" ca="1" si="11"/>
        <v>255</v>
      </c>
    </row>
    <row r="29" spans="1:45">
      <c r="A29" s="2944">
        <v>106</v>
      </c>
      <c r="B29" s="2944">
        <v>116.2</v>
      </c>
      <c r="C29" s="24">
        <f t="shared" si="12"/>
        <v>1</v>
      </c>
      <c r="D29" s="720" t="s">
        <v>3061</v>
      </c>
      <c r="E29" s="24">
        <f t="shared" si="13"/>
        <v>1</v>
      </c>
      <c r="F29" s="720" t="s">
        <v>3065</v>
      </c>
      <c r="G29" s="24">
        <f t="shared" si="14"/>
        <v>1</v>
      </c>
      <c r="H29" s="720" t="s">
        <v>3034</v>
      </c>
      <c r="I29" s="24">
        <f t="shared" si="15"/>
        <v>1</v>
      </c>
      <c r="J29" s="720" t="s">
        <v>3070</v>
      </c>
      <c r="K29" s="24">
        <f t="shared" si="16"/>
        <v>1</v>
      </c>
      <c r="L29" s="720"/>
      <c r="M29" s="24">
        <f t="shared" si="17"/>
        <v>1</v>
      </c>
      <c r="N29" s="720"/>
      <c r="O29" s="24">
        <f t="shared" si="18"/>
        <v>1</v>
      </c>
      <c r="P29" s="720">
        <v>1</v>
      </c>
      <c r="Q29" s="24">
        <f t="shared" si="19"/>
        <v>1</v>
      </c>
      <c r="R29" s="716">
        <f t="shared" ca="1" si="20"/>
        <v>33326</v>
      </c>
      <c r="S29" s="361">
        <f t="shared" ca="1" si="11"/>
        <v>387</v>
      </c>
    </row>
    <row r="30" spans="1:45">
      <c r="A30" s="2944">
        <v>107</v>
      </c>
      <c r="B30" s="2944">
        <v>142.52000000000001</v>
      </c>
      <c r="C30" s="24">
        <f t="shared" si="12"/>
        <v>1</v>
      </c>
      <c r="D30" s="720" t="s">
        <v>3061</v>
      </c>
      <c r="E30" s="24">
        <f t="shared" si="13"/>
        <v>1</v>
      </c>
      <c r="F30" s="720" t="s">
        <v>3065</v>
      </c>
      <c r="G30" s="24">
        <f t="shared" si="14"/>
        <v>1</v>
      </c>
      <c r="H30" s="720" t="s">
        <v>3034</v>
      </c>
      <c r="I30" s="24">
        <f t="shared" si="15"/>
        <v>1</v>
      </c>
      <c r="J30" s="720" t="s">
        <v>3070</v>
      </c>
      <c r="K30" s="24">
        <f t="shared" si="16"/>
        <v>1</v>
      </c>
      <c r="L30" s="720"/>
      <c r="M30" s="24">
        <f t="shared" si="17"/>
        <v>1</v>
      </c>
      <c r="N30" s="720"/>
      <c r="O30" s="24">
        <f t="shared" si="18"/>
        <v>1</v>
      </c>
      <c r="P30" s="720">
        <v>1</v>
      </c>
      <c r="Q30" s="24">
        <f t="shared" si="19"/>
        <v>1</v>
      </c>
      <c r="R30" s="716">
        <f t="shared" ca="1" si="20"/>
        <v>33326</v>
      </c>
      <c r="S30" s="361">
        <f t="shared" ca="1" si="11"/>
        <v>475</v>
      </c>
    </row>
    <row r="31" spans="1:45">
      <c r="A31" s="2944">
        <v>108</v>
      </c>
      <c r="B31" s="2944">
        <v>133.59</v>
      </c>
      <c r="C31" s="24">
        <f t="shared" si="12"/>
        <v>1</v>
      </c>
      <c r="D31" s="720" t="s">
        <v>3061</v>
      </c>
      <c r="E31" s="24">
        <f t="shared" si="13"/>
        <v>1</v>
      </c>
      <c r="F31" s="720" t="s">
        <v>3065</v>
      </c>
      <c r="G31" s="24">
        <f t="shared" si="14"/>
        <v>1</v>
      </c>
      <c r="H31" s="720" t="s">
        <v>3034</v>
      </c>
      <c r="I31" s="24">
        <f t="shared" si="15"/>
        <v>1</v>
      </c>
      <c r="J31" s="720" t="s">
        <v>3070</v>
      </c>
      <c r="K31" s="24">
        <f t="shared" si="16"/>
        <v>1</v>
      </c>
      <c r="L31" s="720"/>
      <c r="M31" s="24">
        <f t="shared" si="17"/>
        <v>1</v>
      </c>
      <c r="N31" s="720"/>
      <c r="O31" s="24">
        <f t="shared" si="18"/>
        <v>1</v>
      </c>
      <c r="P31" s="720">
        <v>1</v>
      </c>
      <c r="Q31" s="24">
        <f t="shared" si="19"/>
        <v>1</v>
      </c>
      <c r="R31" s="716">
        <f t="shared" ca="1" si="20"/>
        <v>33326</v>
      </c>
      <c r="S31" s="361">
        <f t="shared" ca="1" si="11"/>
        <v>445</v>
      </c>
    </row>
    <row r="32" spans="1:45">
      <c r="A32" s="2944">
        <v>109</v>
      </c>
      <c r="B32" s="2944">
        <v>125.85</v>
      </c>
      <c r="C32" s="24">
        <f t="shared" si="12"/>
        <v>1</v>
      </c>
      <c r="D32" s="720" t="s">
        <v>3061</v>
      </c>
      <c r="E32" s="24">
        <f t="shared" si="13"/>
        <v>1</v>
      </c>
      <c r="F32" s="720" t="s">
        <v>3065</v>
      </c>
      <c r="G32" s="24">
        <f t="shared" si="14"/>
        <v>1</v>
      </c>
      <c r="H32" s="720" t="s">
        <v>3034</v>
      </c>
      <c r="I32" s="24">
        <f t="shared" si="15"/>
        <v>1</v>
      </c>
      <c r="J32" s="720" t="s">
        <v>3070</v>
      </c>
      <c r="K32" s="24">
        <f t="shared" si="16"/>
        <v>1</v>
      </c>
      <c r="L32" s="720"/>
      <c r="M32" s="24">
        <f t="shared" si="17"/>
        <v>1</v>
      </c>
      <c r="N32" s="720"/>
      <c r="O32" s="24">
        <f t="shared" si="18"/>
        <v>1</v>
      </c>
      <c r="P32" s="720">
        <v>1</v>
      </c>
      <c r="Q32" s="24">
        <f t="shared" si="19"/>
        <v>1</v>
      </c>
      <c r="R32" s="716">
        <f t="shared" ca="1" si="20"/>
        <v>33326</v>
      </c>
      <c r="S32" s="361">
        <f t="shared" ca="1" si="11"/>
        <v>419</v>
      </c>
    </row>
    <row r="33" spans="1:19">
      <c r="A33" s="2944">
        <v>110</v>
      </c>
      <c r="B33" s="2944">
        <v>28.82</v>
      </c>
      <c r="C33" s="24">
        <f t="shared" si="12"/>
        <v>1.02</v>
      </c>
      <c r="D33" s="720" t="s">
        <v>3061</v>
      </c>
      <c r="E33" s="24">
        <f t="shared" si="13"/>
        <v>1</v>
      </c>
      <c r="F33" s="720" t="s">
        <v>3065</v>
      </c>
      <c r="G33" s="24">
        <f t="shared" si="14"/>
        <v>1</v>
      </c>
      <c r="H33" s="720" t="s">
        <v>3037</v>
      </c>
      <c r="I33" s="24">
        <f t="shared" si="15"/>
        <v>1.05</v>
      </c>
      <c r="J33" s="720" t="s">
        <v>3090</v>
      </c>
      <c r="K33" s="24">
        <f t="shared" si="16"/>
        <v>0.9</v>
      </c>
      <c r="L33" s="720"/>
      <c r="M33" s="24">
        <f t="shared" si="17"/>
        <v>1</v>
      </c>
      <c r="N33" s="720"/>
      <c r="O33" s="24">
        <f t="shared" si="18"/>
        <v>1</v>
      </c>
      <c r="P33" s="720">
        <v>1</v>
      </c>
      <c r="Q33" s="24">
        <f t="shared" si="19"/>
        <v>1</v>
      </c>
      <c r="R33" s="716">
        <f t="shared" ca="1" si="20"/>
        <v>32123</v>
      </c>
      <c r="S33" s="361">
        <f t="shared" ca="1" si="11"/>
        <v>93</v>
      </c>
    </row>
    <row r="34" spans="1:19">
      <c r="A34" s="2944">
        <v>111</v>
      </c>
      <c r="B34" s="2944">
        <v>95.71</v>
      </c>
      <c r="C34" s="24">
        <f t="shared" si="12"/>
        <v>1.01</v>
      </c>
      <c r="D34" s="720" t="s">
        <v>3061</v>
      </c>
      <c r="E34" s="24">
        <f t="shared" si="13"/>
        <v>1</v>
      </c>
      <c r="F34" s="720" t="s">
        <v>3065</v>
      </c>
      <c r="G34" s="24">
        <f t="shared" si="14"/>
        <v>1</v>
      </c>
      <c r="H34" s="720" t="s">
        <v>3037</v>
      </c>
      <c r="I34" s="24">
        <f t="shared" si="15"/>
        <v>1.05</v>
      </c>
      <c r="J34" s="720" t="s">
        <v>3090</v>
      </c>
      <c r="K34" s="24">
        <f t="shared" si="16"/>
        <v>0.9</v>
      </c>
      <c r="L34" s="720"/>
      <c r="M34" s="24">
        <f t="shared" si="17"/>
        <v>1</v>
      </c>
      <c r="N34" s="720"/>
      <c r="O34" s="24">
        <f t="shared" si="18"/>
        <v>1</v>
      </c>
      <c r="P34" s="720">
        <v>1</v>
      </c>
      <c r="Q34" s="24">
        <f t="shared" si="19"/>
        <v>1</v>
      </c>
      <c r="R34" s="716">
        <f t="shared" ca="1" si="20"/>
        <v>31808</v>
      </c>
      <c r="S34" s="361">
        <f t="shared" ca="1" si="11"/>
        <v>304</v>
      </c>
    </row>
    <row r="35" spans="1:19">
      <c r="A35" s="2944">
        <v>112</v>
      </c>
      <c r="B35" s="2944">
        <v>28.82</v>
      </c>
      <c r="C35" s="24">
        <f t="shared" si="12"/>
        <v>1.02</v>
      </c>
      <c r="D35" s="720" t="s">
        <v>3061</v>
      </c>
      <c r="E35" s="24">
        <f t="shared" si="13"/>
        <v>1</v>
      </c>
      <c r="F35" s="720" t="s">
        <v>3065</v>
      </c>
      <c r="G35" s="24">
        <f t="shared" si="14"/>
        <v>1</v>
      </c>
      <c r="H35" s="720" t="s">
        <v>3037</v>
      </c>
      <c r="I35" s="24">
        <f t="shared" si="15"/>
        <v>1.05</v>
      </c>
      <c r="J35" s="720" t="s">
        <v>3090</v>
      </c>
      <c r="K35" s="24">
        <f t="shared" si="16"/>
        <v>0.9</v>
      </c>
      <c r="L35" s="720"/>
      <c r="M35" s="24">
        <f t="shared" si="17"/>
        <v>1</v>
      </c>
      <c r="N35" s="720"/>
      <c r="O35" s="24">
        <f t="shared" si="18"/>
        <v>1</v>
      </c>
      <c r="P35" s="720">
        <v>1</v>
      </c>
      <c r="Q35" s="24">
        <f t="shared" si="19"/>
        <v>1</v>
      </c>
      <c r="R35" s="716">
        <f t="shared" ca="1" si="20"/>
        <v>32123</v>
      </c>
      <c r="S35" s="361">
        <f t="shared" ca="1" si="11"/>
        <v>93</v>
      </c>
    </row>
    <row r="36" spans="1:19">
      <c r="A36" s="159"/>
      <c r="B36" s="59"/>
      <c r="C36" s="24">
        <f t="shared" si="12"/>
        <v>1</v>
      </c>
      <c r="D36" s="720"/>
      <c r="E36" s="24">
        <f t="shared" si="13"/>
        <v>0.02</v>
      </c>
      <c r="F36" s="720"/>
      <c r="G36" s="24">
        <f t="shared" si="14"/>
        <v>0.05</v>
      </c>
      <c r="H36" s="720"/>
      <c r="I36" s="24">
        <f t="shared" si="15"/>
        <v>0.05</v>
      </c>
      <c r="J36" s="720"/>
      <c r="K36" s="24">
        <f t="shared" si="16"/>
        <v>0.2</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0.02</v>
      </c>
      <c r="F37" s="720"/>
      <c r="G37" s="24">
        <f t="shared" si="14"/>
        <v>0.05</v>
      </c>
      <c r="H37" s="720"/>
      <c r="I37" s="24">
        <f t="shared" si="15"/>
        <v>0.05</v>
      </c>
      <c r="J37" s="720"/>
      <c r="K37" s="24">
        <f t="shared" si="16"/>
        <v>0.2</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0.02</v>
      </c>
      <c r="F38" s="720"/>
      <c r="G38" s="24">
        <f t="shared" si="14"/>
        <v>0.05</v>
      </c>
      <c r="H38" s="720"/>
      <c r="I38" s="24">
        <f t="shared" si="15"/>
        <v>0.05</v>
      </c>
      <c r="J38" s="720"/>
      <c r="K38" s="24">
        <f t="shared" si="16"/>
        <v>0.2</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0.02</v>
      </c>
      <c r="F39" s="720"/>
      <c r="G39" s="24">
        <f t="shared" si="14"/>
        <v>0.05</v>
      </c>
      <c r="H39" s="720"/>
      <c r="I39" s="24">
        <f t="shared" si="15"/>
        <v>0.05</v>
      </c>
      <c r="J39" s="720"/>
      <c r="K39" s="24">
        <f t="shared" si="16"/>
        <v>0.2</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0.02</v>
      </c>
      <c r="F40" s="720"/>
      <c r="G40" s="24">
        <f t="shared" si="14"/>
        <v>0.05</v>
      </c>
      <c r="H40" s="720"/>
      <c r="I40" s="24">
        <f t="shared" si="15"/>
        <v>0.05</v>
      </c>
      <c r="J40" s="720"/>
      <c r="K40" s="24">
        <f t="shared" si="16"/>
        <v>0.2</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0.02</v>
      </c>
      <c r="F41" s="720"/>
      <c r="G41" s="24">
        <f t="shared" si="14"/>
        <v>0.05</v>
      </c>
      <c r="H41" s="720"/>
      <c r="I41" s="24">
        <f t="shared" si="15"/>
        <v>0.05</v>
      </c>
      <c r="J41" s="720"/>
      <c r="K41" s="24">
        <f t="shared" si="16"/>
        <v>0.2</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0.02</v>
      </c>
      <c r="F42" s="720"/>
      <c r="G42" s="24">
        <f t="shared" si="14"/>
        <v>0.05</v>
      </c>
      <c r="H42" s="720"/>
      <c r="I42" s="24">
        <f t="shared" si="15"/>
        <v>0.05</v>
      </c>
      <c r="J42" s="720"/>
      <c r="K42" s="24">
        <f t="shared" si="16"/>
        <v>0.2</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0.02</v>
      </c>
      <c r="F43" s="720"/>
      <c r="G43" s="24">
        <f t="shared" si="14"/>
        <v>0.05</v>
      </c>
      <c r="H43" s="720"/>
      <c r="I43" s="24">
        <f t="shared" si="15"/>
        <v>0.05</v>
      </c>
      <c r="J43" s="720"/>
      <c r="K43" s="24">
        <f t="shared" si="16"/>
        <v>0.2</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0.02</v>
      </c>
      <c r="F44" s="720"/>
      <c r="G44" s="24">
        <f t="shared" si="14"/>
        <v>0.05</v>
      </c>
      <c r="H44" s="720"/>
      <c r="I44" s="24">
        <f t="shared" si="15"/>
        <v>0.05</v>
      </c>
      <c r="J44" s="720"/>
      <c r="K44" s="24">
        <f t="shared" si="16"/>
        <v>0.2</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0.02</v>
      </c>
      <c r="F45" s="720"/>
      <c r="G45" s="24">
        <f t="shared" si="14"/>
        <v>0.05</v>
      </c>
      <c r="H45" s="720"/>
      <c r="I45" s="24">
        <f t="shared" si="15"/>
        <v>0.05</v>
      </c>
      <c r="J45" s="720"/>
      <c r="K45" s="24">
        <f t="shared" si="16"/>
        <v>0.2</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0.02</v>
      </c>
      <c r="F46" s="720"/>
      <c r="G46" s="24">
        <f t="shared" si="14"/>
        <v>0.05</v>
      </c>
      <c r="H46" s="720"/>
      <c r="I46" s="24">
        <f t="shared" si="15"/>
        <v>0.05</v>
      </c>
      <c r="J46" s="720"/>
      <c r="K46" s="24">
        <f t="shared" si="16"/>
        <v>0.2</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0.02</v>
      </c>
      <c r="F47" s="720"/>
      <c r="G47" s="24">
        <f t="shared" si="14"/>
        <v>0.05</v>
      </c>
      <c r="H47" s="720"/>
      <c r="I47" s="24">
        <f t="shared" si="15"/>
        <v>0.05</v>
      </c>
      <c r="J47" s="720"/>
      <c r="K47" s="24">
        <f t="shared" si="16"/>
        <v>0.2</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0.02</v>
      </c>
      <c r="F48" s="720"/>
      <c r="G48" s="24">
        <f t="shared" si="14"/>
        <v>0.05</v>
      </c>
      <c r="H48" s="720"/>
      <c r="I48" s="24">
        <f t="shared" si="15"/>
        <v>0.05</v>
      </c>
      <c r="J48" s="720"/>
      <c r="K48" s="24">
        <f t="shared" si="16"/>
        <v>0.2</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0.02</v>
      </c>
      <c r="F49" s="720"/>
      <c r="G49" s="24">
        <f t="shared" si="14"/>
        <v>0.05</v>
      </c>
      <c r="H49" s="720"/>
      <c r="I49" s="24">
        <f t="shared" si="15"/>
        <v>0.05</v>
      </c>
      <c r="J49" s="720"/>
      <c r="K49" s="24">
        <f t="shared" si="16"/>
        <v>0.2</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0.02</v>
      </c>
      <c r="F50" s="720"/>
      <c r="G50" s="24">
        <f t="shared" si="14"/>
        <v>0.05</v>
      </c>
      <c r="H50" s="720"/>
      <c r="I50" s="24">
        <f t="shared" si="15"/>
        <v>0.05</v>
      </c>
      <c r="J50" s="720"/>
      <c r="K50" s="24">
        <f t="shared" si="16"/>
        <v>0.2</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0.02</v>
      </c>
      <c r="F51" s="720"/>
      <c r="G51" s="24">
        <f t="shared" si="14"/>
        <v>0.05</v>
      </c>
      <c r="H51" s="720"/>
      <c r="I51" s="24">
        <f t="shared" si="15"/>
        <v>0.05</v>
      </c>
      <c r="J51" s="720"/>
      <c r="K51" s="24">
        <f t="shared" si="16"/>
        <v>0.2</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0.02</v>
      </c>
      <c r="F52" s="720"/>
      <c r="G52" s="24">
        <f t="shared" si="14"/>
        <v>0.05</v>
      </c>
      <c r="H52" s="720"/>
      <c r="I52" s="24">
        <f t="shared" si="15"/>
        <v>0.05</v>
      </c>
      <c r="J52" s="720"/>
      <c r="K52" s="24">
        <f t="shared" si="16"/>
        <v>0.2</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0.02</v>
      </c>
      <c r="F53" s="720"/>
      <c r="G53" s="24">
        <f t="shared" si="14"/>
        <v>0.05</v>
      </c>
      <c r="H53" s="720"/>
      <c r="I53" s="24">
        <f t="shared" si="15"/>
        <v>0.05</v>
      </c>
      <c r="J53" s="720"/>
      <c r="K53" s="24">
        <f t="shared" si="16"/>
        <v>0.2</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0.02</v>
      </c>
      <c r="F54" s="720"/>
      <c r="G54" s="24">
        <f t="shared" si="14"/>
        <v>0.05</v>
      </c>
      <c r="H54" s="720"/>
      <c r="I54" s="24">
        <f t="shared" si="15"/>
        <v>0.05</v>
      </c>
      <c r="J54" s="720"/>
      <c r="K54" s="24">
        <f t="shared" si="16"/>
        <v>0.2</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0.02</v>
      </c>
      <c r="F55" s="720"/>
      <c r="G55" s="24">
        <f t="shared" si="14"/>
        <v>0.05</v>
      </c>
      <c r="H55" s="720"/>
      <c r="I55" s="24">
        <f t="shared" si="15"/>
        <v>0.05</v>
      </c>
      <c r="J55" s="720"/>
      <c r="K55" s="24">
        <f t="shared" si="16"/>
        <v>0.2</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0.02</v>
      </c>
      <c r="F56" s="720"/>
      <c r="G56" s="24">
        <f t="shared" si="14"/>
        <v>0.05</v>
      </c>
      <c r="H56" s="720"/>
      <c r="I56" s="24">
        <f t="shared" si="15"/>
        <v>0.05</v>
      </c>
      <c r="J56" s="720"/>
      <c r="K56" s="24">
        <f t="shared" si="16"/>
        <v>0.2</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0.02</v>
      </c>
      <c r="F57" s="720"/>
      <c r="G57" s="24">
        <f t="shared" si="14"/>
        <v>0.05</v>
      </c>
      <c r="H57" s="720"/>
      <c r="I57" s="24">
        <f t="shared" si="15"/>
        <v>0.05</v>
      </c>
      <c r="J57" s="720"/>
      <c r="K57" s="24">
        <f t="shared" si="16"/>
        <v>0.2</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0.02</v>
      </c>
      <c r="F58" s="720"/>
      <c r="G58" s="24">
        <f t="shared" si="14"/>
        <v>0.05</v>
      </c>
      <c r="H58" s="720"/>
      <c r="I58" s="24">
        <f t="shared" si="15"/>
        <v>0.05</v>
      </c>
      <c r="J58" s="720"/>
      <c r="K58" s="24">
        <f t="shared" si="16"/>
        <v>0.2</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0.02</v>
      </c>
      <c r="F59" s="720"/>
      <c r="G59" s="24">
        <f t="shared" si="14"/>
        <v>0.05</v>
      </c>
      <c r="H59" s="720"/>
      <c r="I59" s="24">
        <f t="shared" si="15"/>
        <v>0.05</v>
      </c>
      <c r="J59" s="720"/>
      <c r="K59" s="24">
        <f t="shared" si="16"/>
        <v>0.2</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0.02</v>
      </c>
      <c r="F60" s="720"/>
      <c r="G60" s="24">
        <f t="shared" si="14"/>
        <v>0.05</v>
      </c>
      <c r="H60" s="720"/>
      <c r="I60" s="24">
        <f t="shared" si="15"/>
        <v>0.05</v>
      </c>
      <c r="J60" s="720"/>
      <c r="K60" s="24">
        <f t="shared" si="16"/>
        <v>0.2</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0.02</v>
      </c>
      <c r="F61" s="720"/>
      <c r="G61" s="24">
        <f t="shared" si="14"/>
        <v>0.05</v>
      </c>
      <c r="H61" s="720"/>
      <c r="I61" s="24">
        <f t="shared" si="15"/>
        <v>0.05</v>
      </c>
      <c r="J61" s="720"/>
      <c r="K61" s="24">
        <f t="shared" si="16"/>
        <v>0.2</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0.02</v>
      </c>
      <c r="F62" s="720"/>
      <c r="G62" s="24">
        <f t="shared" si="14"/>
        <v>0.05</v>
      </c>
      <c r="H62" s="720"/>
      <c r="I62" s="24">
        <f t="shared" si="15"/>
        <v>0.05</v>
      </c>
      <c r="J62" s="720"/>
      <c r="K62" s="24">
        <f t="shared" si="16"/>
        <v>0.2</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0.02</v>
      </c>
      <c r="F63" s="720"/>
      <c r="G63" s="24">
        <f t="shared" si="14"/>
        <v>0.05</v>
      </c>
      <c r="H63" s="720"/>
      <c r="I63" s="24">
        <f t="shared" si="15"/>
        <v>0.05</v>
      </c>
      <c r="J63" s="720"/>
      <c r="K63" s="24">
        <f t="shared" si="16"/>
        <v>0.2</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0.02</v>
      </c>
      <c r="F64" s="720"/>
      <c r="G64" s="24">
        <f t="shared" si="14"/>
        <v>0.05</v>
      </c>
      <c r="H64" s="720"/>
      <c r="I64" s="24">
        <f t="shared" si="15"/>
        <v>0.05</v>
      </c>
      <c r="J64" s="720"/>
      <c r="K64" s="24">
        <f t="shared" si="16"/>
        <v>0.2</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0.02</v>
      </c>
      <c r="F65" s="720"/>
      <c r="G65" s="24">
        <f t="shared" si="14"/>
        <v>0.05</v>
      </c>
      <c r="H65" s="720"/>
      <c r="I65" s="24">
        <f t="shared" si="15"/>
        <v>0.05</v>
      </c>
      <c r="J65" s="720"/>
      <c r="K65" s="24">
        <f t="shared" si="16"/>
        <v>0.2</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0.02</v>
      </c>
      <c r="F66" s="720"/>
      <c r="G66" s="24">
        <f t="shared" si="14"/>
        <v>0.05</v>
      </c>
      <c r="H66" s="720"/>
      <c r="I66" s="24">
        <f t="shared" si="15"/>
        <v>0.05</v>
      </c>
      <c r="J66" s="720"/>
      <c r="K66" s="24">
        <f t="shared" si="16"/>
        <v>0.2</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0.02</v>
      </c>
      <c r="F67" s="720"/>
      <c r="G67" s="24">
        <f t="shared" si="14"/>
        <v>0.05</v>
      </c>
      <c r="H67" s="720"/>
      <c r="I67" s="24">
        <f t="shared" si="15"/>
        <v>0.05</v>
      </c>
      <c r="J67" s="720"/>
      <c r="K67" s="24">
        <f t="shared" si="16"/>
        <v>0.2</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0.02</v>
      </c>
      <c r="F68" s="720"/>
      <c r="G68" s="24">
        <f t="shared" si="14"/>
        <v>0.05</v>
      </c>
      <c r="H68" s="720"/>
      <c r="I68" s="24">
        <f t="shared" si="15"/>
        <v>0.05</v>
      </c>
      <c r="J68" s="720"/>
      <c r="K68" s="24">
        <f t="shared" si="16"/>
        <v>0.2</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0.02</v>
      </c>
      <c r="F69" s="720"/>
      <c r="G69" s="24">
        <f t="shared" si="14"/>
        <v>0.05</v>
      </c>
      <c r="H69" s="720"/>
      <c r="I69" s="24">
        <f t="shared" si="15"/>
        <v>0.05</v>
      </c>
      <c r="J69" s="720"/>
      <c r="K69" s="24">
        <f t="shared" si="16"/>
        <v>0.2</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0.02</v>
      </c>
      <c r="F70" s="720"/>
      <c r="G70" s="24">
        <f t="shared" si="14"/>
        <v>0.05</v>
      </c>
      <c r="H70" s="720"/>
      <c r="I70" s="24">
        <f t="shared" si="15"/>
        <v>0.05</v>
      </c>
      <c r="J70" s="720"/>
      <c r="K70" s="24">
        <f t="shared" si="16"/>
        <v>0.2</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0.02</v>
      </c>
      <c r="F71" s="720"/>
      <c r="G71" s="24">
        <f t="shared" si="14"/>
        <v>0.05</v>
      </c>
      <c r="H71" s="720"/>
      <c r="I71" s="24">
        <f t="shared" si="15"/>
        <v>0.05</v>
      </c>
      <c r="J71" s="720"/>
      <c r="K71" s="24">
        <f t="shared" si="16"/>
        <v>0.2</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0.02</v>
      </c>
      <c r="F72" s="720"/>
      <c r="G72" s="24">
        <f t="shared" si="14"/>
        <v>0.05</v>
      </c>
      <c r="H72" s="720"/>
      <c r="I72" s="24">
        <f t="shared" si="15"/>
        <v>0.05</v>
      </c>
      <c r="J72" s="720"/>
      <c r="K72" s="24">
        <f t="shared" si="16"/>
        <v>0.2</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0.02</v>
      </c>
      <c r="F73" s="720"/>
      <c r="G73" s="24">
        <f t="shared" si="14"/>
        <v>0.05</v>
      </c>
      <c r="H73" s="720"/>
      <c r="I73" s="24">
        <f t="shared" si="15"/>
        <v>0.05</v>
      </c>
      <c r="J73" s="720"/>
      <c r="K73" s="24">
        <f t="shared" si="16"/>
        <v>0.2</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0.02</v>
      </c>
      <c r="F74" s="720"/>
      <c r="G74" s="24">
        <f t="shared" si="14"/>
        <v>0.05</v>
      </c>
      <c r="H74" s="720"/>
      <c r="I74" s="24">
        <f t="shared" si="15"/>
        <v>0.05</v>
      </c>
      <c r="J74" s="720"/>
      <c r="K74" s="24">
        <f t="shared" si="16"/>
        <v>0.2</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0.02</v>
      </c>
      <c r="F75" s="720"/>
      <c r="G75" s="24">
        <f t="shared" si="14"/>
        <v>0.05</v>
      </c>
      <c r="H75" s="720"/>
      <c r="I75" s="24">
        <f t="shared" si="15"/>
        <v>0.05</v>
      </c>
      <c r="J75" s="720"/>
      <c r="K75" s="24">
        <f t="shared" si="16"/>
        <v>0.2</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0.02</v>
      </c>
      <c r="F76" s="720"/>
      <c r="G76" s="24">
        <f t="shared" si="14"/>
        <v>0.05</v>
      </c>
      <c r="H76" s="720"/>
      <c r="I76" s="24">
        <f t="shared" si="15"/>
        <v>0.05</v>
      </c>
      <c r="J76" s="720"/>
      <c r="K76" s="24">
        <f t="shared" si="16"/>
        <v>0.2</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0.02</v>
      </c>
      <c r="F77" s="720"/>
      <c r="G77" s="24">
        <f t="shared" si="14"/>
        <v>0.05</v>
      </c>
      <c r="H77" s="720"/>
      <c r="I77" s="24">
        <f t="shared" si="15"/>
        <v>0.05</v>
      </c>
      <c r="J77" s="720"/>
      <c r="K77" s="24">
        <f t="shared" si="16"/>
        <v>0.2</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0.02</v>
      </c>
      <c r="F78" s="720"/>
      <c r="G78" s="24">
        <f t="shared" si="14"/>
        <v>0.05</v>
      </c>
      <c r="H78" s="720"/>
      <c r="I78" s="24">
        <f t="shared" si="15"/>
        <v>0.05</v>
      </c>
      <c r="J78" s="720"/>
      <c r="K78" s="24">
        <f t="shared" si="16"/>
        <v>0.2</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0.02</v>
      </c>
      <c r="F79" s="720"/>
      <c r="G79" s="24">
        <f t="shared" si="14"/>
        <v>0.05</v>
      </c>
      <c r="H79" s="720"/>
      <c r="I79" s="24">
        <f t="shared" si="15"/>
        <v>0.05</v>
      </c>
      <c r="J79" s="720"/>
      <c r="K79" s="24">
        <f t="shared" si="16"/>
        <v>0.2</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0.02</v>
      </c>
      <c r="F80" s="720"/>
      <c r="G80" s="24">
        <f t="shared" si="14"/>
        <v>0.05</v>
      </c>
      <c r="H80" s="720"/>
      <c r="I80" s="24">
        <f t="shared" si="15"/>
        <v>0.05</v>
      </c>
      <c r="J80" s="720"/>
      <c r="K80" s="24">
        <f t="shared" si="16"/>
        <v>0.2</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0.02</v>
      </c>
      <c r="F81" s="720"/>
      <c r="G81" s="24">
        <f t="shared" si="14"/>
        <v>0.05</v>
      </c>
      <c r="H81" s="720"/>
      <c r="I81" s="24">
        <f t="shared" si="15"/>
        <v>0.05</v>
      </c>
      <c r="J81" s="720"/>
      <c r="K81" s="24">
        <f t="shared" si="16"/>
        <v>0.2</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0.02</v>
      </c>
      <c r="F82" s="720"/>
      <c r="G82" s="24">
        <f t="shared" si="14"/>
        <v>0.05</v>
      </c>
      <c r="H82" s="720"/>
      <c r="I82" s="24">
        <f t="shared" si="15"/>
        <v>0.05</v>
      </c>
      <c r="J82" s="720"/>
      <c r="K82" s="24">
        <f t="shared" si="16"/>
        <v>0.2</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0.02</v>
      </c>
      <c r="F83" s="720"/>
      <c r="G83" s="24">
        <f t="shared" si="14"/>
        <v>0.05</v>
      </c>
      <c r="H83" s="720"/>
      <c r="I83" s="24">
        <f t="shared" si="15"/>
        <v>0.05</v>
      </c>
      <c r="J83" s="720"/>
      <c r="K83" s="24">
        <f t="shared" si="16"/>
        <v>0.2</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0.02</v>
      </c>
      <c r="F84" s="720"/>
      <c r="G84" s="24">
        <f t="shared" si="14"/>
        <v>0.05</v>
      </c>
      <c r="H84" s="720"/>
      <c r="I84" s="24">
        <f t="shared" si="15"/>
        <v>0.05</v>
      </c>
      <c r="J84" s="720"/>
      <c r="K84" s="24">
        <f t="shared" si="16"/>
        <v>0.2</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0.02</v>
      </c>
      <c r="F85" s="720"/>
      <c r="G85" s="24">
        <f t="shared" si="14"/>
        <v>0.05</v>
      </c>
      <c r="H85" s="720"/>
      <c r="I85" s="24">
        <f t="shared" si="15"/>
        <v>0.05</v>
      </c>
      <c r="J85" s="720"/>
      <c r="K85" s="24">
        <f t="shared" si="16"/>
        <v>0.2</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0.02</v>
      </c>
      <c r="F86" s="720"/>
      <c r="G86" s="24">
        <f t="shared" si="14"/>
        <v>0.05</v>
      </c>
      <c r="H86" s="720"/>
      <c r="I86" s="24">
        <f t="shared" si="15"/>
        <v>0.05</v>
      </c>
      <c r="J86" s="720"/>
      <c r="K86" s="24">
        <f t="shared" si="16"/>
        <v>0.2</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0.02</v>
      </c>
      <c r="F87" s="720"/>
      <c r="G87" s="24">
        <f t="shared" si="14"/>
        <v>0.05</v>
      </c>
      <c r="H87" s="720"/>
      <c r="I87" s="24">
        <f t="shared" si="15"/>
        <v>0.05</v>
      </c>
      <c r="J87" s="720"/>
      <c r="K87" s="24">
        <f t="shared" si="16"/>
        <v>0.2</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0.02</v>
      </c>
      <c r="F88" s="720"/>
      <c r="G88" s="24">
        <f t="shared" si="14"/>
        <v>0.05</v>
      </c>
      <c r="H88" s="720"/>
      <c r="I88" s="24">
        <f t="shared" si="15"/>
        <v>0.05</v>
      </c>
      <c r="J88" s="720"/>
      <c r="K88" s="24">
        <f t="shared" si="16"/>
        <v>0.2</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0.02</v>
      </c>
      <c r="F89" s="720"/>
      <c r="G89" s="24">
        <f t="shared" si="14"/>
        <v>0.05</v>
      </c>
      <c r="H89" s="720"/>
      <c r="I89" s="24">
        <f t="shared" si="15"/>
        <v>0.05</v>
      </c>
      <c r="J89" s="720"/>
      <c r="K89" s="24">
        <f t="shared" si="16"/>
        <v>0.2</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0.02</v>
      </c>
      <c r="F90" s="720"/>
      <c r="G90" s="24">
        <f t="shared" ref="G90:G153" si="25">(SUMIF($7:$7,F90,$8:$8)-SUMIF($7:$7,$F$24,$8:$8)+100)/100</f>
        <v>0.05</v>
      </c>
      <c r="H90" s="720"/>
      <c r="I90" s="24">
        <f t="shared" ref="I90:I153" si="26">(SUMIF($9:$9,H90,$10:$10)-SUMIF($9:$9,$H$24,$10:$10)+100)/100</f>
        <v>0.05</v>
      </c>
      <c r="J90" s="720"/>
      <c r="K90" s="24">
        <f t="shared" ref="K90:K153" si="27">(SUMIF($11:$11,J90,$12:$12)-SUMIF($11:$11,$J$24,$12:$12)+100)/100</f>
        <v>0.2</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0.02</v>
      </c>
      <c r="F91" s="720"/>
      <c r="G91" s="24">
        <f t="shared" si="25"/>
        <v>0.05</v>
      </c>
      <c r="H91" s="720"/>
      <c r="I91" s="24">
        <f t="shared" si="26"/>
        <v>0.05</v>
      </c>
      <c r="J91" s="720"/>
      <c r="K91" s="24">
        <f t="shared" si="27"/>
        <v>0.2</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0.02</v>
      </c>
      <c r="F92" s="720"/>
      <c r="G92" s="24">
        <f t="shared" si="25"/>
        <v>0.05</v>
      </c>
      <c r="H92" s="720"/>
      <c r="I92" s="24">
        <f t="shared" si="26"/>
        <v>0.05</v>
      </c>
      <c r="J92" s="720"/>
      <c r="K92" s="24">
        <f t="shared" si="27"/>
        <v>0.2</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0.02</v>
      </c>
      <c r="F93" s="720"/>
      <c r="G93" s="24">
        <f t="shared" si="25"/>
        <v>0.05</v>
      </c>
      <c r="H93" s="720"/>
      <c r="I93" s="24">
        <f t="shared" si="26"/>
        <v>0.05</v>
      </c>
      <c r="J93" s="720"/>
      <c r="K93" s="24">
        <f t="shared" si="27"/>
        <v>0.2</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0.02</v>
      </c>
      <c r="F94" s="720"/>
      <c r="G94" s="24">
        <f t="shared" si="25"/>
        <v>0.05</v>
      </c>
      <c r="H94" s="720"/>
      <c r="I94" s="24">
        <f t="shared" si="26"/>
        <v>0.05</v>
      </c>
      <c r="J94" s="720"/>
      <c r="K94" s="24">
        <f t="shared" si="27"/>
        <v>0.2</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0.02</v>
      </c>
      <c r="F95" s="720"/>
      <c r="G95" s="24">
        <f t="shared" si="25"/>
        <v>0.05</v>
      </c>
      <c r="H95" s="720"/>
      <c r="I95" s="24">
        <f t="shared" si="26"/>
        <v>0.05</v>
      </c>
      <c r="J95" s="720"/>
      <c r="K95" s="24">
        <f t="shared" si="27"/>
        <v>0.2</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0.02</v>
      </c>
      <c r="F96" s="720"/>
      <c r="G96" s="24">
        <f t="shared" si="25"/>
        <v>0.05</v>
      </c>
      <c r="H96" s="720"/>
      <c r="I96" s="24">
        <f t="shared" si="26"/>
        <v>0.05</v>
      </c>
      <c r="J96" s="720"/>
      <c r="K96" s="24">
        <f t="shared" si="27"/>
        <v>0.2</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0.02</v>
      </c>
      <c r="F97" s="720"/>
      <c r="G97" s="24">
        <f t="shared" si="25"/>
        <v>0.05</v>
      </c>
      <c r="H97" s="720"/>
      <c r="I97" s="24">
        <f t="shared" si="26"/>
        <v>0.05</v>
      </c>
      <c r="J97" s="720"/>
      <c r="K97" s="24">
        <f t="shared" si="27"/>
        <v>0.2</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0.02</v>
      </c>
      <c r="F98" s="720"/>
      <c r="G98" s="24">
        <f t="shared" si="25"/>
        <v>0.05</v>
      </c>
      <c r="H98" s="720"/>
      <c r="I98" s="24">
        <f t="shared" si="26"/>
        <v>0.05</v>
      </c>
      <c r="J98" s="720"/>
      <c r="K98" s="24">
        <f t="shared" si="27"/>
        <v>0.2</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0.02</v>
      </c>
      <c r="F99" s="720"/>
      <c r="G99" s="24">
        <f t="shared" si="25"/>
        <v>0.05</v>
      </c>
      <c r="H99" s="720"/>
      <c r="I99" s="24">
        <f t="shared" si="26"/>
        <v>0.05</v>
      </c>
      <c r="J99" s="720"/>
      <c r="K99" s="24">
        <f t="shared" si="27"/>
        <v>0.2</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0.02</v>
      </c>
      <c r="F100" s="720"/>
      <c r="G100" s="24">
        <f t="shared" si="25"/>
        <v>0.05</v>
      </c>
      <c r="H100" s="720"/>
      <c r="I100" s="24">
        <f t="shared" si="26"/>
        <v>0.05</v>
      </c>
      <c r="J100" s="720"/>
      <c r="K100" s="24">
        <f t="shared" si="27"/>
        <v>0.2</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0.02</v>
      </c>
      <c r="F101" s="720"/>
      <c r="G101" s="24">
        <f t="shared" si="25"/>
        <v>0.05</v>
      </c>
      <c r="H101" s="720"/>
      <c r="I101" s="24">
        <f t="shared" si="26"/>
        <v>0.05</v>
      </c>
      <c r="J101" s="720"/>
      <c r="K101" s="24">
        <f t="shared" si="27"/>
        <v>0.2</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0.02</v>
      </c>
      <c r="F102" s="720"/>
      <c r="G102" s="24">
        <f t="shared" si="25"/>
        <v>0.05</v>
      </c>
      <c r="H102" s="720"/>
      <c r="I102" s="24">
        <f t="shared" si="26"/>
        <v>0.05</v>
      </c>
      <c r="J102" s="720"/>
      <c r="K102" s="24">
        <f t="shared" si="27"/>
        <v>0.2</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0.02</v>
      </c>
      <c r="F103" s="720"/>
      <c r="G103" s="24">
        <f t="shared" si="25"/>
        <v>0.05</v>
      </c>
      <c r="H103" s="720"/>
      <c r="I103" s="24">
        <f t="shared" si="26"/>
        <v>0.05</v>
      </c>
      <c r="J103" s="720"/>
      <c r="K103" s="24">
        <f t="shared" si="27"/>
        <v>0.2</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0.02</v>
      </c>
      <c r="F104" s="720"/>
      <c r="G104" s="24">
        <f t="shared" si="25"/>
        <v>0.05</v>
      </c>
      <c r="H104" s="720"/>
      <c r="I104" s="24">
        <f t="shared" si="26"/>
        <v>0.05</v>
      </c>
      <c r="J104" s="720"/>
      <c r="K104" s="24">
        <f t="shared" si="27"/>
        <v>0.2</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0.02</v>
      </c>
      <c r="F105" s="720"/>
      <c r="G105" s="24">
        <f t="shared" si="25"/>
        <v>0.05</v>
      </c>
      <c r="H105" s="720"/>
      <c r="I105" s="24">
        <f t="shared" si="26"/>
        <v>0.05</v>
      </c>
      <c r="J105" s="720"/>
      <c r="K105" s="24">
        <f t="shared" si="27"/>
        <v>0.2</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0.02</v>
      </c>
      <c r="F106" s="720"/>
      <c r="G106" s="24">
        <f t="shared" si="25"/>
        <v>0.05</v>
      </c>
      <c r="H106" s="720"/>
      <c r="I106" s="24">
        <f t="shared" si="26"/>
        <v>0.05</v>
      </c>
      <c r="J106" s="720"/>
      <c r="K106" s="24">
        <f t="shared" si="27"/>
        <v>0.2</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0.02</v>
      </c>
      <c r="F107" s="720"/>
      <c r="G107" s="24">
        <f t="shared" si="25"/>
        <v>0.05</v>
      </c>
      <c r="H107" s="720"/>
      <c r="I107" s="24">
        <f t="shared" si="26"/>
        <v>0.05</v>
      </c>
      <c r="J107" s="720"/>
      <c r="K107" s="24">
        <f t="shared" si="27"/>
        <v>0.2</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0.02</v>
      </c>
      <c r="F108" s="720"/>
      <c r="G108" s="24">
        <f t="shared" si="25"/>
        <v>0.05</v>
      </c>
      <c r="H108" s="720"/>
      <c r="I108" s="24">
        <f t="shared" si="26"/>
        <v>0.05</v>
      </c>
      <c r="J108" s="720"/>
      <c r="K108" s="24">
        <f t="shared" si="27"/>
        <v>0.2</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0.02</v>
      </c>
      <c r="F109" s="720"/>
      <c r="G109" s="24">
        <f t="shared" si="25"/>
        <v>0.05</v>
      </c>
      <c r="H109" s="720"/>
      <c r="I109" s="24">
        <f t="shared" si="26"/>
        <v>0.05</v>
      </c>
      <c r="J109" s="720"/>
      <c r="K109" s="24">
        <f t="shared" si="27"/>
        <v>0.2</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0.02</v>
      </c>
      <c r="F110" s="720"/>
      <c r="G110" s="24">
        <f t="shared" si="25"/>
        <v>0.05</v>
      </c>
      <c r="H110" s="720"/>
      <c r="I110" s="24">
        <f t="shared" si="26"/>
        <v>0.05</v>
      </c>
      <c r="J110" s="720"/>
      <c r="K110" s="24">
        <f t="shared" si="27"/>
        <v>0.2</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0.02</v>
      </c>
      <c r="F111" s="720"/>
      <c r="G111" s="24">
        <f t="shared" si="25"/>
        <v>0.05</v>
      </c>
      <c r="H111" s="720"/>
      <c r="I111" s="24">
        <f t="shared" si="26"/>
        <v>0.05</v>
      </c>
      <c r="J111" s="720"/>
      <c r="K111" s="24">
        <f t="shared" si="27"/>
        <v>0.2</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0.02</v>
      </c>
      <c r="F112" s="720"/>
      <c r="G112" s="24">
        <f t="shared" si="25"/>
        <v>0.05</v>
      </c>
      <c r="H112" s="720"/>
      <c r="I112" s="24">
        <f t="shared" si="26"/>
        <v>0.05</v>
      </c>
      <c r="J112" s="720"/>
      <c r="K112" s="24">
        <f t="shared" si="27"/>
        <v>0.2</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0.02</v>
      </c>
      <c r="F113" s="720"/>
      <c r="G113" s="24">
        <f t="shared" si="25"/>
        <v>0.05</v>
      </c>
      <c r="H113" s="720"/>
      <c r="I113" s="24">
        <f t="shared" si="26"/>
        <v>0.05</v>
      </c>
      <c r="J113" s="720"/>
      <c r="K113" s="24">
        <f t="shared" si="27"/>
        <v>0.2</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0.02</v>
      </c>
      <c r="F114" s="720"/>
      <c r="G114" s="24">
        <f t="shared" si="25"/>
        <v>0.05</v>
      </c>
      <c r="H114" s="720"/>
      <c r="I114" s="24">
        <f t="shared" si="26"/>
        <v>0.05</v>
      </c>
      <c r="J114" s="720"/>
      <c r="K114" s="24">
        <f t="shared" si="27"/>
        <v>0.2</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0.02</v>
      </c>
      <c r="F115" s="720"/>
      <c r="G115" s="24">
        <f t="shared" si="25"/>
        <v>0.05</v>
      </c>
      <c r="H115" s="720"/>
      <c r="I115" s="24">
        <f t="shared" si="26"/>
        <v>0.05</v>
      </c>
      <c r="J115" s="720"/>
      <c r="K115" s="24">
        <f t="shared" si="27"/>
        <v>0.2</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0.02</v>
      </c>
      <c r="F116" s="720"/>
      <c r="G116" s="24">
        <f t="shared" si="25"/>
        <v>0.05</v>
      </c>
      <c r="H116" s="720"/>
      <c r="I116" s="24">
        <f t="shared" si="26"/>
        <v>0.05</v>
      </c>
      <c r="J116" s="720"/>
      <c r="K116" s="24">
        <f t="shared" si="27"/>
        <v>0.2</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0.02</v>
      </c>
      <c r="F117" s="720"/>
      <c r="G117" s="24">
        <f t="shared" si="25"/>
        <v>0.05</v>
      </c>
      <c r="H117" s="720"/>
      <c r="I117" s="24">
        <f t="shared" si="26"/>
        <v>0.05</v>
      </c>
      <c r="J117" s="720"/>
      <c r="K117" s="24">
        <f t="shared" si="27"/>
        <v>0.2</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0.02</v>
      </c>
      <c r="F118" s="720"/>
      <c r="G118" s="24">
        <f t="shared" si="25"/>
        <v>0.05</v>
      </c>
      <c r="H118" s="720"/>
      <c r="I118" s="24">
        <f t="shared" si="26"/>
        <v>0.05</v>
      </c>
      <c r="J118" s="720"/>
      <c r="K118" s="24">
        <f t="shared" si="27"/>
        <v>0.2</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0.02</v>
      </c>
      <c r="F119" s="720"/>
      <c r="G119" s="24">
        <f t="shared" si="25"/>
        <v>0.05</v>
      </c>
      <c r="H119" s="720"/>
      <c r="I119" s="24">
        <f t="shared" si="26"/>
        <v>0.05</v>
      </c>
      <c r="J119" s="720"/>
      <c r="K119" s="24">
        <f t="shared" si="27"/>
        <v>0.2</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0.02</v>
      </c>
      <c r="F120" s="720"/>
      <c r="G120" s="24">
        <f t="shared" si="25"/>
        <v>0.05</v>
      </c>
      <c r="H120" s="720"/>
      <c r="I120" s="24">
        <f t="shared" si="26"/>
        <v>0.05</v>
      </c>
      <c r="J120" s="720"/>
      <c r="K120" s="24">
        <f t="shared" si="27"/>
        <v>0.2</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0.02</v>
      </c>
      <c r="F121" s="720"/>
      <c r="G121" s="24">
        <f t="shared" si="25"/>
        <v>0.05</v>
      </c>
      <c r="H121" s="720"/>
      <c r="I121" s="24">
        <f t="shared" si="26"/>
        <v>0.05</v>
      </c>
      <c r="J121" s="720"/>
      <c r="K121" s="24">
        <f t="shared" si="27"/>
        <v>0.2</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0.02</v>
      </c>
      <c r="F122" s="720"/>
      <c r="G122" s="24">
        <f t="shared" si="25"/>
        <v>0.05</v>
      </c>
      <c r="H122" s="720"/>
      <c r="I122" s="24">
        <f t="shared" si="26"/>
        <v>0.05</v>
      </c>
      <c r="J122" s="720"/>
      <c r="K122" s="24">
        <f t="shared" si="27"/>
        <v>0.2</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0.02</v>
      </c>
      <c r="F123" s="720"/>
      <c r="G123" s="24">
        <f t="shared" si="25"/>
        <v>0.05</v>
      </c>
      <c r="H123" s="720"/>
      <c r="I123" s="24">
        <f t="shared" si="26"/>
        <v>0.05</v>
      </c>
      <c r="J123" s="720"/>
      <c r="K123" s="24">
        <f t="shared" si="27"/>
        <v>0.2</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0.02</v>
      </c>
      <c r="F124" s="720"/>
      <c r="G124" s="24">
        <f t="shared" si="25"/>
        <v>0.05</v>
      </c>
      <c r="H124" s="720"/>
      <c r="I124" s="24">
        <f t="shared" si="26"/>
        <v>0.05</v>
      </c>
      <c r="J124" s="720"/>
      <c r="K124" s="24">
        <f t="shared" si="27"/>
        <v>0.2</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0.02</v>
      </c>
      <c r="F125" s="720"/>
      <c r="G125" s="24">
        <f t="shared" si="25"/>
        <v>0.05</v>
      </c>
      <c r="H125" s="720"/>
      <c r="I125" s="24">
        <f t="shared" si="26"/>
        <v>0.05</v>
      </c>
      <c r="J125" s="720"/>
      <c r="K125" s="24">
        <f t="shared" si="27"/>
        <v>0.2</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0.02</v>
      </c>
      <c r="F126" s="720"/>
      <c r="G126" s="24">
        <f t="shared" si="25"/>
        <v>0.05</v>
      </c>
      <c r="H126" s="720"/>
      <c r="I126" s="24">
        <f t="shared" si="26"/>
        <v>0.05</v>
      </c>
      <c r="J126" s="720"/>
      <c r="K126" s="24">
        <f t="shared" si="27"/>
        <v>0.2</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0.02</v>
      </c>
      <c r="F127" s="720"/>
      <c r="G127" s="24">
        <f t="shared" si="25"/>
        <v>0.05</v>
      </c>
      <c r="H127" s="720"/>
      <c r="I127" s="24">
        <f t="shared" si="26"/>
        <v>0.05</v>
      </c>
      <c r="J127" s="720"/>
      <c r="K127" s="24">
        <f t="shared" si="27"/>
        <v>0.2</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0.02</v>
      </c>
      <c r="F128" s="720"/>
      <c r="G128" s="24">
        <f t="shared" si="25"/>
        <v>0.05</v>
      </c>
      <c r="H128" s="720"/>
      <c r="I128" s="24">
        <f t="shared" si="26"/>
        <v>0.05</v>
      </c>
      <c r="J128" s="720"/>
      <c r="K128" s="24">
        <f t="shared" si="27"/>
        <v>0.2</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0.02</v>
      </c>
      <c r="F129" s="720"/>
      <c r="G129" s="24">
        <f t="shared" si="25"/>
        <v>0.05</v>
      </c>
      <c r="H129" s="720"/>
      <c r="I129" s="24">
        <f t="shared" si="26"/>
        <v>0.05</v>
      </c>
      <c r="J129" s="720"/>
      <c r="K129" s="24">
        <f t="shared" si="27"/>
        <v>0.2</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0.02</v>
      </c>
      <c r="F130" s="720"/>
      <c r="G130" s="24">
        <f t="shared" si="25"/>
        <v>0.05</v>
      </c>
      <c r="H130" s="720"/>
      <c r="I130" s="24">
        <f t="shared" si="26"/>
        <v>0.05</v>
      </c>
      <c r="J130" s="720"/>
      <c r="K130" s="24">
        <f t="shared" si="27"/>
        <v>0.2</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0.02</v>
      </c>
      <c r="F131" s="720"/>
      <c r="G131" s="24">
        <f t="shared" si="25"/>
        <v>0.05</v>
      </c>
      <c r="H131" s="720"/>
      <c r="I131" s="24">
        <f t="shared" si="26"/>
        <v>0.05</v>
      </c>
      <c r="J131" s="720"/>
      <c r="K131" s="24">
        <f t="shared" si="27"/>
        <v>0.2</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0.02</v>
      </c>
      <c r="F132" s="720"/>
      <c r="G132" s="24">
        <f t="shared" si="25"/>
        <v>0.05</v>
      </c>
      <c r="H132" s="720"/>
      <c r="I132" s="24">
        <f t="shared" si="26"/>
        <v>0.05</v>
      </c>
      <c r="J132" s="720"/>
      <c r="K132" s="24">
        <f t="shared" si="27"/>
        <v>0.2</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0.02</v>
      </c>
      <c r="F133" s="720"/>
      <c r="G133" s="24">
        <f t="shared" si="25"/>
        <v>0.05</v>
      </c>
      <c r="H133" s="720"/>
      <c r="I133" s="24">
        <f t="shared" si="26"/>
        <v>0.05</v>
      </c>
      <c r="J133" s="720"/>
      <c r="K133" s="24">
        <f t="shared" si="27"/>
        <v>0.2</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0.02</v>
      </c>
      <c r="F134" s="720"/>
      <c r="G134" s="24">
        <f t="shared" si="25"/>
        <v>0.05</v>
      </c>
      <c r="H134" s="720"/>
      <c r="I134" s="24">
        <f t="shared" si="26"/>
        <v>0.05</v>
      </c>
      <c r="J134" s="720"/>
      <c r="K134" s="24">
        <f t="shared" si="27"/>
        <v>0.2</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0.02</v>
      </c>
      <c r="F135" s="720"/>
      <c r="G135" s="24">
        <f t="shared" si="25"/>
        <v>0.05</v>
      </c>
      <c r="H135" s="720"/>
      <c r="I135" s="24">
        <f t="shared" si="26"/>
        <v>0.05</v>
      </c>
      <c r="J135" s="720"/>
      <c r="K135" s="24">
        <f t="shared" si="27"/>
        <v>0.2</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0.02</v>
      </c>
      <c r="F136" s="720"/>
      <c r="G136" s="24">
        <f t="shared" si="25"/>
        <v>0.05</v>
      </c>
      <c r="H136" s="720"/>
      <c r="I136" s="24">
        <f t="shared" si="26"/>
        <v>0.05</v>
      </c>
      <c r="J136" s="720"/>
      <c r="K136" s="24">
        <f t="shared" si="27"/>
        <v>0.2</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0.02</v>
      </c>
      <c r="F137" s="720"/>
      <c r="G137" s="24">
        <f t="shared" si="25"/>
        <v>0.05</v>
      </c>
      <c r="H137" s="720"/>
      <c r="I137" s="24">
        <f t="shared" si="26"/>
        <v>0.05</v>
      </c>
      <c r="J137" s="720"/>
      <c r="K137" s="24">
        <f t="shared" si="27"/>
        <v>0.2</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0.02</v>
      </c>
      <c r="F138" s="720"/>
      <c r="G138" s="24">
        <f t="shared" si="25"/>
        <v>0.05</v>
      </c>
      <c r="H138" s="720"/>
      <c r="I138" s="24">
        <f t="shared" si="26"/>
        <v>0.05</v>
      </c>
      <c r="J138" s="720"/>
      <c r="K138" s="24">
        <f t="shared" si="27"/>
        <v>0.2</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0.02</v>
      </c>
      <c r="F139" s="720"/>
      <c r="G139" s="24">
        <f t="shared" si="25"/>
        <v>0.05</v>
      </c>
      <c r="H139" s="720"/>
      <c r="I139" s="24">
        <f t="shared" si="26"/>
        <v>0.05</v>
      </c>
      <c r="J139" s="720"/>
      <c r="K139" s="24">
        <f t="shared" si="27"/>
        <v>0.2</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0.02</v>
      </c>
      <c r="F140" s="720"/>
      <c r="G140" s="24">
        <f t="shared" si="25"/>
        <v>0.05</v>
      </c>
      <c r="H140" s="720"/>
      <c r="I140" s="24">
        <f t="shared" si="26"/>
        <v>0.05</v>
      </c>
      <c r="J140" s="720"/>
      <c r="K140" s="24">
        <f t="shared" si="27"/>
        <v>0.2</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0.02</v>
      </c>
      <c r="F141" s="720"/>
      <c r="G141" s="24">
        <f t="shared" si="25"/>
        <v>0.05</v>
      </c>
      <c r="H141" s="720"/>
      <c r="I141" s="24">
        <f t="shared" si="26"/>
        <v>0.05</v>
      </c>
      <c r="J141" s="720"/>
      <c r="K141" s="24">
        <f t="shared" si="27"/>
        <v>0.2</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0.02</v>
      </c>
      <c r="F142" s="720"/>
      <c r="G142" s="24">
        <f t="shared" si="25"/>
        <v>0.05</v>
      </c>
      <c r="H142" s="720"/>
      <c r="I142" s="24">
        <f t="shared" si="26"/>
        <v>0.05</v>
      </c>
      <c r="J142" s="720"/>
      <c r="K142" s="24">
        <f t="shared" si="27"/>
        <v>0.2</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0.02</v>
      </c>
      <c r="F143" s="720"/>
      <c r="G143" s="24">
        <f t="shared" si="25"/>
        <v>0.05</v>
      </c>
      <c r="H143" s="720"/>
      <c r="I143" s="24">
        <f t="shared" si="26"/>
        <v>0.05</v>
      </c>
      <c r="J143" s="720"/>
      <c r="K143" s="24">
        <f t="shared" si="27"/>
        <v>0.2</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0.02</v>
      </c>
      <c r="F144" s="720"/>
      <c r="G144" s="24">
        <f t="shared" si="25"/>
        <v>0.05</v>
      </c>
      <c r="H144" s="720"/>
      <c r="I144" s="24">
        <f t="shared" si="26"/>
        <v>0.05</v>
      </c>
      <c r="J144" s="720"/>
      <c r="K144" s="24">
        <f t="shared" si="27"/>
        <v>0.2</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0.02</v>
      </c>
      <c r="F145" s="720"/>
      <c r="G145" s="24">
        <f t="shared" si="25"/>
        <v>0.05</v>
      </c>
      <c r="H145" s="720"/>
      <c r="I145" s="24">
        <f t="shared" si="26"/>
        <v>0.05</v>
      </c>
      <c r="J145" s="720"/>
      <c r="K145" s="24">
        <f t="shared" si="27"/>
        <v>0.2</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0.02</v>
      </c>
      <c r="F146" s="720"/>
      <c r="G146" s="24">
        <f t="shared" si="25"/>
        <v>0.05</v>
      </c>
      <c r="H146" s="720"/>
      <c r="I146" s="24">
        <f t="shared" si="26"/>
        <v>0.05</v>
      </c>
      <c r="J146" s="720"/>
      <c r="K146" s="24">
        <f t="shared" si="27"/>
        <v>0.2</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0.02</v>
      </c>
      <c r="F147" s="720"/>
      <c r="G147" s="24">
        <f t="shared" si="25"/>
        <v>0.05</v>
      </c>
      <c r="H147" s="720"/>
      <c r="I147" s="24">
        <f t="shared" si="26"/>
        <v>0.05</v>
      </c>
      <c r="J147" s="720"/>
      <c r="K147" s="24">
        <f t="shared" si="27"/>
        <v>0.2</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0.02</v>
      </c>
      <c r="F148" s="720"/>
      <c r="G148" s="24">
        <f t="shared" si="25"/>
        <v>0.05</v>
      </c>
      <c r="H148" s="720"/>
      <c r="I148" s="24">
        <f t="shared" si="26"/>
        <v>0.05</v>
      </c>
      <c r="J148" s="720"/>
      <c r="K148" s="24">
        <f t="shared" si="27"/>
        <v>0.2</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0.02</v>
      </c>
      <c r="F149" s="720"/>
      <c r="G149" s="24">
        <f t="shared" si="25"/>
        <v>0.05</v>
      </c>
      <c r="H149" s="720"/>
      <c r="I149" s="24">
        <f t="shared" si="26"/>
        <v>0.05</v>
      </c>
      <c r="J149" s="720"/>
      <c r="K149" s="24">
        <f t="shared" si="27"/>
        <v>0.2</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0.02</v>
      </c>
      <c r="F150" s="720"/>
      <c r="G150" s="24">
        <f t="shared" si="25"/>
        <v>0.05</v>
      </c>
      <c r="H150" s="720"/>
      <c r="I150" s="24">
        <f t="shared" si="26"/>
        <v>0.05</v>
      </c>
      <c r="J150" s="720"/>
      <c r="K150" s="24">
        <f t="shared" si="27"/>
        <v>0.2</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0.02</v>
      </c>
      <c r="F151" s="720"/>
      <c r="G151" s="24">
        <f t="shared" si="25"/>
        <v>0.05</v>
      </c>
      <c r="H151" s="720"/>
      <c r="I151" s="24">
        <f t="shared" si="26"/>
        <v>0.05</v>
      </c>
      <c r="J151" s="720"/>
      <c r="K151" s="24">
        <f t="shared" si="27"/>
        <v>0.2</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0.02</v>
      </c>
      <c r="F152" s="720"/>
      <c r="G152" s="24">
        <f t="shared" si="25"/>
        <v>0.05</v>
      </c>
      <c r="H152" s="720"/>
      <c r="I152" s="24">
        <f t="shared" si="26"/>
        <v>0.05</v>
      </c>
      <c r="J152" s="720"/>
      <c r="K152" s="24">
        <f t="shared" si="27"/>
        <v>0.2</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0.02</v>
      </c>
      <c r="F153" s="720"/>
      <c r="G153" s="24">
        <f t="shared" si="25"/>
        <v>0.05</v>
      </c>
      <c r="H153" s="720"/>
      <c r="I153" s="24">
        <f t="shared" si="26"/>
        <v>0.05</v>
      </c>
      <c r="J153" s="720"/>
      <c r="K153" s="24">
        <f t="shared" si="27"/>
        <v>0.2</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0.02</v>
      </c>
      <c r="F154" s="720"/>
      <c r="G154" s="24">
        <f t="shared" ref="G154:G217" si="35">(SUMIF($7:$7,F154,$8:$8)-SUMIF($7:$7,$F$24,$8:$8)+100)/100</f>
        <v>0.05</v>
      </c>
      <c r="H154" s="720"/>
      <c r="I154" s="24">
        <f t="shared" ref="I154:I217" si="36">(SUMIF($9:$9,H154,$10:$10)-SUMIF($9:$9,$H$24,$10:$10)+100)/100</f>
        <v>0.05</v>
      </c>
      <c r="J154" s="720"/>
      <c r="K154" s="24">
        <f t="shared" ref="K154:K217" si="37">(SUMIF($11:$11,J154,$12:$12)-SUMIF($11:$11,$J$24,$12:$12)+100)/100</f>
        <v>0.2</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0.02</v>
      </c>
      <c r="F155" s="720"/>
      <c r="G155" s="24">
        <f t="shared" si="35"/>
        <v>0.05</v>
      </c>
      <c r="H155" s="720"/>
      <c r="I155" s="24">
        <f t="shared" si="36"/>
        <v>0.05</v>
      </c>
      <c r="J155" s="720"/>
      <c r="K155" s="24">
        <f t="shared" si="37"/>
        <v>0.2</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0.02</v>
      </c>
      <c r="F156" s="720"/>
      <c r="G156" s="24">
        <f t="shared" si="35"/>
        <v>0.05</v>
      </c>
      <c r="H156" s="720"/>
      <c r="I156" s="24">
        <f t="shared" si="36"/>
        <v>0.05</v>
      </c>
      <c r="J156" s="720"/>
      <c r="K156" s="24">
        <f t="shared" si="37"/>
        <v>0.2</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0.02</v>
      </c>
      <c r="F157" s="720"/>
      <c r="G157" s="24">
        <f t="shared" si="35"/>
        <v>0.05</v>
      </c>
      <c r="H157" s="720"/>
      <c r="I157" s="24">
        <f t="shared" si="36"/>
        <v>0.05</v>
      </c>
      <c r="J157" s="720"/>
      <c r="K157" s="24">
        <f t="shared" si="37"/>
        <v>0.2</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0.02</v>
      </c>
      <c r="F158" s="720"/>
      <c r="G158" s="24">
        <f t="shared" si="35"/>
        <v>0.05</v>
      </c>
      <c r="H158" s="720"/>
      <c r="I158" s="24">
        <f t="shared" si="36"/>
        <v>0.05</v>
      </c>
      <c r="J158" s="720"/>
      <c r="K158" s="24">
        <f t="shared" si="37"/>
        <v>0.2</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0.02</v>
      </c>
      <c r="F159" s="720"/>
      <c r="G159" s="24">
        <f t="shared" si="35"/>
        <v>0.05</v>
      </c>
      <c r="H159" s="720"/>
      <c r="I159" s="24">
        <f t="shared" si="36"/>
        <v>0.05</v>
      </c>
      <c r="J159" s="720"/>
      <c r="K159" s="24">
        <f t="shared" si="37"/>
        <v>0.2</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0.02</v>
      </c>
      <c r="F160" s="720"/>
      <c r="G160" s="24">
        <f t="shared" si="35"/>
        <v>0.05</v>
      </c>
      <c r="H160" s="720"/>
      <c r="I160" s="24">
        <f t="shared" si="36"/>
        <v>0.05</v>
      </c>
      <c r="J160" s="720"/>
      <c r="K160" s="24">
        <f t="shared" si="37"/>
        <v>0.2</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0.02</v>
      </c>
      <c r="F161" s="720"/>
      <c r="G161" s="24">
        <f t="shared" si="35"/>
        <v>0.05</v>
      </c>
      <c r="H161" s="720"/>
      <c r="I161" s="24">
        <f t="shared" si="36"/>
        <v>0.05</v>
      </c>
      <c r="J161" s="720"/>
      <c r="K161" s="24">
        <f t="shared" si="37"/>
        <v>0.2</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0.02</v>
      </c>
      <c r="F162" s="720"/>
      <c r="G162" s="24">
        <f t="shared" si="35"/>
        <v>0.05</v>
      </c>
      <c r="H162" s="720"/>
      <c r="I162" s="24">
        <f t="shared" si="36"/>
        <v>0.05</v>
      </c>
      <c r="J162" s="720"/>
      <c r="K162" s="24">
        <f t="shared" si="37"/>
        <v>0.2</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0.02</v>
      </c>
      <c r="F163" s="720"/>
      <c r="G163" s="24">
        <f t="shared" si="35"/>
        <v>0.05</v>
      </c>
      <c r="H163" s="720"/>
      <c r="I163" s="24">
        <f t="shared" si="36"/>
        <v>0.05</v>
      </c>
      <c r="J163" s="720"/>
      <c r="K163" s="24">
        <f t="shared" si="37"/>
        <v>0.2</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0.02</v>
      </c>
      <c r="F164" s="720"/>
      <c r="G164" s="24">
        <f t="shared" si="35"/>
        <v>0.05</v>
      </c>
      <c r="H164" s="720"/>
      <c r="I164" s="24">
        <f t="shared" si="36"/>
        <v>0.05</v>
      </c>
      <c r="J164" s="720"/>
      <c r="K164" s="24">
        <f t="shared" si="37"/>
        <v>0.2</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0.02</v>
      </c>
      <c r="F165" s="720"/>
      <c r="G165" s="24">
        <f t="shared" si="35"/>
        <v>0.05</v>
      </c>
      <c r="H165" s="720"/>
      <c r="I165" s="24">
        <f t="shared" si="36"/>
        <v>0.05</v>
      </c>
      <c r="J165" s="720"/>
      <c r="K165" s="24">
        <f t="shared" si="37"/>
        <v>0.2</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0.02</v>
      </c>
      <c r="F166" s="720"/>
      <c r="G166" s="24">
        <f t="shared" si="35"/>
        <v>0.05</v>
      </c>
      <c r="H166" s="720"/>
      <c r="I166" s="24">
        <f t="shared" si="36"/>
        <v>0.05</v>
      </c>
      <c r="J166" s="720"/>
      <c r="K166" s="24">
        <f t="shared" si="37"/>
        <v>0.2</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0.02</v>
      </c>
      <c r="F167" s="720"/>
      <c r="G167" s="24">
        <f t="shared" si="35"/>
        <v>0.05</v>
      </c>
      <c r="H167" s="720"/>
      <c r="I167" s="24">
        <f t="shared" si="36"/>
        <v>0.05</v>
      </c>
      <c r="J167" s="720"/>
      <c r="K167" s="24">
        <f t="shared" si="37"/>
        <v>0.2</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0.02</v>
      </c>
      <c r="F168" s="720"/>
      <c r="G168" s="24">
        <f t="shared" si="35"/>
        <v>0.05</v>
      </c>
      <c r="H168" s="720"/>
      <c r="I168" s="24">
        <f t="shared" si="36"/>
        <v>0.05</v>
      </c>
      <c r="J168" s="720"/>
      <c r="K168" s="24">
        <f t="shared" si="37"/>
        <v>0.2</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0.02</v>
      </c>
      <c r="F169" s="720"/>
      <c r="G169" s="24">
        <f t="shared" si="35"/>
        <v>0.05</v>
      </c>
      <c r="H169" s="720"/>
      <c r="I169" s="24">
        <f t="shared" si="36"/>
        <v>0.05</v>
      </c>
      <c r="J169" s="720"/>
      <c r="K169" s="24">
        <f t="shared" si="37"/>
        <v>0.2</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0.02</v>
      </c>
      <c r="F170" s="720"/>
      <c r="G170" s="24">
        <f t="shared" si="35"/>
        <v>0.05</v>
      </c>
      <c r="H170" s="720"/>
      <c r="I170" s="24">
        <f t="shared" si="36"/>
        <v>0.05</v>
      </c>
      <c r="J170" s="720"/>
      <c r="K170" s="24">
        <f t="shared" si="37"/>
        <v>0.2</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0.02</v>
      </c>
      <c r="F171" s="720"/>
      <c r="G171" s="24">
        <f t="shared" si="35"/>
        <v>0.05</v>
      </c>
      <c r="H171" s="720"/>
      <c r="I171" s="24">
        <f t="shared" si="36"/>
        <v>0.05</v>
      </c>
      <c r="J171" s="720"/>
      <c r="K171" s="24">
        <f t="shared" si="37"/>
        <v>0.2</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0.02</v>
      </c>
      <c r="F172" s="720"/>
      <c r="G172" s="24">
        <f t="shared" si="35"/>
        <v>0.05</v>
      </c>
      <c r="H172" s="720"/>
      <c r="I172" s="24">
        <f t="shared" si="36"/>
        <v>0.05</v>
      </c>
      <c r="J172" s="720"/>
      <c r="K172" s="24">
        <f t="shared" si="37"/>
        <v>0.2</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0.02</v>
      </c>
      <c r="F173" s="720"/>
      <c r="G173" s="24">
        <f t="shared" si="35"/>
        <v>0.05</v>
      </c>
      <c r="H173" s="720"/>
      <c r="I173" s="24">
        <f t="shared" si="36"/>
        <v>0.05</v>
      </c>
      <c r="J173" s="720"/>
      <c r="K173" s="24">
        <f t="shared" si="37"/>
        <v>0.2</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0.02</v>
      </c>
      <c r="F174" s="720"/>
      <c r="G174" s="24">
        <f t="shared" si="35"/>
        <v>0.05</v>
      </c>
      <c r="H174" s="720"/>
      <c r="I174" s="24">
        <f t="shared" si="36"/>
        <v>0.05</v>
      </c>
      <c r="J174" s="720"/>
      <c r="K174" s="24">
        <f t="shared" si="37"/>
        <v>0.2</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0.02</v>
      </c>
      <c r="F175" s="720"/>
      <c r="G175" s="24">
        <f t="shared" si="35"/>
        <v>0.05</v>
      </c>
      <c r="H175" s="720"/>
      <c r="I175" s="24">
        <f t="shared" si="36"/>
        <v>0.05</v>
      </c>
      <c r="J175" s="720"/>
      <c r="K175" s="24">
        <f t="shared" si="37"/>
        <v>0.2</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0.02</v>
      </c>
      <c r="F176" s="720"/>
      <c r="G176" s="24">
        <f t="shared" si="35"/>
        <v>0.05</v>
      </c>
      <c r="H176" s="720"/>
      <c r="I176" s="24">
        <f t="shared" si="36"/>
        <v>0.05</v>
      </c>
      <c r="J176" s="720"/>
      <c r="K176" s="24">
        <f t="shared" si="37"/>
        <v>0.2</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0.02</v>
      </c>
      <c r="F177" s="720"/>
      <c r="G177" s="24">
        <f t="shared" si="35"/>
        <v>0.05</v>
      </c>
      <c r="H177" s="720"/>
      <c r="I177" s="24">
        <f t="shared" si="36"/>
        <v>0.05</v>
      </c>
      <c r="J177" s="720"/>
      <c r="K177" s="24">
        <f t="shared" si="37"/>
        <v>0.2</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0.02</v>
      </c>
      <c r="F178" s="720"/>
      <c r="G178" s="24">
        <f t="shared" si="35"/>
        <v>0.05</v>
      </c>
      <c r="H178" s="720"/>
      <c r="I178" s="24">
        <f t="shared" si="36"/>
        <v>0.05</v>
      </c>
      <c r="J178" s="720"/>
      <c r="K178" s="24">
        <f t="shared" si="37"/>
        <v>0.2</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0.02</v>
      </c>
      <c r="F179" s="720"/>
      <c r="G179" s="24">
        <f t="shared" si="35"/>
        <v>0.05</v>
      </c>
      <c r="H179" s="720"/>
      <c r="I179" s="24">
        <f t="shared" si="36"/>
        <v>0.05</v>
      </c>
      <c r="J179" s="720"/>
      <c r="K179" s="24">
        <f t="shared" si="37"/>
        <v>0.2</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0.02</v>
      </c>
      <c r="F180" s="720"/>
      <c r="G180" s="24">
        <f t="shared" si="35"/>
        <v>0.05</v>
      </c>
      <c r="H180" s="720"/>
      <c r="I180" s="24">
        <f t="shared" si="36"/>
        <v>0.05</v>
      </c>
      <c r="J180" s="720"/>
      <c r="K180" s="24">
        <f t="shared" si="37"/>
        <v>0.2</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0.02</v>
      </c>
      <c r="F181" s="720"/>
      <c r="G181" s="24">
        <f t="shared" si="35"/>
        <v>0.05</v>
      </c>
      <c r="H181" s="720"/>
      <c r="I181" s="24">
        <f t="shared" si="36"/>
        <v>0.05</v>
      </c>
      <c r="J181" s="720"/>
      <c r="K181" s="24">
        <f t="shared" si="37"/>
        <v>0.2</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0.02</v>
      </c>
      <c r="F182" s="720"/>
      <c r="G182" s="24">
        <f t="shared" si="35"/>
        <v>0.05</v>
      </c>
      <c r="H182" s="720"/>
      <c r="I182" s="24">
        <f t="shared" si="36"/>
        <v>0.05</v>
      </c>
      <c r="J182" s="720"/>
      <c r="K182" s="24">
        <f t="shared" si="37"/>
        <v>0.2</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0.02</v>
      </c>
      <c r="F183" s="720"/>
      <c r="G183" s="24">
        <f t="shared" si="35"/>
        <v>0.05</v>
      </c>
      <c r="H183" s="720"/>
      <c r="I183" s="24">
        <f t="shared" si="36"/>
        <v>0.05</v>
      </c>
      <c r="J183" s="720"/>
      <c r="K183" s="24">
        <f t="shared" si="37"/>
        <v>0.2</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0.02</v>
      </c>
      <c r="F184" s="720"/>
      <c r="G184" s="24">
        <f t="shared" si="35"/>
        <v>0.05</v>
      </c>
      <c r="H184" s="720"/>
      <c r="I184" s="24">
        <f t="shared" si="36"/>
        <v>0.05</v>
      </c>
      <c r="J184" s="720"/>
      <c r="K184" s="24">
        <f t="shared" si="37"/>
        <v>0.2</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0.02</v>
      </c>
      <c r="F185" s="720"/>
      <c r="G185" s="24">
        <f t="shared" si="35"/>
        <v>0.05</v>
      </c>
      <c r="H185" s="720"/>
      <c r="I185" s="24">
        <f t="shared" si="36"/>
        <v>0.05</v>
      </c>
      <c r="J185" s="720"/>
      <c r="K185" s="24">
        <f t="shared" si="37"/>
        <v>0.2</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0.02</v>
      </c>
      <c r="F186" s="720"/>
      <c r="G186" s="24">
        <f t="shared" si="35"/>
        <v>0.05</v>
      </c>
      <c r="H186" s="720"/>
      <c r="I186" s="24">
        <f t="shared" si="36"/>
        <v>0.05</v>
      </c>
      <c r="J186" s="720"/>
      <c r="K186" s="24">
        <f t="shared" si="37"/>
        <v>0.2</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0.02</v>
      </c>
      <c r="F187" s="720"/>
      <c r="G187" s="24">
        <f t="shared" si="35"/>
        <v>0.05</v>
      </c>
      <c r="H187" s="720"/>
      <c r="I187" s="24">
        <f t="shared" si="36"/>
        <v>0.05</v>
      </c>
      <c r="J187" s="720"/>
      <c r="K187" s="24">
        <f t="shared" si="37"/>
        <v>0.2</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0.02</v>
      </c>
      <c r="F188" s="720"/>
      <c r="G188" s="24">
        <f t="shared" si="35"/>
        <v>0.05</v>
      </c>
      <c r="H188" s="720"/>
      <c r="I188" s="24">
        <f t="shared" si="36"/>
        <v>0.05</v>
      </c>
      <c r="J188" s="720"/>
      <c r="K188" s="24">
        <f t="shared" si="37"/>
        <v>0.2</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0.02</v>
      </c>
      <c r="F189" s="720"/>
      <c r="G189" s="24">
        <f t="shared" si="35"/>
        <v>0.05</v>
      </c>
      <c r="H189" s="720"/>
      <c r="I189" s="24">
        <f t="shared" si="36"/>
        <v>0.05</v>
      </c>
      <c r="J189" s="720"/>
      <c r="K189" s="24">
        <f t="shared" si="37"/>
        <v>0.2</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0.02</v>
      </c>
      <c r="F190" s="720"/>
      <c r="G190" s="24">
        <f t="shared" si="35"/>
        <v>0.05</v>
      </c>
      <c r="H190" s="720"/>
      <c r="I190" s="24">
        <f t="shared" si="36"/>
        <v>0.05</v>
      </c>
      <c r="J190" s="720"/>
      <c r="K190" s="24">
        <f t="shared" si="37"/>
        <v>0.2</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0.02</v>
      </c>
      <c r="F191" s="720"/>
      <c r="G191" s="24">
        <f t="shared" si="35"/>
        <v>0.05</v>
      </c>
      <c r="H191" s="720"/>
      <c r="I191" s="24">
        <f t="shared" si="36"/>
        <v>0.05</v>
      </c>
      <c r="J191" s="720"/>
      <c r="K191" s="24">
        <f t="shared" si="37"/>
        <v>0.2</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0.02</v>
      </c>
      <c r="F192" s="720"/>
      <c r="G192" s="24">
        <f t="shared" si="35"/>
        <v>0.05</v>
      </c>
      <c r="H192" s="720"/>
      <c r="I192" s="24">
        <f t="shared" si="36"/>
        <v>0.05</v>
      </c>
      <c r="J192" s="720"/>
      <c r="K192" s="24">
        <f t="shared" si="37"/>
        <v>0.2</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0.02</v>
      </c>
      <c r="F193" s="720"/>
      <c r="G193" s="24">
        <f t="shared" si="35"/>
        <v>0.05</v>
      </c>
      <c r="H193" s="720"/>
      <c r="I193" s="24">
        <f t="shared" si="36"/>
        <v>0.05</v>
      </c>
      <c r="J193" s="720"/>
      <c r="K193" s="24">
        <f t="shared" si="37"/>
        <v>0.2</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0.02</v>
      </c>
      <c r="F194" s="720"/>
      <c r="G194" s="24">
        <f t="shared" si="35"/>
        <v>0.05</v>
      </c>
      <c r="H194" s="720"/>
      <c r="I194" s="24">
        <f t="shared" si="36"/>
        <v>0.05</v>
      </c>
      <c r="J194" s="720"/>
      <c r="K194" s="24">
        <f t="shared" si="37"/>
        <v>0.2</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0.02</v>
      </c>
      <c r="F195" s="720"/>
      <c r="G195" s="24">
        <f t="shared" si="35"/>
        <v>0.05</v>
      </c>
      <c r="H195" s="720"/>
      <c r="I195" s="24">
        <f t="shared" si="36"/>
        <v>0.05</v>
      </c>
      <c r="J195" s="720"/>
      <c r="K195" s="24">
        <f t="shared" si="37"/>
        <v>0.2</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0.02</v>
      </c>
      <c r="F196" s="720"/>
      <c r="G196" s="24">
        <f t="shared" si="35"/>
        <v>0.05</v>
      </c>
      <c r="H196" s="720"/>
      <c r="I196" s="24">
        <f t="shared" si="36"/>
        <v>0.05</v>
      </c>
      <c r="J196" s="720"/>
      <c r="K196" s="24">
        <f t="shared" si="37"/>
        <v>0.2</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0.02</v>
      </c>
      <c r="F197" s="720"/>
      <c r="G197" s="24">
        <f t="shared" si="35"/>
        <v>0.05</v>
      </c>
      <c r="H197" s="720"/>
      <c r="I197" s="24">
        <f t="shared" si="36"/>
        <v>0.05</v>
      </c>
      <c r="J197" s="720"/>
      <c r="K197" s="24">
        <f t="shared" si="37"/>
        <v>0.2</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0.02</v>
      </c>
      <c r="F198" s="720"/>
      <c r="G198" s="24">
        <f t="shared" si="35"/>
        <v>0.05</v>
      </c>
      <c r="H198" s="720"/>
      <c r="I198" s="24">
        <f t="shared" si="36"/>
        <v>0.05</v>
      </c>
      <c r="J198" s="720"/>
      <c r="K198" s="24">
        <f t="shared" si="37"/>
        <v>0.2</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0.02</v>
      </c>
      <c r="F199" s="720"/>
      <c r="G199" s="24">
        <f t="shared" si="35"/>
        <v>0.05</v>
      </c>
      <c r="H199" s="720"/>
      <c r="I199" s="24">
        <f t="shared" si="36"/>
        <v>0.05</v>
      </c>
      <c r="J199" s="720"/>
      <c r="K199" s="24">
        <f t="shared" si="37"/>
        <v>0.2</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0.02</v>
      </c>
      <c r="F200" s="720"/>
      <c r="G200" s="24">
        <f t="shared" si="35"/>
        <v>0.05</v>
      </c>
      <c r="H200" s="720"/>
      <c r="I200" s="24">
        <f t="shared" si="36"/>
        <v>0.05</v>
      </c>
      <c r="J200" s="720"/>
      <c r="K200" s="24">
        <f t="shared" si="37"/>
        <v>0.2</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0.02</v>
      </c>
      <c r="F201" s="720"/>
      <c r="G201" s="24">
        <f t="shared" si="35"/>
        <v>0.05</v>
      </c>
      <c r="H201" s="720"/>
      <c r="I201" s="24">
        <f t="shared" si="36"/>
        <v>0.05</v>
      </c>
      <c r="J201" s="720"/>
      <c r="K201" s="24">
        <f t="shared" si="37"/>
        <v>0.2</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0.02</v>
      </c>
      <c r="F202" s="720"/>
      <c r="G202" s="24">
        <f t="shared" si="35"/>
        <v>0.05</v>
      </c>
      <c r="H202" s="720"/>
      <c r="I202" s="24">
        <f t="shared" si="36"/>
        <v>0.05</v>
      </c>
      <c r="J202" s="720"/>
      <c r="K202" s="24">
        <f t="shared" si="37"/>
        <v>0.2</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0.02</v>
      </c>
      <c r="F203" s="720"/>
      <c r="G203" s="24">
        <f t="shared" si="35"/>
        <v>0.05</v>
      </c>
      <c r="H203" s="720"/>
      <c r="I203" s="24">
        <f t="shared" si="36"/>
        <v>0.05</v>
      </c>
      <c r="J203" s="720"/>
      <c r="K203" s="24">
        <f t="shared" si="37"/>
        <v>0.2</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0.02</v>
      </c>
      <c r="F204" s="720"/>
      <c r="G204" s="24">
        <f t="shared" si="35"/>
        <v>0.05</v>
      </c>
      <c r="H204" s="720"/>
      <c r="I204" s="24">
        <f t="shared" si="36"/>
        <v>0.05</v>
      </c>
      <c r="J204" s="720"/>
      <c r="K204" s="24">
        <f t="shared" si="37"/>
        <v>0.2</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0.02</v>
      </c>
      <c r="F205" s="720"/>
      <c r="G205" s="24">
        <f t="shared" si="35"/>
        <v>0.05</v>
      </c>
      <c r="H205" s="720"/>
      <c r="I205" s="24">
        <f t="shared" si="36"/>
        <v>0.05</v>
      </c>
      <c r="J205" s="720"/>
      <c r="K205" s="24">
        <f t="shared" si="37"/>
        <v>0.2</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0.02</v>
      </c>
      <c r="F206" s="720"/>
      <c r="G206" s="24">
        <f t="shared" si="35"/>
        <v>0.05</v>
      </c>
      <c r="H206" s="720"/>
      <c r="I206" s="24">
        <f t="shared" si="36"/>
        <v>0.05</v>
      </c>
      <c r="J206" s="720"/>
      <c r="K206" s="24">
        <f t="shared" si="37"/>
        <v>0.2</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0.02</v>
      </c>
      <c r="F207" s="720"/>
      <c r="G207" s="24">
        <f t="shared" si="35"/>
        <v>0.05</v>
      </c>
      <c r="H207" s="720"/>
      <c r="I207" s="24">
        <f t="shared" si="36"/>
        <v>0.05</v>
      </c>
      <c r="J207" s="720"/>
      <c r="K207" s="24">
        <f t="shared" si="37"/>
        <v>0.2</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0.02</v>
      </c>
      <c r="F208" s="720"/>
      <c r="G208" s="24">
        <f t="shared" si="35"/>
        <v>0.05</v>
      </c>
      <c r="H208" s="720"/>
      <c r="I208" s="24">
        <f t="shared" si="36"/>
        <v>0.05</v>
      </c>
      <c r="J208" s="720"/>
      <c r="K208" s="24">
        <f t="shared" si="37"/>
        <v>0.2</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0.02</v>
      </c>
      <c r="F209" s="720"/>
      <c r="G209" s="24">
        <f t="shared" si="35"/>
        <v>0.05</v>
      </c>
      <c r="H209" s="720"/>
      <c r="I209" s="24">
        <f t="shared" si="36"/>
        <v>0.05</v>
      </c>
      <c r="J209" s="720"/>
      <c r="K209" s="24">
        <f t="shared" si="37"/>
        <v>0.2</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0.02</v>
      </c>
      <c r="F210" s="720"/>
      <c r="G210" s="24">
        <f t="shared" si="35"/>
        <v>0.05</v>
      </c>
      <c r="H210" s="720"/>
      <c r="I210" s="24">
        <f t="shared" si="36"/>
        <v>0.05</v>
      </c>
      <c r="J210" s="720"/>
      <c r="K210" s="24">
        <f t="shared" si="37"/>
        <v>0.2</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0.02</v>
      </c>
      <c r="F211" s="720"/>
      <c r="G211" s="24">
        <f t="shared" si="35"/>
        <v>0.05</v>
      </c>
      <c r="H211" s="720"/>
      <c r="I211" s="24">
        <f t="shared" si="36"/>
        <v>0.05</v>
      </c>
      <c r="J211" s="720"/>
      <c r="K211" s="24">
        <f t="shared" si="37"/>
        <v>0.2</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0.02</v>
      </c>
      <c r="F212" s="720"/>
      <c r="G212" s="24">
        <f t="shared" si="35"/>
        <v>0.05</v>
      </c>
      <c r="H212" s="720"/>
      <c r="I212" s="24">
        <f t="shared" si="36"/>
        <v>0.05</v>
      </c>
      <c r="J212" s="720"/>
      <c r="K212" s="24">
        <f t="shared" si="37"/>
        <v>0.2</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0.02</v>
      </c>
      <c r="F213" s="720"/>
      <c r="G213" s="24">
        <f t="shared" si="35"/>
        <v>0.05</v>
      </c>
      <c r="H213" s="720"/>
      <c r="I213" s="24">
        <f t="shared" si="36"/>
        <v>0.05</v>
      </c>
      <c r="J213" s="720"/>
      <c r="K213" s="24">
        <f t="shared" si="37"/>
        <v>0.2</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0.02</v>
      </c>
      <c r="F214" s="720"/>
      <c r="G214" s="24">
        <f t="shared" si="35"/>
        <v>0.05</v>
      </c>
      <c r="H214" s="720"/>
      <c r="I214" s="24">
        <f t="shared" si="36"/>
        <v>0.05</v>
      </c>
      <c r="J214" s="720"/>
      <c r="K214" s="24">
        <f t="shared" si="37"/>
        <v>0.2</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0.02</v>
      </c>
      <c r="F215" s="720"/>
      <c r="G215" s="24">
        <f t="shared" si="35"/>
        <v>0.05</v>
      </c>
      <c r="H215" s="720"/>
      <c r="I215" s="24">
        <f t="shared" si="36"/>
        <v>0.05</v>
      </c>
      <c r="J215" s="720"/>
      <c r="K215" s="24">
        <f t="shared" si="37"/>
        <v>0.2</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0.02</v>
      </c>
      <c r="F216" s="720"/>
      <c r="G216" s="24">
        <f t="shared" si="35"/>
        <v>0.05</v>
      </c>
      <c r="H216" s="720"/>
      <c r="I216" s="24">
        <f t="shared" si="36"/>
        <v>0.05</v>
      </c>
      <c r="J216" s="720"/>
      <c r="K216" s="24">
        <f t="shared" si="37"/>
        <v>0.2</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0.02</v>
      </c>
      <c r="F217" s="720"/>
      <c r="G217" s="24">
        <f t="shared" si="35"/>
        <v>0.05</v>
      </c>
      <c r="H217" s="720"/>
      <c r="I217" s="24">
        <f t="shared" si="36"/>
        <v>0.05</v>
      </c>
      <c r="J217" s="720"/>
      <c r="K217" s="24">
        <f t="shared" si="37"/>
        <v>0.2</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0.02</v>
      </c>
      <c r="F218" s="720"/>
      <c r="G218" s="24">
        <f t="shared" ref="G218:G281" si="45">(SUMIF($7:$7,F218,$8:$8)-SUMIF($7:$7,$F$24,$8:$8)+100)/100</f>
        <v>0.05</v>
      </c>
      <c r="H218" s="720"/>
      <c r="I218" s="24">
        <f t="shared" ref="I218:I281" si="46">(SUMIF($9:$9,H218,$10:$10)-SUMIF($9:$9,$H$24,$10:$10)+100)/100</f>
        <v>0.05</v>
      </c>
      <c r="J218" s="720"/>
      <c r="K218" s="24">
        <f t="shared" ref="K218:K281" si="47">(SUMIF($11:$11,J218,$12:$12)-SUMIF($11:$11,$J$24,$12:$12)+100)/100</f>
        <v>0.2</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0.02</v>
      </c>
      <c r="F219" s="720"/>
      <c r="G219" s="24">
        <f t="shared" si="45"/>
        <v>0.05</v>
      </c>
      <c r="H219" s="720"/>
      <c r="I219" s="24">
        <f t="shared" si="46"/>
        <v>0.05</v>
      </c>
      <c r="J219" s="720"/>
      <c r="K219" s="24">
        <f t="shared" si="47"/>
        <v>0.2</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0.02</v>
      </c>
      <c r="F220" s="720"/>
      <c r="G220" s="24">
        <f t="shared" si="45"/>
        <v>0.05</v>
      </c>
      <c r="H220" s="720"/>
      <c r="I220" s="24">
        <f t="shared" si="46"/>
        <v>0.05</v>
      </c>
      <c r="J220" s="720"/>
      <c r="K220" s="24">
        <f t="shared" si="47"/>
        <v>0.2</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0.02</v>
      </c>
      <c r="F221" s="720"/>
      <c r="G221" s="24">
        <f t="shared" si="45"/>
        <v>0.05</v>
      </c>
      <c r="H221" s="720"/>
      <c r="I221" s="24">
        <f t="shared" si="46"/>
        <v>0.05</v>
      </c>
      <c r="J221" s="720"/>
      <c r="K221" s="24">
        <f t="shared" si="47"/>
        <v>0.2</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0.02</v>
      </c>
      <c r="F222" s="720"/>
      <c r="G222" s="24">
        <f t="shared" si="45"/>
        <v>0.05</v>
      </c>
      <c r="H222" s="720"/>
      <c r="I222" s="24">
        <f t="shared" si="46"/>
        <v>0.05</v>
      </c>
      <c r="J222" s="720"/>
      <c r="K222" s="24">
        <f t="shared" si="47"/>
        <v>0.2</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0.02</v>
      </c>
      <c r="F223" s="720"/>
      <c r="G223" s="24">
        <f t="shared" si="45"/>
        <v>0.05</v>
      </c>
      <c r="H223" s="720"/>
      <c r="I223" s="24">
        <f t="shared" si="46"/>
        <v>0.05</v>
      </c>
      <c r="J223" s="720"/>
      <c r="K223" s="24">
        <f t="shared" si="47"/>
        <v>0.2</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0.02</v>
      </c>
      <c r="F224" s="720"/>
      <c r="G224" s="24">
        <f t="shared" si="45"/>
        <v>0.05</v>
      </c>
      <c r="H224" s="720"/>
      <c r="I224" s="24">
        <f t="shared" si="46"/>
        <v>0.05</v>
      </c>
      <c r="J224" s="720"/>
      <c r="K224" s="24">
        <f t="shared" si="47"/>
        <v>0.2</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0.02</v>
      </c>
      <c r="F225" s="720"/>
      <c r="G225" s="24">
        <f t="shared" si="45"/>
        <v>0.05</v>
      </c>
      <c r="H225" s="720"/>
      <c r="I225" s="24">
        <f t="shared" si="46"/>
        <v>0.05</v>
      </c>
      <c r="J225" s="720"/>
      <c r="K225" s="24">
        <f t="shared" si="47"/>
        <v>0.2</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0.02</v>
      </c>
      <c r="F226" s="720"/>
      <c r="G226" s="24">
        <f t="shared" si="45"/>
        <v>0.05</v>
      </c>
      <c r="H226" s="720"/>
      <c r="I226" s="24">
        <f t="shared" si="46"/>
        <v>0.05</v>
      </c>
      <c r="J226" s="720"/>
      <c r="K226" s="24">
        <f t="shared" si="47"/>
        <v>0.2</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0.02</v>
      </c>
      <c r="F227" s="720"/>
      <c r="G227" s="24">
        <f t="shared" si="45"/>
        <v>0.05</v>
      </c>
      <c r="H227" s="720"/>
      <c r="I227" s="24">
        <f t="shared" si="46"/>
        <v>0.05</v>
      </c>
      <c r="J227" s="720"/>
      <c r="K227" s="24">
        <f t="shared" si="47"/>
        <v>0.2</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0.02</v>
      </c>
      <c r="F228" s="720"/>
      <c r="G228" s="24">
        <f t="shared" si="45"/>
        <v>0.05</v>
      </c>
      <c r="H228" s="720"/>
      <c r="I228" s="24">
        <f t="shared" si="46"/>
        <v>0.05</v>
      </c>
      <c r="J228" s="720"/>
      <c r="K228" s="24">
        <f t="shared" si="47"/>
        <v>0.2</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0.02</v>
      </c>
      <c r="F229" s="720"/>
      <c r="G229" s="24">
        <f t="shared" si="45"/>
        <v>0.05</v>
      </c>
      <c r="H229" s="720"/>
      <c r="I229" s="24">
        <f t="shared" si="46"/>
        <v>0.05</v>
      </c>
      <c r="J229" s="720"/>
      <c r="K229" s="24">
        <f t="shared" si="47"/>
        <v>0.2</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0.02</v>
      </c>
      <c r="F230" s="720"/>
      <c r="G230" s="24">
        <f t="shared" si="45"/>
        <v>0.05</v>
      </c>
      <c r="H230" s="720"/>
      <c r="I230" s="24">
        <f t="shared" si="46"/>
        <v>0.05</v>
      </c>
      <c r="J230" s="720"/>
      <c r="K230" s="24">
        <f t="shared" si="47"/>
        <v>0.2</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0.02</v>
      </c>
      <c r="F231" s="720"/>
      <c r="G231" s="24">
        <f t="shared" si="45"/>
        <v>0.05</v>
      </c>
      <c r="H231" s="720"/>
      <c r="I231" s="24">
        <f t="shared" si="46"/>
        <v>0.05</v>
      </c>
      <c r="J231" s="720"/>
      <c r="K231" s="24">
        <f t="shared" si="47"/>
        <v>0.2</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0.02</v>
      </c>
      <c r="F232" s="720"/>
      <c r="G232" s="24">
        <f t="shared" si="45"/>
        <v>0.05</v>
      </c>
      <c r="H232" s="720"/>
      <c r="I232" s="24">
        <f t="shared" si="46"/>
        <v>0.05</v>
      </c>
      <c r="J232" s="720"/>
      <c r="K232" s="24">
        <f t="shared" si="47"/>
        <v>0.2</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0.02</v>
      </c>
      <c r="F233" s="720"/>
      <c r="G233" s="24">
        <f t="shared" si="45"/>
        <v>0.05</v>
      </c>
      <c r="H233" s="720"/>
      <c r="I233" s="24">
        <f t="shared" si="46"/>
        <v>0.05</v>
      </c>
      <c r="J233" s="720"/>
      <c r="K233" s="24">
        <f t="shared" si="47"/>
        <v>0.2</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0.02</v>
      </c>
      <c r="F234" s="720"/>
      <c r="G234" s="24">
        <f t="shared" si="45"/>
        <v>0.05</v>
      </c>
      <c r="H234" s="720"/>
      <c r="I234" s="24">
        <f t="shared" si="46"/>
        <v>0.05</v>
      </c>
      <c r="J234" s="720"/>
      <c r="K234" s="24">
        <f t="shared" si="47"/>
        <v>0.2</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0.02</v>
      </c>
      <c r="F235" s="720"/>
      <c r="G235" s="24">
        <f t="shared" si="45"/>
        <v>0.05</v>
      </c>
      <c r="H235" s="720"/>
      <c r="I235" s="24">
        <f t="shared" si="46"/>
        <v>0.05</v>
      </c>
      <c r="J235" s="720"/>
      <c r="K235" s="24">
        <f t="shared" si="47"/>
        <v>0.2</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0.02</v>
      </c>
      <c r="F236" s="720"/>
      <c r="G236" s="24">
        <f t="shared" si="45"/>
        <v>0.05</v>
      </c>
      <c r="H236" s="720"/>
      <c r="I236" s="24">
        <f t="shared" si="46"/>
        <v>0.05</v>
      </c>
      <c r="J236" s="720"/>
      <c r="K236" s="24">
        <f t="shared" si="47"/>
        <v>0.2</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0.02</v>
      </c>
      <c r="F237" s="720"/>
      <c r="G237" s="24">
        <f t="shared" si="45"/>
        <v>0.05</v>
      </c>
      <c r="H237" s="720"/>
      <c r="I237" s="24">
        <f t="shared" si="46"/>
        <v>0.05</v>
      </c>
      <c r="J237" s="720"/>
      <c r="K237" s="24">
        <f t="shared" si="47"/>
        <v>0.2</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0.02</v>
      </c>
      <c r="F238" s="720"/>
      <c r="G238" s="24">
        <f t="shared" si="45"/>
        <v>0.05</v>
      </c>
      <c r="H238" s="720"/>
      <c r="I238" s="24">
        <f t="shared" si="46"/>
        <v>0.05</v>
      </c>
      <c r="J238" s="720"/>
      <c r="K238" s="24">
        <f t="shared" si="47"/>
        <v>0.2</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0.02</v>
      </c>
      <c r="F239" s="720"/>
      <c r="G239" s="24">
        <f t="shared" si="45"/>
        <v>0.05</v>
      </c>
      <c r="H239" s="720"/>
      <c r="I239" s="24">
        <f t="shared" si="46"/>
        <v>0.05</v>
      </c>
      <c r="J239" s="720"/>
      <c r="K239" s="24">
        <f t="shared" si="47"/>
        <v>0.2</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0.02</v>
      </c>
      <c r="F240" s="720"/>
      <c r="G240" s="24">
        <f t="shared" si="45"/>
        <v>0.05</v>
      </c>
      <c r="H240" s="720"/>
      <c r="I240" s="24">
        <f t="shared" si="46"/>
        <v>0.05</v>
      </c>
      <c r="J240" s="720"/>
      <c r="K240" s="24">
        <f t="shared" si="47"/>
        <v>0.2</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0.02</v>
      </c>
      <c r="F241" s="720"/>
      <c r="G241" s="24">
        <f t="shared" si="45"/>
        <v>0.05</v>
      </c>
      <c r="H241" s="720"/>
      <c r="I241" s="24">
        <f t="shared" si="46"/>
        <v>0.05</v>
      </c>
      <c r="J241" s="720"/>
      <c r="K241" s="24">
        <f t="shared" si="47"/>
        <v>0.2</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0.02</v>
      </c>
      <c r="F242" s="720"/>
      <c r="G242" s="24">
        <f t="shared" si="45"/>
        <v>0.05</v>
      </c>
      <c r="H242" s="720"/>
      <c r="I242" s="24">
        <f t="shared" si="46"/>
        <v>0.05</v>
      </c>
      <c r="J242" s="720"/>
      <c r="K242" s="24">
        <f t="shared" si="47"/>
        <v>0.2</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0.02</v>
      </c>
      <c r="F243" s="720"/>
      <c r="G243" s="24">
        <f t="shared" si="45"/>
        <v>0.05</v>
      </c>
      <c r="H243" s="720"/>
      <c r="I243" s="24">
        <f t="shared" si="46"/>
        <v>0.05</v>
      </c>
      <c r="J243" s="720"/>
      <c r="K243" s="24">
        <f t="shared" si="47"/>
        <v>0.2</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0.02</v>
      </c>
      <c r="F244" s="720"/>
      <c r="G244" s="24">
        <f t="shared" si="45"/>
        <v>0.05</v>
      </c>
      <c r="H244" s="720"/>
      <c r="I244" s="24">
        <f t="shared" si="46"/>
        <v>0.05</v>
      </c>
      <c r="J244" s="720"/>
      <c r="K244" s="24">
        <f t="shared" si="47"/>
        <v>0.2</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0.02</v>
      </c>
      <c r="F245" s="720"/>
      <c r="G245" s="24">
        <f t="shared" si="45"/>
        <v>0.05</v>
      </c>
      <c r="H245" s="720"/>
      <c r="I245" s="24">
        <f t="shared" si="46"/>
        <v>0.05</v>
      </c>
      <c r="J245" s="720"/>
      <c r="K245" s="24">
        <f t="shared" si="47"/>
        <v>0.2</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0.02</v>
      </c>
      <c r="F246" s="720"/>
      <c r="G246" s="24">
        <f t="shared" si="45"/>
        <v>0.05</v>
      </c>
      <c r="H246" s="720"/>
      <c r="I246" s="24">
        <f t="shared" si="46"/>
        <v>0.05</v>
      </c>
      <c r="J246" s="720"/>
      <c r="K246" s="24">
        <f t="shared" si="47"/>
        <v>0.2</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0.02</v>
      </c>
      <c r="F247" s="720"/>
      <c r="G247" s="24">
        <f t="shared" si="45"/>
        <v>0.05</v>
      </c>
      <c r="H247" s="720"/>
      <c r="I247" s="24">
        <f t="shared" si="46"/>
        <v>0.05</v>
      </c>
      <c r="J247" s="720"/>
      <c r="K247" s="24">
        <f t="shared" si="47"/>
        <v>0.2</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0.02</v>
      </c>
      <c r="F248" s="720"/>
      <c r="G248" s="24">
        <f t="shared" si="45"/>
        <v>0.05</v>
      </c>
      <c r="H248" s="720"/>
      <c r="I248" s="24">
        <f t="shared" si="46"/>
        <v>0.05</v>
      </c>
      <c r="J248" s="720"/>
      <c r="K248" s="24">
        <f t="shared" si="47"/>
        <v>0.2</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0.02</v>
      </c>
      <c r="F249" s="720"/>
      <c r="G249" s="24">
        <f t="shared" si="45"/>
        <v>0.05</v>
      </c>
      <c r="H249" s="720"/>
      <c r="I249" s="24">
        <f t="shared" si="46"/>
        <v>0.05</v>
      </c>
      <c r="J249" s="720"/>
      <c r="K249" s="24">
        <f t="shared" si="47"/>
        <v>0.2</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0.02</v>
      </c>
      <c r="F250" s="720"/>
      <c r="G250" s="24">
        <f t="shared" si="45"/>
        <v>0.05</v>
      </c>
      <c r="H250" s="720"/>
      <c r="I250" s="24">
        <f t="shared" si="46"/>
        <v>0.05</v>
      </c>
      <c r="J250" s="720"/>
      <c r="K250" s="24">
        <f t="shared" si="47"/>
        <v>0.2</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0.02</v>
      </c>
      <c r="F251" s="720"/>
      <c r="G251" s="24">
        <f t="shared" si="45"/>
        <v>0.05</v>
      </c>
      <c r="H251" s="720"/>
      <c r="I251" s="24">
        <f t="shared" si="46"/>
        <v>0.05</v>
      </c>
      <c r="J251" s="720"/>
      <c r="K251" s="24">
        <f t="shared" si="47"/>
        <v>0.2</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0.02</v>
      </c>
      <c r="F252" s="720"/>
      <c r="G252" s="24">
        <f t="shared" si="45"/>
        <v>0.05</v>
      </c>
      <c r="H252" s="720"/>
      <c r="I252" s="24">
        <f t="shared" si="46"/>
        <v>0.05</v>
      </c>
      <c r="J252" s="720"/>
      <c r="K252" s="24">
        <f t="shared" si="47"/>
        <v>0.2</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0.02</v>
      </c>
      <c r="F253" s="720"/>
      <c r="G253" s="24">
        <f t="shared" si="45"/>
        <v>0.05</v>
      </c>
      <c r="H253" s="720"/>
      <c r="I253" s="24">
        <f t="shared" si="46"/>
        <v>0.05</v>
      </c>
      <c r="J253" s="720"/>
      <c r="K253" s="24">
        <f t="shared" si="47"/>
        <v>0.2</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0.02</v>
      </c>
      <c r="F254" s="720"/>
      <c r="G254" s="24">
        <f t="shared" si="45"/>
        <v>0.05</v>
      </c>
      <c r="H254" s="720"/>
      <c r="I254" s="24">
        <f t="shared" si="46"/>
        <v>0.05</v>
      </c>
      <c r="J254" s="720"/>
      <c r="K254" s="24">
        <f t="shared" si="47"/>
        <v>0.2</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0.02</v>
      </c>
      <c r="F255" s="720"/>
      <c r="G255" s="24">
        <f t="shared" si="45"/>
        <v>0.05</v>
      </c>
      <c r="H255" s="720"/>
      <c r="I255" s="24">
        <f t="shared" si="46"/>
        <v>0.05</v>
      </c>
      <c r="J255" s="720"/>
      <c r="K255" s="24">
        <f t="shared" si="47"/>
        <v>0.2</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0.02</v>
      </c>
      <c r="F256" s="720"/>
      <c r="G256" s="24">
        <f t="shared" si="45"/>
        <v>0.05</v>
      </c>
      <c r="H256" s="720"/>
      <c r="I256" s="24">
        <f t="shared" si="46"/>
        <v>0.05</v>
      </c>
      <c r="J256" s="720"/>
      <c r="K256" s="24">
        <f t="shared" si="47"/>
        <v>0.2</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0.02</v>
      </c>
      <c r="F257" s="720"/>
      <c r="G257" s="24">
        <f t="shared" si="45"/>
        <v>0.05</v>
      </c>
      <c r="H257" s="720"/>
      <c r="I257" s="24">
        <f t="shared" si="46"/>
        <v>0.05</v>
      </c>
      <c r="J257" s="720"/>
      <c r="K257" s="24">
        <f t="shared" si="47"/>
        <v>0.2</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0.02</v>
      </c>
      <c r="F258" s="720"/>
      <c r="G258" s="24">
        <f t="shared" si="45"/>
        <v>0.05</v>
      </c>
      <c r="H258" s="720"/>
      <c r="I258" s="24">
        <f t="shared" si="46"/>
        <v>0.05</v>
      </c>
      <c r="J258" s="720"/>
      <c r="K258" s="24">
        <f t="shared" si="47"/>
        <v>0.2</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0.02</v>
      </c>
      <c r="F259" s="720"/>
      <c r="G259" s="24">
        <f t="shared" si="45"/>
        <v>0.05</v>
      </c>
      <c r="H259" s="720"/>
      <c r="I259" s="24">
        <f t="shared" si="46"/>
        <v>0.05</v>
      </c>
      <c r="J259" s="720"/>
      <c r="K259" s="24">
        <f t="shared" si="47"/>
        <v>0.2</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0.02</v>
      </c>
      <c r="F260" s="720"/>
      <c r="G260" s="24">
        <f t="shared" si="45"/>
        <v>0.05</v>
      </c>
      <c r="H260" s="720"/>
      <c r="I260" s="24">
        <f t="shared" si="46"/>
        <v>0.05</v>
      </c>
      <c r="J260" s="720"/>
      <c r="K260" s="24">
        <f t="shared" si="47"/>
        <v>0.2</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0.02</v>
      </c>
      <c r="F261" s="720"/>
      <c r="G261" s="24">
        <f t="shared" si="45"/>
        <v>0.05</v>
      </c>
      <c r="H261" s="720"/>
      <c r="I261" s="24">
        <f t="shared" si="46"/>
        <v>0.05</v>
      </c>
      <c r="J261" s="720"/>
      <c r="K261" s="24">
        <f t="shared" si="47"/>
        <v>0.2</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0.02</v>
      </c>
      <c r="F262" s="720"/>
      <c r="G262" s="24">
        <f t="shared" si="45"/>
        <v>0.05</v>
      </c>
      <c r="H262" s="720"/>
      <c r="I262" s="24">
        <f t="shared" si="46"/>
        <v>0.05</v>
      </c>
      <c r="J262" s="720"/>
      <c r="K262" s="24">
        <f t="shared" si="47"/>
        <v>0.2</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0.02</v>
      </c>
      <c r="F263" s="720"/>
      <c r="G263" s="24">
        <f t="shared" si="45"/>
        <v>0.05</v>
      </c>
      <c r="H263" s="720"/>
      <c r="I263" s="24">
        <f t="shared" si="46"/>
        <v>0.05</v>
      </c>
      <c r="J263" s="720"/>
      <c r="K263" s="24">
        <f t="shared" si="47"/>
        <v>0.2</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0.02</v>
      </c>
      <c r="F264" s="720"/>
      <c r="G264" s="24">
        <f t="shared" si="45"/>
        <v>0.05</v>
      </c>
      <c r="H264" s="720"/>
      <c r="I264" s="24">
        <f t="shared" si="46"/>
        <v>0.05</v>
      </c>
      <c r="J264" s="720"/>
      <c r="K264" s="24">
        <f t="shared" si="47"/>
        <v>0.2</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0.02</v>
      </c>
      <c r="F265" s="720"/>
      <c r="G265" s="24">
        <f t="shared" si="45"/>
        <v>0.05</v>
      </c>
      <c r="H265" s="720"/>
      <c r="I265" s="24">
        <f t="shared" si="46"/>
        <v>0.05</v>
      </c>
      <c r="J265" s="720"/>
      <c r="K265" s="24">
        <f t="shared" si="47"/>
        <v>0.2</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0.02</v>
      </c>
      <c r="F266" s="720"/>
      <c r="G266" s="24">
        <f t="shared" si="45"/>
        <v>0.05</v>
      </c>
      <c r="H266" s="720"/>
      <c r="I266" s="24">
        <f t="shared" si="46"/>
        <v>0.05</v>
      </c>
      <c r="J266" s="720"/>
      <c r="K266" s="24">
        <f t="shared" si="47"/>
        <v>0.2</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0.02</v>
      </c>
      <c r="F267" s="720"/>
      <c r="G267" s="24">
        <f t="shared" si="45"/>
        <v>0.05</v>
      </c>
      <c r="H267" s="720"/>
      <c r="I267" s="24">
        <f t="shared" si="46"/>
        <v>0.05</v>
      </c>
      <c r="J267" s="720"/>
      <c r="K267" s="24">
        <f t="shared" si="47"/>
        <v>0.2</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0.02</v>
      </c>
      <c r="F268" s="720"/>
      <c r="G268" s="24">
        <f t="shared" si="45"/>
        <v>0.05</v>
      </c>
      <c r="H268" s="720"/>
      <c r="I268" s="24">
        <f t="shared" si="46"/>
        <v>0.05</v>
      </c>
      <c r="J268" s="720"/>
      <c r="K268" s="24">
        <f t="shared" si="47"/>
        <v>0.2</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0.02</v>
      </c>
      <c r="F269" s="720"/>
      <c r="G269" s="24">
        <f t="shared" si="45"/>
        <v>0.05</v>
      </c>
      <c r="H269" s="720"/>
      <c r="I269" s="24">
        <f t="shared" si="46"/>
        <v>0.05</v>
      </c>
      <c r="J269" s="720"/>
      <c r="K269" s="24">
        <f t="shared" si="47"/>
        <v>0.2</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0.02</v>
      </c>
      <c r="F270" s="720"/>
      <c r="G270" s="24">
        <f t="shared" si="45"/>
        <v>0.05</v>
      </c>
      <c r="H270" s="720"/>
      <c r="I270" s="24">
        <f t="shared" si="46"/>
        <v>0.05</v>
      </c>
      <c r="J270" s="720"/>
      <c r="K270" s="24">
        <f t="shared" si="47"/>
        <v>0.2</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0.02</v>
      </c>
      <c r="F271" s="720"/>
      <c r="G271" s="24">
        <f t="shared" si="45"/>
        <v>0.05</v>
      </c>
      <c r="H271" s="720"/>
      <c r="I271" s="24">
        <f t="shared" si="46"/>
        <v>0.05</v>
      </c>
      <c r="J271" s="720"/>
      <c r="K271" s="24">
        <f t="shared" si="47"/>
        <v>0.2</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0.02</v>
      </c>
      <c r="F272" s="720"/>
      <c r="G272" s="24">
        <f t="shared" si="45"/>
        <v>0.05</v>
      </c>
      <c r="H272" s="720"/>
      <c r="I272" s="24">
        <f t="shared" si="46"/>
        <v>0.05</v>
      </c>
      <c r="J272" s="720"/>
      <c r="K272" s="24">
        <f t="shared" si="47"/>
        <v>0.2</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0.02</v>
      </c>
      <c r="F273" s="720"/>
      <c r="G273" s="24">
        <f t="shared" si="45"/>
        <v>0.05</v>
      </c>
      <c r="H273" s="720"/>
      <c r="I273" s="24">
        <f t="shared" si="46"/>
        <v>0.05</v>
      </c>
      <c r="J273" s="720"/>
      <c r="K273" s="24">
        <f t="shared" si="47"/>
        <v>0.2</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0.02</v>
      </c>
      <c r="F274" s="720"/>
      <c r="G274" s="24">
        <f t="shared" si="45"/>
        <v>0.05</v>
      </c>
      <c r="H274" s="720"/>
      <c r="I274" s="24">
        <f t="shared" si="46"/>
        <v>0.05</v>
      </c>
      <c r="J274" s="720"/>
      <c r="K274" s="24">
        <f t="shared" si="47"/>
        <v>0.2</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0.02</v>
      </c>
      <c r="F275" s="720"/>
      <c r="G275" s="24">
        <f t="shared" si="45"/>
        <v>0.05</v>
      </c>
      <c r="H275" s="720"/>
      <c r="I275" s="24">
        <f t="shared" si="46"/>
        <v>0.05</v>
      </c>
      <c r="J275" s="720"/>
      <c r="K275" s="24">
        <f t="shared" si="47"/>
        <v>0.2</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0.02</v>
      </c>
      <c r="F276" s="720"/>
      <c r="G276" s="24">
        <f t="shared" si="45"/>
        <v>0.05</v>
      </c>
      <c r="H276" s="720"/>
      <c r="I276" s="24">
        <f t="shared" si="46"/>
        <v>0.05</v>
      </c>
      <c r="J276" s="720"/>
      <c r="K276" s="24">
        <f t="shared" si="47"/>
        <v>0.2</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0.02</v>
      </c>
      <c r="F277" s="720"/>
      <c r="G277" s="24">
        <f t="shared" si="45"/>
        <v>0.05</v>
      </c>
      <c r="H277" s="720"/>
      <c r="I277" s="24">
        <f t="shared" si="46"/>
        <v>0.05</v>
      </c>
      <c r="J277" s="720"/>
      <c r="K277" s="24">
        <f t="shared" si="47"/>
        <v>0.2</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0.02</v>
      </c>
      <c r="F278" s="720"/>
      <c r="G278" s="24">
        <f t="shared" si="45"/>
        <v>0.05</v>
      </c>
      <c r="H278" s="720"/>
      <c r="I278" s="24">
        <f t="shared" si="46"/>
        <v>0.05</v>
      </c>
      <c r="J278" s="720"/>
      <c r="K278" s="24">
        <f t="shared" si="47"/>
        <v>0.2</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0.02</v>
      </c>
      <c r="F279" s="720"/>
      <c r="G279" s="24">
        <f t="shared" si="45"/>
        <v>0.05</v>
      </c>
      <c r="H279" s="720"/>
      <c r="I279" s="24">
        <f t="shared" si="46"/>
        <v>0.05</v>
      </c>
      <c r="J279" s="720"/>
      <c r="K279" s="24">
        <f t="shared" si="47"/>
        <v>0.2</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0.02</v>
      </c>
      <c r="F280" s="720"/>
      <c r="G280" s="24">
        <f t="shared" si="45"/>
        <v>0.05</v>
      </c>
      <c r="H280" s="720"/>
      <c r="I280" s="24">
        <f t="shared" si="46"/>
        <v>0.05</v>
      </c>
      <c r="J280" s="720"/>
      <c r="K280" s="24">
        <f t="shared" si="47"/>
        <v>0.2</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0.02</v>
      </c>
      <c r="F281" s="720"/>
      <c r="G281" s="24">
        <f t="shared" si="45"/>
        <v>0.05</v>
      </c>
      <c r="H281" s="720"/>
      <c r="I281" s="24">
        <f t="shared" si="46"/>
        <v>0.05</v>
      </c>
      <c r="J281" s="720"/>
      <c r="K281" s="24">
        <f t="shared" si="47"/>
        <v>0.2</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0.02</v>
      </c>
      <c r="F282" s="720"/>
      <c r="G282" s="24">
        <f t="shared" ref="G282:G345" si="55">(SUMIF($7:$7,F282,$8:$8)-SUMIF($7:$7,$F$24,$8:$8)+100)/100</f>
        <v>0.05</v>
      </c>
      <c r="H282" s="720"/>
      <c r="I282" s="24">
        <f t="shared" ref="I282:I345" si="56">(SUMIF($9:$9,H282,$10:$10)-SUMIF($9:$9,$H$24,$10:$10)+100)/100</f>
        <v>0.05</v>
      </c>
      <c r="J282" s="720"/>
      <c r="K282" s="24">
        <f t="shared" ref="K282:K345" si="57">(SUMIF($11:$11,J282,$12:$12)-SUMIF($11:$11,$J$24,$12:$12)+100)/100</f>
        <v>0.2</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0.02</v>
      </c>
      <c r="F283" s="720"/>
      <c r="G283" s="24">
        <f t="shared" si="55"/>
        <v>0.05</v>
      </c>
      <c r="H283" s="720"/>
      <c r="I283" s="24">
        <f t="shared" si="56"/>
        <v>0.05</v>
      </c>
      <c r="J283" s="720"/>
      <c r="K283" s="24">
        <f t="shared" si="57"/>
        <v>0.2</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0.02</v>
      </c>
      <c r="F284" s="720"/>
      <c r="G284" s="24">
        <f t="shared" si="55"/>
        <v>0.05</v>
      </c>
      <c r="H284" s="720"/>
      <c r="I284" s="24">
        <f t="shared" si="56"/>
        <v>0.05</v>
      </c>
      <c r="J284" s="720"/>
      <c r="K284" s="24">
        <f t="shared" si="57"/>
        <v>0.2</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0.02</v>
      </c>
      <c r="F285" s="720"/>
      <c r="G285" s="24">
        <f t="shared" si="55"/>
        <v>0.05</v>
      </c>
      <c r="H285" s="720"/>
      <c r="I285" s="24">
        <f t="shared" si="56"/>
        <v>0.05</v>
      </c>
      <c r="J285" s="720"/>
      <c r="K285" s="24">
        <f t="shared" si="57"/>
        <v>0.2</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0.02</v>
      </c>
      <c r="F286" s="720"/>
      <c r="G286" s="24">
        <f t="shared" si="55"/>
        <v>0.05</v>
      </c>
      <c r="H286" s="720"/>
      <c r="I286" s="24">
        <f t="shared" si="56"/>
        <v>0.05</v>
      </c>
      <c r="J286" s="720"/>
      <c r="K286" s="24">
        <f t="shared" si="57"/>
        <v>0.2</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0.02</v>
      </c>
      <c r="F287" s="720"/>
      <c r="G287" s="24">
        <f t="shared" si="55"/>
        <v>0.05</v>
      </c>
      <c r="H287" s="720"/>
      <c r="I287" s="24">
        <f t="shared" si="56"/>
        <v>0.05</v>
      </c>
      <c r="J287" s="720"/>
      <c r="K287" s="24">
        <f t="shared" si="57"/>
        <v>0.2</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0.02</v>
      </c>
      <c r="F288" s="720"/>
      <c r="G288" s="24">
        <f t="shared" si="55"/>
        <v>0.05</v>
      </c>
      <c r="H288" s="720"/>
      <c r="I288" s="24">
        <f t="shared" si="56"/>
        <v>0.05</v>
      </c>
      <c r="J288" s="720"/>
      <c r="K288" s="24">
        <f t="shared" si="57"/>
        <v>0.2</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0.02</v>
      </c>
      <c r="F289" s="720"/>
      <c r="G289" s="24">
        <f t="shared" si="55"/>
        <v>0.05</v>
      </c>
      <c r="H289" s="720"/>
      <c r="I289" s="24">
        <f t="shared" si="56"/>
        <v>0.05</v>
      </c>
      <c r="J289" s="720"/>
      <c r="K289" s="24">
        <f t="shared" si="57"/>
        <v>0.2</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0.02</v>
      </c>
      <c r="F290" s="720"/>
      <c r="G290" s="24">
        <f t="shared" si="55"/>
        <v>0.05</v>
      </c>
      <c r="H290" s="720"/>
      <c r="I290" s="24">
        <f t="shared" si="56"/>
        <v>0.05</v>
      </c>
      <c r="J290" s="720"/>
      <c r="K290" s="24">
        <f t="shared" si="57"/>
        <v>0.2</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0.02</v>
      </c>
      <c r="F291" s="720"/>
      <c r="G291" s="24">
        <f t="shared" si="55"/>
        <v>0.05</v>
      </c>
      <c r="H291" s="720"/>
      <c r="I291" s="24">
        <f t="shared" si="56"/>
        <v>0.05</v>
      </c>
      <c r="J291" s="720"/>
      <c r="K291" s="24">
        <f t="shared" si="57"/>
        <v>0.2</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0.02</v>
      </c>
      <c r="F292" s="720"/>
      <c r="G292" s="24">
        <f t="shared" si="55"/>
        <v>0.05</v>
      </c>
      <c r="H292" s="720"/>
      <c r="I292" s="24">
        <f t="shared" si="56"/>
        <v>0.05</v>
      </c>
      <c r="J292" s="720"/>
      <c r="K292" s="24">
        <f t="shared" si="57"/>
        <v>0.2</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0.02</v>
      </c>
      <c r="F293" s="720"/>
      <c r="G293" s="24">
        <f t="shared" si="55"/>
        <v>0.05</v>
      </c>
      <c r="H293" s="720"/>
      <c r="I293" s="24">
        <f t="shared" si="56"/>
        <v>0.05</v>
      </c>
      <c r="J293" s="720"/>
      <c r="K293" s="24">
        <f t="shared" si="57"/>
        <v>0.2</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0.02</v>
      </c>
      <c r="F294" s="720"/>
      <c r="G294" s="24">
        <f t="shared" si="55"/>
        <v>0.05</v>
      </c>
      <c r="H294" s="720"/>
      <c r="I294" s="24">
        <f t="shared" si="56"/>
        <v>0.05</v>
      </c>
      <c r="J294" s="720"/>
      <c r="K294" s="24">
        <f t="shared" si="57"/>
        <v>0.2</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0.02</v>
      </c>
      <c r="F295" s="720"/>
      <c r="G295" s="24">
        <f t="shared" si="55"/>
        <v>0.05</v>
      </c>
      <c r="H295" s="720"/>
      <c r="I295" s="24">
        <f t="shared" si="56"/>
        <v>0.05</v>
      </c>
      <c r="J295" s="720"/>
      <c r="K295" s="24">
        <f t="shared" si="57"/>
        <v>0.2</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0.02</v>
      </c>
      <c r="F296" s="720"/>
      <c r="G296" s="24">
        <f t="shared" si="55"/>
        <v>0.05</v>
      </c>
      <c r="H296" s="720"/>
      <c r="I296" s="24">
        <f t="shared" si="56"/>
        <v>0.05</v>
      </c>
      <c r="J296" s="720"/>
      <c r="K296" s="24">
        <f t="shared" si="57"/>
        <v>0.2</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0.02</v>
      </c>
      <c r="F297" s="720"/>
      <c r="G297" s="24">
        <f t="shared" si="55"/>
        <v>0.05</v>
      </c>
      <c r="H297" s="720"/>
      <c r="I297" s="24">
        <f t="shared" si="56"/>
        <v>0.05</v>
      </c>
      <c r="J297" s="720"/>
      <c r="K297" s="24">
        <f t="shared" si="57"/>
        <v>0.2</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0.02</v>
      </c>
      <c r="F298" s="720"/>
      <c r="G298" s="24">
        <f t="shared" si="55"/>
        <v>0.05</v>
      </c>
      <c r="H298" s="720"/>
      <c r="I298" s="24">
        <f t="shared" si="56"/>
        <v>0.05</v>
      </c>
      <c r="J298" s="720"/>
      <c r="K298" s="24">
        <f t="shared" si="57"/>
        <v>0.2</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0.02</v>
      </c>
      <c r="F299" s="720"/>
      <c r="G299" s="24">
        <f t="shared" si="55"/>
        <v>0.05</v>
      </c>
      <c r="H299" s="720"/>
      <c r="I299" s="24">
        <f t="shared" si="56"/>
        <v>0.05</v>
      </c>
      <c r="J299" s="720"/>
      <c r="K299" s="24">
        <f t="shared" si="57"/>
        <v>0.2</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0.02</v>
      </c>
      <c r="F300" s="720"/>
      <c r="G300" s="24">
        <f t="shared" si="55"/>
        <v>0.05</v>
      </c>
      <c r="H300" s="720"/>
      <c r="I300" s="24">
        <f t="shared" si="56"/>
        <v>0.05</v>
      </c>
      <c r="J300" s="720"/>
      <c r="K300" s="24">
        <f t="shared" si="57"/>
        <v>0.2</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0.02</v>
      </c>
      <c r="F301" s="720"/>
      <c r="G301" s="24">
        <f t="shared" si="55"/>
        <v>0.05</v>
      </c>
      <c r="H301" s="720"/>
      <c r="I301" s="24">
        <f t="shared" si="56"/>
        <v>0.05</v>
      </c>
      <c r="J301" s="720"/>
      <c r="K301" s="24">
        <f t="shared" si="57"/>
        <v>0.2</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0.02</v>
      </c>
      <c r="F302" s="720"/>
      <c r="G302" s="24">
        <f t="shared" si="55"/>
        <v>0.05</v>
      </c>
      <c r="H302" s="720"/>
      <c r="I302" s="24">
        <f t="shared" si="56"/>
        <v>0.05</v>
      </c>
      <c r="J302" s="720"/>
      <c r="K302" s="24">
        <f t="shared" si="57"/>
        <v>0.2</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0.02</v>
      </c>
      <c r="F303" s="720"/>
      <c r="G303" s="24">
        <f t="shared" si="55"/>
        <v>0.05</v>
      </c>
      <c r="H303" s="720"/>
      <c r="I303" s="24">
        <f t="shared" si="56"/>
        <v>0.05</v>
      </c>
      <c r="J303" s="720"/>
      <c r="K303" s="24">
        <f t="shared" si="57"/>
        <v>0.2</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0.02</v>
      </c>
      <c r="F304" s="720"/>
      <c r="G304" s="24">
        <f t="shared" si="55"/>
        <v>0.05</v>
      </c>
      <c r="H304" s="720"/>
      <c r="I304" s="24">
        <f t="shared" si="56"/>
        <v>0.05</v>
      </c>
      <c r="J304" s="720"/>
      <c r="K304" s="24">
        <f t="shared" si="57"/>
        <v>0.2</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0.02</v>
      </c>
      <c r="F305" s="720"/>
      <c r="G305" s="24">
        <f t="shared" si="55"/>
        <v>0.05</v>
      </c>
      <c r="H305" s="720"/>
      <c r="I305" s="24">
        <f t="shared" si="56"/>
        <v>0.05</v>
      </c>
      <c r="J305" s="720"/>
      <c r="K305" s="24">
        <f t="shared" si="57"/>
        <v>0.2</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0.02</v>
      </c>
      <c r="F306" s="720"/>
      <c r="G306" s="24">
        <f t="shared" si="55"/>
        <v>0.05</v>
      </c>
      <c r="H306" s="720"/>
      <c r="I306" s="24">
        <f t="shared" si="56"/>
        <v>0.05</v>
      </c>
      <c r="J306" s="720"/>
      <c r="K306" s="24">
        <f t="shared" si="57"/>
        <v>0.2</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0.02</v>
      </c>
      <c r="F307" s="720"/>
      <c r="G307" s="24">
        <f t="shared" si="55"/>
        <v>0.05</v>
      </c>
      <c r="H307" s="720"/>
      <c r="I307" s="24">
        <f t="shared" si="56"/>
        <v>0.05</v>
      </c>
      <c r="J307" s="720"/>
      <c r="K307" s="24">
        <f t="shared" si="57"/>
        <v>0.2</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0.02</v>
      </c>
      <c r="F308" s="720"/>
      <c r="G308" s="24">
        <f t="shared" si="55"/>
        <v>0.05</v>
      </c>
      <c r="H308" s="720"/>
      <c r="I308" s="24">
        <f t="shared" si="56"/>
        <v>0.05</v>
      </c>
      <c r="J308" s="720"/>
      <c r="K308" s="24">
        <f t="shared" si="57"/>
        <v>0.2</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0.02</v>
      </c>
      <c r="F309" s="720"/>
      <c r="G309" s="24">
        <f t="shared" si="55"/>
        <v>0.05</v>
      </c>
      <c r="H309" s="720"/>
      <c r="I309" s="24">
        <f t="shared" si="56"/>
        <v>0.05</v>
      </c>
      <c r="J309" s="720"/>
      <c r="K309" s="24">
        <f t="shared" si="57"/>
        <v>0.2</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0.02</v>
      </c>
      <c r="F310" s="720"/>
      <c r="G310" s="24">
        <f t="shared" si="55"/>
        <v>0.05</v>
      </c>
      <c r="H310" s="720"/>
      <c r="I310" s="24">
        <f t="shared" si="56"/>
        <v>0.05</v>
      </c>
      <c r="J310" s="720"/>
      <c r="K310" s="24">
        <f t="shared" si="57"/>
        <v>0.2</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0.02</v>
      </c>
      <c r="F311" s="720"/>
      <c r="G311" s="24">
        <f t="shared" si="55"/>
        <v>0.05</v>
      </c>
      <c r="H311" s="720"/>
      <c r="I311" s="24">
        <f t="shared" si="56"/>
        <v>0.05</v>
      </c>
      <c r="J311" s="720"/>
      <c r="K311" s="24">
        <f t="shared" si="57"/>
        <v>0.2</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0.02</v>
      </c>
      <c r="F312" s="720"/>
      <c r="G312" s="24">
        <f t="shared" si="55"/>
        <v>0.05</v>
      </c>
      <c r="H312" s="720"/>
      <c r="I312" s="24">
        <f t="shared" si="56"/>
        <v>0.05</v>
      </c>
      <c r="J312" s="720"/>
      <c r="K312" s="24">
        <f t="shared" si="57"/>
        <v>0.2</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0.02</v>
      </c>
      <c r="F313" s="720"/>
      <c r="G313" s="24">
        <f t="shared" si="55"/>
        <v>0.05</v>
      </c>
      <c r="H313" s="720"/>
      <c r="I313" s="24">
        <f t="shared" si="56"/>
        <v>0.05</v>
      </c>
      <c r="J313" s="720"/>
      <c r="K313" s="24">
        <f t="shared" si="57"/>
        <v>0.2</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0.02</v>
      </c>
      <c r="F314" s="720"/>
      <c r="G314" s="24">
        <f t="shared" si="55"/>
        <v>0.05</v>
      </c>
      <c r="H314" s="720"/>
      <c r="I314" s="24">
        <f t="shared" si="56"/>
        <v>0.05</v>
      </c>
      <c r="J314" s="720"/>
      <c r="K314" s="24">
        <f t="shared" si="57"/>
        <v>0.2</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0.02</v>
      </c>
      <c r="F315" s="720"/>
      <c r="G315" s="24">
        <f t="shared" si="55"/>
        <v>0.05</v>
      </c>
      <c r="H315" s="720"/>
      <c r="I315" s="24">
        <f t="shared" si="56"/>
        <v>0.05</v>
      </c>
      <c r="J315" s="720"/>
      <c r="K315" s="24">
        <f t="shared" si="57"/>
        <v>0.2</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0.02</v>
      </c>
      <c r="F316" s="720"/>
      <c r="G316" s="24">
        <f t="shared" si="55"/>
        <v>0.05</v>
      </c>
      <c r="H316" s="720"/>
      <c r="I316" s="24">
        <f t="shared" si="56"/>
        <v>0.05</v>
      </c>
      <c r="J316" s="720"/>
      <c r="K316" s="24">
        <f t="shared" si="57"/>
        <v>0.2</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0.02</v>
      </c>
      <c r="F317" s="720"/>
      <c r="G317" s="24">
        <f t="shared" si="55"/>
        <v>0.05</v>
      </c>
      <c r="H317" s="720"/>
      <c r="I317" s="24">
        <f t="shared" si="56"/>
        <v>0.05</v>
      </c>
      <c r="J317" s="720"/>
      <c r="K317" s="24">
        <f t="shared" si="57"/>
        <v>0.2</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0.02</v>
      </c>
      <c r="F318" s="720"/>
      <c r="G318" s="24">
        <f t="shared" si="55"/>
        <v>0.05</v>
      </c>
      <c r="H318" s="720"/>
      <c r="I318" s="24">
        <f t="shared" si="56"/>
        <v>0.05</v>
      </c>
      <c r="J318" s="720"/>
      <c r="K318" s="24">
        <f t="shared" si="57"/>
        <v>0.2</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0.02</v>
      </c>
      <c r="F319" s="720"/>
      <c r="G319" s="24">
        <f t="shared" si="55"/>
        <v>0.05</v>
      </c>
      <c r="H319" s="720"/>
      <c r="I319" s="24">
        <f t="shared" si="56"/>
        <v>0.05</v>
      </c>
      <c r="J319" s="720"/>
      <c r="K319" s="24">
        <f t="shared" si="57"/>
        <v>0.2</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0.02</v>
      </c>
      <c r="F320" s="720"/>
      <c r="G320" s="24">
        <f t="shared" si="55"/>
        <v>0.05</v>
      </c>
      <c r="H320" s="720"/>
      <c r="I320" s="24">
        <f t="shared" si="56"/>
        <v>0.05</v>
      </c>
      <c r="J320" s="720"/>
      <c r="K320" s="24">
        <f t="shared" si="57"/>
        <v>0.2</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0.02</v>
      </c>
      <c r="F321" s="720"/>
      <c r="G321" s="24">
        <f t="shared" si="55"/>
        <v>0.05</v>
      </c>
      <c r="H321" s="720"/>
      <c r="I321" s="24">
        <f t="shared" si="56"/>
        <v>0.05</v>
      </c>
      <c r="J321" s="720"/>
      <c r="K321" s="24">
        <f t="shared" si="57"/>
        <v>0.2</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0.02</v>
      </c>
      <c r="F322" s="720"/>
      <c r="G322" s="24">
        <f t="shared" si="55"/>
        <v>0.05</v>
      </c>
      <c r="H322" s="720"/>
      <c r="I322" s="24">
        <f t="shared" si="56"/>
        <v>0.05</v>
      </c>
      <c r="J322" s="720"/>
      <c r="K322" s="24">
        <f t="shared" si="57"/>
        <v>0.2</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0.02</v>
      </c>
      <c r="F323" s="720"/>
      <c r="G323" s="24">
        <f t="shared" si="55"/>
        <v>0.05</v>
      </c>
      <c r="H323" s="720"/>
      <c r="I323" s="24">
        <f t="shared" si="56"/>
        <v>0.05</v>
      </c>
      <c r="J323" s="720"/>
      <c r="K323" s="24">
        <f t="shared" si="57"/>
        <v>0.2</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0.02</v>
      </c>
      <c r="F324" s="720"/>
      <c r="G324" s="24">
        <f t="shared" si="55"/>
        <v>0.05</v>
      </c>
      <c r="H324" s="720"/>
      <c r="I324" s="24">
        <f t="shared" si="56"/>
        <v>0.05</v>
      </c>
      <c r="J324" s="720"/>
      <c r="K324" s="24">
        <f t="shared" si="57"/>
        <v>0.2</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0.02</v>
      </c>
      <c r="F325" s="720"/>
      <c r="G325" s="24">
        <f t="shared" si="55"/>
        <v>0.05</v>
      </c>
      <c r="H325" s="720"/>
      <c r="I325" s="24">
        <f t="shared" si="56"/>
        <v>0.05</v>
      </c>
      <c r="J325" s="720"/>
      <c r="K325" s="24">
        <f t="shared" si="57"/>
        <v>0.2</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0.02</v>
      </c>
      <c r="F326" s="720"/>
      <c r="G326" s="24">
        <f t="shared" si="55"/>
        <v>0.05</v>
      </c>
      <c r="H326" s="720"/>
      <c r="I326" s="24">
        <f t="shared" si="56"/>
        <v>0.05</v>
      </c>
      <c r="J326" s="720"/>
      <c r="K326" s="24">
        <f t="shared" si="57"/>
        <v>0.2</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0.02</v>
      </c>
      <c r="F327" s="720"/>
      <c r="G327" s="24">
        <f t="shared" si="55"/>
        <v>0.05</v>
      </c>
      <c r="H327" s="720"/>
      <c r="I327" s="24">
        <f t="shared" si="56"/>
        <v>0.05</v>
      </c>
      <c r="J327" s="720"/>
      <c r="K327" s="24">
        <f t="shared" si="57"/>
        <v>0.2</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0.02</v>
      </c>
      <c r="F328" s="720"/>
      <c r="G328" s="24">
        <f t="shared" si="55"/>
        <v>0.05</v>
      </c>
      <c r="H328" s="720"/>
      <c r="I328" s="24">
        <f t="shared" si="56"/>
        <v>0.05</v>
      </c>
      <c r="J328" s="720"/>
      <c r="K328" s="24">
        <f t="shared" si="57"/>
        <v>0.2</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0.02</v>
      </c>
      <c r="F329" s="720"/>
      <c r="G329" s="24">
        <f t="shared" si="55"/>
        <v>0.05</v>
      </c>
      <c r="H329" s="720"/>
      <c r="I329" s="24">
        <f t="shared" si="56"/>
        <v>0.05</v>
      </c>
      <c r="J329" s="720"/>
      <c r="K329" s="24">
        <f t="shared" si="57"/>
        <v>0.2</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0.02</v>
      </c>
      <c r="F330" s="720"/>
      <c r="G330" s="24">
        <f t="shared" si="55"/>
        <v>0.05</v>
      </c>
      <c r="H330" s="720"/>
      <c r="I330" s="24">
        <f t="shared" si="56"/>
        <v>0.05</v>
      </c>
      <c r="J330" s="720"/>
      <c r="K330" s="24">
        <f t="shared" si="57"/>
        <v>0.2</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0.02</v>
      </c>
      <c r="F331" s="720"/>
      <c r="G331" s="24">
        <f t="shared" si="55"/>
        <v>0.05</v>
      </c>
      <c r="H331" s="720"/>
      <c r="I331" s="24">
        <f t="shared" si="56"/>
        <v>0.05</v>
      </c>
      <c r="J331" s="720"/>
      <c r="K331" s="24">
        <f t="shared" si="57"/>
        <v>0.2</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0.02</v>
      </c>
      <c r="F332" s="720"/>
      <c r="G332" s="24">
        <f t="shared" si="55"/>
        <v>0.05</v>
      </c>
      <c r="H332" s="720"/>
      <c r="I332" s="24">
        <f t="shared" si="56"/>
        <v>0.05</v>
      </c>
      <c r="J332" s="720"/>
      <c r="K332" s="24">
        <f t="shared" si="57"/>
        <v>0.2</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0.02</v>
      </c>
      <c r="F333" s="720"/>
      <c r="G333" s="24">
        <f t="shared" si="55"/>
        <v>0.05</v>
      </c>
      <c r="H333" s="720"/>
      <c r="I333" s="24">
        <f t="shared" si="56"/>
        <v>0.05</v>
      </c>
      <c r="J333" s="720"/>
      <c r="K333" s="24">
        <f t="shared" si="57"/>
        <v>0.2</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0.02</v>
      </c>
      <c r="F334" s="720"/>
      <c r="G334" s="24">
        <f t="shared" si="55"/>
        <v>0.05</v>
      </c>
      <c r="H334" s="720"/>
      <c r="I334" s="24">
        <f t="shared" si="56"/>
        <v>0.05</v>
      </c>
      <c r="J334" s="720"/>
      <c r="K334" s="24">
        <f t="shared" si="57"/>
        <v>0.2</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0.02</v>
      </c>
      <c r="F335" s="720"/>
      <c r="G335" s="24">
        <f t="shared" si="55"/>
        <v>0.05</v>
      </c>
      <c r="H335" s="720"/>
      <c r="I335" s="24">
        <f t="shared" si="56"/>
        <v>0.05</v>
      </c>
      <c r="J335" s="720"/>
      <c r="K335" s="24">
        <f t="shared" si="57"/>
        <v>0.2</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0.02</v>
      </c>
      <c r="F336" s="720"/>
      <c r="G336" s="24">
        <f t="shared" si="55"/>
        <v>0.05</v>
      </c>
      <c r="H336" s="720"/>
      <c r="I336" s="24">
        <f t="shared" si="56"/>
        <v>0.05</v>
      </c>
      <c r="J336" s="720"/>
      <c r="K336" s="24">
        <f t="shared" si="57"/>
        <v>0.2</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0.02</v>
      </c>
      <c r="F337" s="720"/>
      <c r="G337" s="24">
        <f t="shared" si="55"/>
        <v>0.05</v>
      </c>
      <c r="H337" s="720"/>
      <c r="I337" s="24">
        <f t="shared" si="56"/>
        <v>0.05</v>
      </c>
      <c r="J337" s="720"/>
      <c r="K337" s="24">
        <f t="shared" si="57"/>
        <v>0.2</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0.02</v>
      </c>
      <c r="F338" s="720"/>
      <c r="G338" s="24">
        <f t="shared" si="55"/>
        <v>0.05</v>
      </c>
      <c r="H338" s="720"/>
      <c r="I338" s="24">
        <f t="shared" si="56"/>
        <v>0.05</v>
      </c>
      <c r="J338" s="720"/>
      <c r="K338" s="24">
        <f t="shared" si="57"/>
        <v>0.2</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0.02</v>
      </c>
      <c r="F339" s="720"/>
      <c r="G339" s="24">
        <f t="shared" si="55"/>
        <v>0.05</v>
      </c>
      <c r="H339" s="720"/>
      <c r="I339" s="24">
        <f t="shared" si="56"/>
        <v>0.05</v>
      </c>
      <c r="J339" s="720"/>
      <c r="K339" s="24">
        <f t="shared" si="57"/>
        <v>0.2</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0.02</v>
      </c>
      <c r="F340" s="720"/>
      <c r="G340" s="24">
        <f t="shared" si="55"/>
        <v>0.05</v>
      </c>
      <c r="H340" s="720"/>
      <c r="I340" s="24">
        <f t="shared" si="56"/>
        <v>0.05</v>
      </c>
      <c r="J340" s="720"/>
      <c r="K340" s="24">
        <f t="shared" si="57"/>
        <v>0.2</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0.02</v>
      </c>
      <c r="F341" s="720"/>
      <c r="G341" s="24">
        <f t="shared" si="55"/>
        <v>0.05</v>
      </c>
      <c r="H341" s="720"/>
      <c r="I341" s="24">
        <f t="shared" si="56"/>
        <v>0.05</v>
      </c>
      <c r="J341" s="720"/>
      <c r="K341" s="24">
        <f t="shared" si="57"/>
        <v>0.2</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0.02</v>
      </c>
      <c r="F342" s="720"/>
      <c r="G342" s="24">
        <f t="shared" si="55"/>
        <v>0.05</v>
      </c>
      <c r="H342" s="720"/>
      <c r="I342" s="24">
        <f t="shared" si="56"/>
        <v>0.05</v>
      </c>
      <c r="J342" s="720"/>
      <c r="K342" s="24">
        <f t="shared" si="57"/>
        <v>0.2</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0.02</v>
      </c>
      <c r="F343" s="720"/>
      <c r="G343" s="24">
        <f t="shared" si="55"/>
        <v>0.05</v>
      </c>
      <c r="H343" s="720"/>
      <c r="I343" s="24">
        <f t="shared" si="56"/>
        <v>0.05</v>
      </c>
      <c r="J343" s="720"/>
      <c r="K343" s="24">
        <f t="shared" si="57"/>
        <v>0.2</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0.02</v>
      </c>
      <c r="F344" s="720"/>
      <c r="G344" s="24">
        <f t="shared" si="55"/>
        <v>0.05</v>
      </c>
      <c r="H344" s="720"/>
      <c r="I344" s="24">
        <f t="shared" si="56"/>
        <v>0.05</v>
      </c>
      <c r="J344" s="720"/>
      <c r="K344" s="24">
        <f t="shared" si="57"/>
        <v>0.2</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0.02</v>
      </c>
      <c r="F345" s="720"/>
      <c r="G345" s="24">
        <f t="shared" si="55"/>
        <v>0.05</v>
      </c>
      <c r="H345" s="720"/>
      <c r="I345" s="24">
        <f t="shared" si="56"/>
        <v>0.05</v>
      </c>
      <c r="J345" s="720"/>
      <c r="K345" s="24">
        <f t="shared" si="57"/>
        <v>0.2</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0.02</v>
      </c>
      <c r="F346" s="720"/>
      <c r="G346" s="24">
        <f t="shared" ref="G346:G409" si="66">(SUMIF($7:$7,F346,$8:$8)-SUMIF($7:$7,$F$24,$8:$8)+100)/100</f>
        <v>0.05</v>
      </c>
      <c r="H346" s="720"/>
      <c r="I346" s="24">
        <f t="shared" ref="I346:I409" si="67">(SUMIF($9:$9,H346,$10:$10)-SUMIF($9:$9,$H$24,$10:$10)+100)/100</f>
        <v>0.05</v>
      </c>
      <c r="J346" s="720"/>
      <c r="K346" s="24">
        <f t="shared" ref="K346:K409" si="68">(SUMIF($11:$11,J346,$12:$12)-SUMIF($11:$11,$J$24,$12:$12)+100)/100</f>
        <v>0.2</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0.02</v>
      </c>
      <c r="F347" s="720"/>
      <c r="G347" s="24">
        <f t="shared" si="66"/>
        <v>0.05</v>
      </c>
      <c r="H347" s="720"/>
      <c r="I347" s="24">
        <f t="shared" si="67"/>
        <v>0.05</v>
      </c>
      <c r="J347" s="720"/>
      <c r="K347" s="24">
        <f t="shared" si="68"/>
        <v>0.2</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0.02</v>
      </c>
      <c r="F348" s="720"/>
      <c r="G348" s="24">
        <f t="shared" si="66"/>
        <v>0.05</v>
      </c>
      <c r="H348" s="720"/>
      <c r="I348" s="24">
        <f t="shared" si="67"/>
        <v>0.05</v>
      </c>
      <c r="J348" s="720"/>
      <c r="K348" s="24">
        <f t="shared" si="68"/>
        <v>0.2</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0.02</v>
      </c>
      <c r="F349" s="720"/>
      <c r="G349" s="24">
        <f t="shared" si="66"/>
        <v>0.05</v>
      </c>
      <c r="H349" s="720"/>
      <c r="I349" s="24">
        <f t="shared" si="67"/>
        <v>0.05</v>
      </c>
      <c r="J349" s="720"/>
      <c r="K349" s="24">
        <f t="shared" si="68"/>
        <v>0.2</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0.02</v>
      </c>
      <c r="F350" s="720"/>
      <c r="G350" s="24">
        <f t="shared" si="66"/>
        <v>0.05</v>
      </c>
      <c r="H350" s="720"/>
      <c r="I350" s="24">
        <f t="shared" si="67"/>
        <v>0.05</v>
      </c>
      <c r="J350" s="720"/>
      <c r="K350" s="24">
        <f t="shared" si="68"/>
        <v>0.2</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0.02</v>
      </c>
      <c r="F351" s="720"/>
      <c r="G351" s="24">
        <f t="shared" si="66"/>
        <v>0.05</v>
      </c>
      <c r="H351" s="720"/>
      <c r="I351" s="24">
        <f t="shared" si="67"/>
        <v>0.05</v>
      </c>
      <c r="J351" s="720"/>
      <c r="K351" s="24">
        <f t="shared" si="68"/>
        <v>0.2</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0.02</v>
      </c>
      <c r="F352" s="720"/>
      <c r="G352" s="24">
        <f t="shared" si="66"/>
        <v>0.05</v>
      </c>
      <c r="H352" s="720"/>
      <c r="I352" s="24">
        <f t="shared" si="67"/>
        <v>0.05</v>
      </c>
      <c r="J352" s="720"/>
      <c r="K352" s="24">
        <f t="shared" si="68"/>
        <v>0.2</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0.02</v>
      </c>
      <c r="F353" s="720"/>
      <c r="G353" s="24">
        <f t="shared" si="66"/>
        <v>0.05</v>
      </c>
      <c r="H353" s="720"/>
      <c r="I353" s="24">
        <f t="shared" si="67"/>
        <v>0.05</v>
      </c>
      <c r="J353" s="720"/>
      <c r="K353" s="24">
        <f t="shared" si="68"/>
        <v>0.2</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0.02</v>
      </c>
      <c r="F354" s="720"/>
      <c r="G354" s="24">
        <f t="shared" si="66"/>
        <v>0.05</v>
      </c>
      <c r="H354" s="720"/>
      <c r="I354" s="24">
        <f t="shared" si="67"/>
        <v>0.05</v>
      </c>
      <c r="J354" s="720"/>
      <c r="K354" s="24">
        <f t="shared" si="68"/>
        <v>0.2</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0.02</v>
      </c>
      <c r="F355" s="720"/>
      <c r="G355" s="24">
        <f t="shared" si="66"/>
        <v>0.05</v>
      </c>
      <c r="H355" s="720"/>
      <c r="I355" s="24">
        <f t="shared" si="67"/>
        <v>0.05</v>
      </c>
      <c r="J355" s="720"/>
      <c r="K355" s="24">
        <f t="shared" si="68"/>
        <v>0.2</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0.02</v>
      </c>
      <c r="F356" s="720"/>
      <c r="G356" s="24">
        <f t="shared" si="66"/>
        <v>0.05</v>
      </c>
      <c r="H356" s="720"/>
      <c r="I356" s="24">
        <f t="shared" si="67"/>
        <v>0.05</v>
      </c>
      <c r="J356" s="720"/>
      <c r="K356" s="24">
        <f t="shared" si="68"/>
        <v>0.2</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0.02</v>
      </c>
      <c r="F357" s="720"/>
      <c r="G357" s="24">
        <f t="shared" si="66"/>
        <v>0.05</v>
      </c>
      <c r="H357" s="720"/>
      <c r="I357" s="24">
        <f t="shared" si="67"/>
        <v>0.05</v>
      </c>
      <c r="J357" s="720"/>
      <c r="K357" s="24">
        <f t="shared" si="68"/>
        <v>0.2</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0.02</v>
      </c>
      <c r="F358" s="720"/>
      <c r="G358" s="24">
        <f t="shared" si="66"/>
        <v>0.05</v>
      </c>
      <c r="H358" s="720"/>
      <c r="I358" s="24">
        <f t="shared" si="67"/>
        <v>0.05</v>
      </c>
      <c r="J358" s="720"/>
      <c r="K358" s="24">
        <f t="shared" si="68"/>
        <v>0.2</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0.02</v>
      </c>
      <c r="F359" s="720"/>
      <c r="G359" s="24">
        <f t="shared" si="66"/>
        <v>0.05</v>
      </c>
      <c r="H359" s="720"/>
      <c r="I359" s="24">
        <f t="shared" si="67"/>
        <v>0.05</v>
      </c>
      <c r="J359" s="720"/>
      <c r="K359" s="24">
        <f t="shared" si="68"/>
        <v>0.2</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0.02</v>
      </c>
      <c r="F360" s="720"/>
      <c r="G360" s="24">
        <f t="shared" si="66"/>
        <v>0.05</v>
      </c>
      <c r="H360" s="720"/>
      <c r="I360" s="24">
        <f t="shared" si="67"/>
        <v>0.05</v>
      </c>
      <c r="J360" s="720"/>
      <c r="K360" s="24">
        <f t="shared" si="68"/>
        <v>0.2</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0.02</v>
      </c>
      <c r="F361" s="720"/>
      <c r="G361" s="24">
        <f t="shared" si="66"/>
        <v>0.05</v>
      </c>
      <c r="H361" s="720"/>
      <c r="I361" s="24">
        <f t="shared" si="67"/>
        <v>0.05</v>
      </c>
      <c r="J361" s="720"/>
      <c r="K361" s="24">
        <f t="shared" si="68"/>
        <v>0.2</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0.02</v>
      </c>
      <c r="F362" s="720"/>
      <c r="G362" s="24">
        <f t="shared" si="66"/>
        <v>0.05</v>
      </c>
      <c r="H362" s="720"/>
      <c r="I362" s="24">
        <f t="shared" si="67"/>
        <v>0.05</v>
      </c>
      <c r="J362" s="720"/>
      <c r="K362" s="24">
        <f t="shared" si="68"/>
        <v>0.2</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0.02</v>
      </c>
      <c r="F363" s="720"/>
      <c r="G363" s="24">
        <f t="shared" si="66"/>
        <v>0.05</v>
      </c>
      <c r="H363" s="720"/>
      <c r="I363" s="24">
        <f t="shared" si="67"/>
        <v>0.05</v>
      </c>
      <c r="J363" s="720"/>
      <c r="K363" s="24">
        <f t="shared" si="68"/>
        <v>0.2</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0.02</v>
      </c>
      <c r="F364" s="720"/>
      <c r="G364" s="24">
        <f t="shared" si="66"/>
        <v>0.05</v>
      </c>
      <c r="H364" s="720"/>
      <c r="I364" s="24">
        <f t="shared" si="67"/>
        <v>0.05</v>
      </c>
      <c r="J364" s="720"/>
      <c r="K364" s="24">
        <f t="shared" si="68"/>
        <v>0.2</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0.02</v>
      </c>
      <c r="F365" s="720"/>
      <c r="G365" s="24">
        <f t="shared" si="66"/>
        <v>0.05</v>
      </c>
      <c r="H365" s="720"/>
      <c r="I365" s="24">
        <f t="shared" si="67"/>
        <v>0.05</v>
      </c>
      <c r="J365" s="720"/>
      <c r="K365" s="24">
        <f t="shared" si="68"/>
        <v>0.2</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0.02</v>
      </c>
      <c r="F366" s="720"/>
      <c r="G366" s="24">
        <f t="shared" si="66"/>
        <v>0.05</v>
      </c>
      <c r="H366" s="720"/>
      <c r="I366" s="24">
        <f t="shared" si="67"/>
        <v>0.05</v>
      </c>
      <c r="J366" s="720"/>
      <c r="K366" s="24">
        <f t="shared" si="68"/>
        <v>0.2</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0.02</v>
      </c>
      <c r="F367" s="720"/>
      <c r="G367" s="24">
        <f t="shared" si="66"/>
        <v>0.05</v>
      </c>
      <c r="H367" s="720"/>
      <c r="I367" s="24">
        <f t="shared" si="67"/>
        <v>0.05</v>
      </c>
      <c r="J367" s="720"/>
      <c r="K367" s="24">
        <f t="shared" si="68"/>
        <v>0.2</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0.02</v>
      </c>
      <c r="F368" s="720"/>
      <c r="G368" s="24">
        <f t="shared" si="66"/>
        <v>0.05</v>
      </c>
      <c r="H368" s="720"/>
      <c r="I368" s="24">
        <f t="shared" si="67"/>
        <v>0.05</v>
      </c>
      <c r="J368" s="720"/>
      <c r="K368" s="24">
        <f t="shared" si="68"/>
        <v>0.2</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0.02</v>
      </c>
      <c r="F369" s="720"/>
      <c r="G369" s="24">
        <f t="shared" si="66"/>
        <v>0.05</v>
      </c>
      <c r="H369" s="720"/>
      <c r="I369" s="24">
        <f t="shared" si="67"/>
        <v>0.05</v>
      </c>
      <c r="J369" s="720"/>
      <c r="K369" s="24">
        <f t="shared" si="68"/>
        <v>0.2</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0.02</v>
      </c>
      <c r="F370" s="720"/>
      <c r="G370" s="24">
        <f t="shared" si="66"/>
        <v>0.05</v>
      </c>
      <c r="H370" s="720"/>
      <c r="I370" s="24">
        <f t="shared" si="67"/>
        <v>0.05</v>
      </c>
      <c r="J370" s="720"/>
      <c r="K370" s="24">
        <f t="shared" si="68"/>
        <v>0.2</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0.02</v>
      </c>
      <c r="F371" s="720"/>
      <c r="G371" s="24">
        <f t="shared" si="66"/>
        <v>0.05</v>
      </c>
      <c r="H371" s="720"/>
      <c r="I371" s="24">
        <f t="shared" si="67"/>
        <v>0.05</v>
      </c>
      <c r="J371" s="720"/>
      <c r="K371" s="24">
        <f t="shared" si="68"/>
        <v>0.2</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0.02</v>
      </c>
      <c r="F372" s="720"/>
      <c r="G372" s="24">
        <f t="shared" si="66"/>
        <v>0.05</v>
      </c>
      <c r="H372" s="720"/>
      <c r="I372" s="24">
        <f t="shared" si="67"/>
        <v>0.05</v>
      </c>
      <c r="J372" s="720"/>
      <c r="K372" s="24">
        <f t="shared" si="68"/>
        <v>0.2</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0.02</v>
      </c>
      <c r="F373" s="720"/>
      <c r="G373" s="24">
        <f t="shared" si="66"/>
        <v>0.05</v>
      </c>
      <c r="H373" s="720"/>
      <c r="I373" s="24">
        <f t="shared" si="67"/>
        <v>0.05</v>
      </c>
      <c r="J373" s="720"/>
      <c r="K373" s="24">
        <f t="shared" si="68"/>
        <v>0.2</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0.02</v>
      </c>
      <c r="F374" s="720"/>
      <c r="G374" s="24">
        <f t="shared" si="66"/>
        <v>0.05</v>
      </c>
      <c r="H374" s="720"/>
      <c r="I374" s="24">
        <f t="shared" si="67"/>
        <v>0.05</v>
      </c>
      <c r="J374" s="720"/>
      <c r="K374" s="24">
        <f t="shared" si="68"/>
        <v>0.2</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0.02</v>
      </c>
      <c r="F375" s="720"/>
      <c r="G375" s="24">
        <f t="shared" si="66"/>
        <v>0.05</v>
      </c>
      <c r="H375" s="720"/>
      <c r="I375" s="24">
        <f t="shared" si="67"/>
        <v>0.05</v>
      </c>
      <c r="J375" s="720"/>
      <c r="K375" s="24">
        <f t="shared" si="68"/>
        <v>0.2</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0.02</v>
      </c>
      <c r="F376" s="720"/>
      <c r="G376" s="24">
        <f t="shared" si="66"/>
        <v>0.05</v>
      </c>
      <c r="H376" s="720"/>
      <c r="I376" s="24">
        <f t="shared" si="67"/>
        <v>0.05</v>
      </c>
      <c r="J376" s="720"/>
      <c r="K376" s="24">
        <f t="shared" si="68"/>
        <v>0.2</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0.02</v>
      </c>
      <c r="F377" s="720"/>
      <c r="G377" s="24">
        <f t="shared" si="66"/>
        <v>0.05</v>
      </c>
      <c r="H377" s="720"/>
      <c r="I377" s="24">
        <f t="shared" si="67"/>
        <v>0.05</v>
      </c>
      <c r="J377" s="720"/>
      <c r="K377" s="24">
        <f t="shared" si="68"/>
        <v>0.2</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0.02</v>
      </c>
      <c r="F378" s="720"/>
      <c r="G378" s="24">
        <f t="shared" si="66"/>
        <v>0.05</v>
      </c>
      <c r="H378" s="720"/>
      <c r="I378" s="24">
        <f t="shared" si="67"/>
        <v>0.05</v>
      </c>
      <c r="J378" s="720"/>
      <c r="K378" s="24">
        <f t="shared" si="68"/>
        <v>0.2</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0.02</v>
      </c>
      <c r="F379" s="720"/>
      <c r="G379" s="24">
        <f t="shared" si="66"/>
        <v>0.05</v>
      </c>
      <c r="H379" s="720"/>
      <c r="I379" s="24">
        <f t="shared" si="67"/>
        <v>0.05</v>
      </c>
      <c r="J379" s="720"/>
      <c r="K379" s="24">
        <f t="shared" si="68"/>
        <v>0.2</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0.02</v>
      </c>
      <c r="F380" s="720"/>
      <c r="G380" s="24">
        <f t="shared" si="66"/>
        <v>0.05</v>
      </c>
      <c r="H380" s="720"/>
      <c r="I380" s="24">
        <f t="shared" si="67"/>
        <v>0.05</v>
      </c>
      <c r="J380" s="720"/>
      <c r="K380" s="24">
        <f t="shared" si="68"/>
        <v>0.2</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0.02</v>
      </c>
      <c r="F381" s="720"/>
      <c r="G381" s="24">
        <f t="shared" si="66"/>
        <v>0.05</v>
      </c>
      <c r="H381" s="720"/>
      <c r="I381" s="24">
        <f t="shared" si="67"/>
        <v>0.05</v>
      </c>
      <c r="J381" s="720"/>
      <c r="K381" s="24">
        <f t="shared" si="68"/>
        <v>0.2</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0.02</v>
      </c>
      <c r="F382" s="720"/>
      <c r="G382" s="24">
        <f t="shared" si="66"/>
        <v>0.05</v>
      </c>
      <c r="H382" s="720"/>
      <c r="I382" s="24">
        <f t="shared" si="67"/>
        <v>0.05</v>
      </c>
      <c r="J382" s="720"/>
      <c r="K382" s="24">
        <f t="shared" si="68"/>
        <v>0.2</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0.02</v>
      </c>
      <c r="F383" s="720"/>
      <c r="G383" s="24">
        <f t="shared" si="66"/>
        <v>0.05</v>
      </c>
      <c r="H383" s="720"/>
      <c r="I383" s="24">
        <f t="shared" si="67"/>
        <v>0.05</v>
      </c>
      <c r="J383" s="720"/>
      <c r="K383" s="24">
        <f t="shared" si="68"/>
        <v>0.2</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0.02</v>
      </c>
      <c r="F384" s="720"/>
      <c r="G384" s="24">
        <f t="shared" si="66"/>
        <v>0.05</v>
      </c>
      <c r="H384" s="720"/>
      <c r="I384" s="24">
        <f t="shared" si="67"/>
        <v>0.05</v>
      </c>
      <c r="J384" s="720"/>
      <c r="K384" s="24">
        <f t="shared" si="68"/>
        <v>0.2</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0.02</v>
      </c>
      <c r="F385" s="720"/>
      <c r="G385" s="24">
        <f t="shared" si="66"/>
        <v>0.05</v>
      </c>
      <c r="H385" s="720"/>
      <c r="I385" s="24">
        <f t="shared" si="67"/>
        <v>0.05</v>
      </c>
      <c r="J385" s="720"/>
      <c r="K385" s="24">
        <f t="shared" si="68"/>
        <v>0.2</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0.02</v>
      </c>
      <c r="F386" s="720"/>
      <c r="G386" s="24">
        <f t="shared" si="66"/>
        <v>0.05</v>
      </c>
      <c r="H386" s="720"/>
      <c r="I386" s="24">
        <f t="shared" si="67"/>
        <v>0.05</v>
      </c>
      <c r="J386" s="720"/>
      <c r="K386" s="24">
        <f t="shared" si="68"/>
        <v>0.2</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0.02</v>
      </c>
      <c r="F387" s="720"/>
      <c r="G387" s="24">
        <f t="shared" si="66"/>
        <v>0.05</v>
      </c>
      <c r="H387" s="720"/>
      <c r="I387" s="24">
        <f t="shared" si="67"/>
        <v>0.05</v>
      </c>
      <c r="J387" s="720"/>
      <c r="K387" s="24">
        <f t="shared" si="68"/>
        <v>0.2</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0.02</v>
      </c>
      <c r="F388" s="720"/>
      <c r="G388" s="24">
        <f t="shared" si="66"/>
        <v>0.05</v>
      </c>
      <c r="H388" s="720"/>
      <c r="I388" s="24">
        <f t="shared" si="67"/>
        <v>0.05</v>
      </c>
      <c r="J388" s="720"/>
      <c r="K388" s="24">
        <f t="shared" si="68"/>
        <v>0.2</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0.02</v>
      </c>
      <c r="F389" s="720"/>
      <c r="G389" s="24">
        <f t="shared" si="66"/>
        <v>0.05</v>
      </c>
      <c r="H389" s="720"/>
      <c r="I389" s="24">
        <f t="shared" si="67"/>
        <v>0.05</v>
      </c>
      <c r="J389" s="720"/>
      <c r="K389" s="24">
        <f t="shared" si="68"/>
        <v>0.2</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0.02</v>
      </c>
      <c r="F390" s="720"/>
      <c r="G390" s="24">
        <f t="shared" si="66"/>
        <v>0.05</v>
      </c>
      <c r="H390" s="720"/>
      <c r="I390" s="24">
        <f t="shared" si="67"/>
        <v>0.05</v>
      </c>
      <c r="J390" s="720"/>
      <c r="K390" s="24">
        <f t="shared" si="68"/>
        <v>0.2</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0.02</v>
      </c>
      <c r="F391" s="720"/>
      <c r="G391" s="24">
        <f t="shared" si="66"/>
        <v>0.05</v>
      </c>
      <c r="H391" s="720"/>
      <c r="I391" s="24">
        <f t="shared" si="67"/>
        <v>0.05</v>
      </c>
      <c r="J391" s="720"/>
      <c r="K391" s="24">
        <f t="shared" si="68"/>
        <v>0.2</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0.02</v>
      </c>
      <c r="F392" s="720"/>
      <c r="G392" s="24">
        <f t="shared" si="66"/>
        <v>0.05</v>
      </c>
      <c r="H392" s="720"/>
      <c r="I392" s="24">
        <f t="shared" si="67"/>
        <v>0.05</v>
      </c>
      <c r="J392" s="720"/>
      <c r="K392" s="24">
        <f t="shared" si="68"/>
        <v>0.2</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0.02</v>
      </c>
      <c r="F393" s="720"/>
      <c r="G393" s="24">
        <f t="shared" si="66"/>
        <v>0.05</v>
      </c>
      <c r="H393" s="720"/>
      <c r="I393" s="24">
        <f t="shared" si="67"/>
        <v>0.05</v>
      </c>
      <c r="J393" s="720"/>
      <c r="K393" s="24">
        <f t="shared" si="68"/>
        <v>0.2</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0.02</v>
      </c>
      <c r="F394" s="720"/>
      <c r="G394" s="24">
        <f t="shared" si="66"/>
        <v>0.05</v>
      </c>
      <c r="H394" s="720"/>
      <c r="I394" s="24">
        <f t="shared" si="67"/>
        <v>0.05</v>
      </c>
      <c r="J394" s="720"/>
      <c r="K394" s="24">
        <f t="shared" si="68"/>
        <v>0.2</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0.02</v>
      </c>
      <c r="F395" s="720"/>
      <c r="G395" s="24">
        <f t="shared" si="66"/>
        <v>0.05</v>
      </c>
      <c r="H395" s="720"/>
      <c r="I395" s="24">
        <f t="shared" si="67"/>
        <v>0.05</v>
      </c>
      <c r="J395" s="720"/>
      <c r="K395" s="24">
        <f t="shared" si="68"/>
        <v>0.2</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0.02</v>
      </c>
      <c r="F396" s="720"/>
      <c r="G396" s="24">
        <f t="shared" si="66"/>
        <v>0.05</v>
      </c>
      <c r="H396" s="720"/>
      <c r="I396" s="24">
        <f t="shared" si="67"/>
        <v>0.05</v>
      </c>
      <c r="J396" s="720"/>
      <c r="K396" s="24">
        <f t="shared" si="68"/>
        <v>0.2</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0.02</v>
      </c>
      <c r="F397" s="720"/>
      <c r="G397" s="24">
        <f t="shared" si="66"/>
        <v>0.05</v>
      </c>
      <c r="H397" s="720"/>
      <c r="I397" s="24">
        <f t="shared" si="67"/>
        <v>0.05</v>
      </c>
      <c r="J397" s="720"/>
      <c r="K397" s="24">
        <f t="shared" si="68"/>
        <v>0.2</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0.02</v>
      </c>
      <c r="F398" s="720"/>
      <c r="G398" s="24">
        <f t="shared" si="66"/>
        <v>0.05</v>
      </c>
      <c r="H398" s="720"/>
      <c r="I398" s="24">
        <f t="shared" si="67"/>
        <v>0.05</v>
      </c>
      <c r="J398" s="720"/>
      <c r="K398" s="24">
        <f t="shared" si="68"/>
        <v>0.2</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0.02</v>
      </c>
      <c r="F399" s="720"/>
      <c r="G399" s="24">
        <f t="shared" si="66"/>
        <v>0.05</v>
      </c>
      <c r="H399" s="720"/>
      <c r="I399" s="24">
        <f t="shared" si="67"/>
        <v>0.05</v>
      </c>
      <c r="J399" s="720"/>
      <c r="K399" s="24">
        <f t="shared" si="68"/>
        <v>0.2</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0.02</v>
      </c>
      <c r="F400" s="720"/>
      <c r="G400" s="24">
        <f t="shared" si="66"/>
        <v>0.05</v>
      </c>
      <c r="H400" s="720"/>
      <c r="I400" s="24">
        <f t="shared" si="67"/>
        <v>0.05</v>
      </c>
      <c r="J400" s="720"/>
      <c r="K400" s="24">
        <f t="shared" si="68"/>
        <v>0.2</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0.02</v>
      </c>
      <c r="F401" s="720"/>
      <c r="G401" s="24">
        <f t="shared" si="66"/>
        <v>0.05</v>
      </c>
      <c r="H401" s="720"/>
      <c r="I401" s="24">
        <f t="shared" si="67"/>
        <v>0.05</v>
      </c>
      <c r="J401" s="720"/>
      <c r="K401" s="24">
        <f t="shared" si="68"/>
        <v>0.2</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0.02</v>
      </c>
      <c r="F402" s="720"/>
      <c r="G402" s="24">
        <f t="shared" si="66"/>
        <v>0.05</v>
      </c>
      <c r="H402" s="720"/>
      <c r="I402" s="24">
        <f t="shared" si="67"/>
        <v>0.05</v>
      </c>
      <c r="J402" s="720"/>
      <c r="K402" s="24">
        <f t="shared" si="68"/>
        <v>0.2</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0.02</v>
      </c>
      <c r="F403" s="720"/>
      <c r="G403" s="24">
        <f t="shared" si="66"/>
        <v>0.05</v>
      </c>
      <c r="H403" s="720"/>
      <c r="I403" s="24">
        <f t="shared" si="67"/>
        <v>0.05</v>
      </c>
      <c r="J403" s="720"/>
      <c r="K403" s="24">
        <f t="shared" si="68"/>
        <v>0.2</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0.02</v>
      </c>
      <c r="F404" s="720"/>
      <c r="G404" s="24">
        <f t="shared" si="66"/>
        <v>0.05</v>
      </c>
      <c r="H404" s="720"/>
      <c r="I404" s="24">
        <f t="shared" si="67"/>
        <v>0.05</v>
      </c>
      <c r="J404" s="720"/>
      <c r="K404" s="24">
        <f t="shared" si="68"/>
        <v>0.2</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0.02</v>
      </c>
      <c r="F405" s="720"/>
      <c r="G405" s="24">
        <f t="shared" si="66"/>
        <v>0.05</v>
      </c>
      <c r="H405" s="720"/>
      <c r="I405" s="24">
        <f t="shared" si="67"/>
        <v>0.05</v>
      </c>
      <c r="J405" s="720"/>
      <c r="K405" s="24">
        <f t="shared" si="68"/>
        <v>0.2</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0.02</v>
      </c>
      <c r="F406" s="720"/>
      <c r="G406" s="24">
        <f t="shared" si="66"/>
        <v>0.05</v>
      </c>
      <c r="H406" s="720"/>
      <c r="I406" s="24">
        <f t="shared" si="67"/>
        <v>0.05</v>
      </c>
      <c r="J406" s="720"/>
      <c r="K406" s="24">
        <f t="shared" si="68"/>
        <v>0.2</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0.02</v>
      </c>
      <c r="F407" s="720"/>
      <c r="G407" s="24">
        <f t="shared" si="66"/>
        <v>0.05</v>
      </c>
      <c r="H407" s="720"/>
      <c r="I407" s="24">
        <f t="shared" si="67"/>
        <v>0.05</v>
      </c>
      <c r="J407" s="720"/>
      <c r="K407" s="24">
        <f t="shared" si="68"/>
        <v>0.2</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0.02</v>
      </c>
      <c r="F408" s="720"/>
      <c r="G408" s="24">
        <f t="shared" si="66"/>
        <v>0.05</v>
      </c>
      <c r="H408" s="720"/>
      <c r="I408" s="24">
        <f t="shared" si="67"/>
        <v>0.05</v>
      </c>
      <c r="J408" s="720"/>
      <c r="K408" s="24">
        <f t="shared" si="68"/>
        <v>0.2</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0.02</v>
      </c>
      <c r="F409" s="720"/>
      <c r="G409" s="24">
        <f t="shared" si="66"/>
        <v>0.05</v>
      </c>
      <c r="H409" s="720"/>
      <c r="I409" s="24">
        <f t="shared" si="67"/>
        <v>0.05</v>
      </c>
      <c r="J409" s="720"/>
      <c r="K409" s="24">
        <f t="shared" si="68"/>
        <v>0.2</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0.02</v>
      </c>
      <c r="F410" s="720"/>
      <c r="G410" s="24">
        <f t="shared" ref="G410:G473" si="76">(SUMIF($7:$7,F410,$8:$8)-SUMIF($7:$7,$F$24,$8:$8)+100)/100</f>
        <v>0.05</v>
      </c>
      <c r="H410" s="720"/>
      <c r="I410" s="24">
        <f t="shared" ref="I410:I473" si="77">(SUMIF($9:$9,H410,$10:$10)-SUMIF($9:$9,$H$24,$10:$10)+100)/100</f>
        <v>0.05</v>
      </c>
      <c r="J410" s="720"/>
      <c r="K410" s="24">
        <f t="shared" ref="K410:K473" si="78">(SUMIF($11:$11,J410,$12:$12)-SUMIF($11:$11,$J$24,$12:$12)+100)/100</f>
        <v>0.2</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0.02</v>
      </c>
      <c r="F411" s="720"/>
      <c r="G411" s="24">
        <f t="shared" si="76"/>
        <v>0.05</v>
      </c>
      <c r="H411" s="720"/>
      <c r="I411" s="24">
        <f t="shared" si="77"/>
        <v>0.05</v>
      </c>
      <c r="J411" s="720"/>
      <c r="K411" s="24">
        <f t="shared" si="78"/>
        <v>0.2</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0.02</v>
      </c>
      <c r="F412" s="720"/>
      <c r="G412" s="24">
        <f t="shared" si="76"/>
        <v>0.05</v>
      </c>
      <c r="H412" s="720"/>
      <c r="I412" s="24">
        <f t="shared" si="77"/>
        <v>0.05</v>
      </c>
      <c r="J412" s="720"/>
      <c r="K412" s="24">
        <f t="shared" si="78"/>
        <v>0.2</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0.02</v>
      </c>
      <c r="F413" s="720"/>
      <c r="G413" s="24">
        <f t="shared" si="76"/>
        <v>0.05</v>
      </c>
      <c r="H413" s="720"/>
      <c r="I413" s="24">
        <f t="shared" si="77"/>
        <v>0.05</v>
      </c>
      <c r="J413" s="720"/>
      <c r="K413" s="24">
        <f t="shared" si="78"/>
        <v>0.2</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0.02</v>
      </c>
      <c r="F414" s="720"/>
      <c r="G414" s="24">
        <f t="shared" si="76"/>
        <v>0.05</v>
      </c>
      <c r="H414" s="720"/>
      <c r="I414" s="24">
        <f t="shared" si="77"/>
        <v>0.05</v>
      </c>
      <c r="J414" s="720"/>
      <c r="K414" s="24">
        <f t="shared" si="78"/>
        <v>0.2</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0.02</v>
      </c>
      <c r="F415" s="720"/>
      <c r="G415" s="24">
        <f t="shared" si="76"/>
        <v>0.05</v>
      </c>
      <c r="H415" s="720"/>
      <c r="I415" s="24">
        <f t="shared" si="77"/>
        <v>0.05</v>
      </c>
      <c r="J415" s="720"/>
      <c r="K415" s="24">
        <f t="shared" si="78"/>
        <v>0.2</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0.02</v>
      </c>
      <c r="F416" s="720"/>
      <c r="G416" s="24">
        <f t="shared" si="76"/>
        <v>0.05</v>
      </c>
      <c r="H416" s="720"/>
      <c r="I416" s="24">
        <f t="shared" si="77"/>
        <v>0.05</v>
      </c>
      <c r="J416" s="720"/>
      <c r="K416" s="24">
        <f t="shared" si="78"/>
        <v>0.2</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0.02</v>
      </c>
      <c r="F417" s="720"/>
      <c r="G417" s="24">
        <f t="shared" si="76"/>
        <v>0.05</v>
      </c>
      <c r="H417" s="720"/>
      <c r="I417" s="24">
        <f t="shared" si="77"/>
        <v>0.05</v>
      </c>
      <c r="J417" s="720"/>
      <c r="K417" s="24">
        <f t="shared" si="78"/>
        <v>0.2</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0.02</v>
      </c>
      <c r="F418" s="720"/>
      <c r="G418" s="24">
        <f t="shared" si="76"/>
        <v>0.05</v>
      </c>
      <c r="H418" s="720"/>
      <c r="I418" s="24">
        <f t="shared" si="77"/>
        <v>0.05</v>
      </c>
      <c r="J418" s="720"/>
      <c r="K418" s="24">
        <f t="shared" si="78"/>
        <v>0.2</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0.02</v>
      </c>
      <c r="F419" s="720"/>
      <c r="G419" s="24">
        <f t="shared" si="76"/>
        <v>0.05</v>
      </c>
      <c r="H419" s="720"/>
      <c r="I419" s="24">
        <f t="shared" si="77"/>
        <v>0.05</v>
      </c>
      <c r="J419" s="720"/>
      <c r="K419" s="24">
        <f t="shared" si="78"/>
        <v>0.2</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0.02</v>
      </c>
      <c r="F420" s="720"/>
      <c r="G420" s="24">
        <f t="shared" si="76"/>
        <v>0.05</v>
      </c>
      <c r="H420" s="720"/>
      <c r="I420" s="24">
        <f t="shared" si="77"/>
        <v>0.05</v>
      </c>
      <c r="J420" s="720"/>
      <c r="K420" s="24">
        <f t="shared" si="78"/>
        <v>0.2</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0.02</v>
      </c>
      <c r="F421" s="720"/>
      <c r="G421" s="24">
        <f t="shared" si="76"/>
        <v>0.05</v>
      </c>
      <c r="H421" s="720"/>
      <c r="I421" s="24">
        <f t="shared" si="77"/>
        <v>0.05</v>
      </c>
      <c r="J421" s="720"/>
      <c r="K421" s="24">
        <f t="shared" si="78"/>
        <v>0.2</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0.02</v>
      </c>
      <c r="F422" s="720"/>
      <c r="G422" s="24">
        <f t="shared" si="76"/>
        <v>0.05</v>
      </c>
      <c r="H422" s="720"/>
      <c r="I422" s="24">
        <f t="shared" si="77"/>
        <v>0.05</v>
      </c>
      <c r="J422" s="720"/>
      <c r="K422" s="24">
        <f t="shared" si="78"/>
        <v>0.2</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0.02</v>
      </c>
      <c r="F423" s="720"/>
      <c r="G423" s="24">
        <f t="shared" si="76"/>
        <v>0.05</v>
      </c>
      <c r="H423" s="720"/>
      <c r="I423" s="24">
        <f t="shared" si="77"/>
        <v>0.05</v>
      </c>
      <c r="J423" s="720"/>
      <c r="K423" s="24">
        <f t="shared" si="78"/>
        <v>0.2</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0.02</v>
      </c>
      <c r="F424" s="720"/>
      <c r="G424" s="24">
        <f t="shared" si="76"/>
        <v>0.05</v>
      </c>
      <c r="H424" s="720"/>
      <c r="I424" s="24">
        <f t="shared" si="77"/>
        <v>0.05</v>
      </c>
      <c r="J424" s="720"/>
      <c r="K424" s="24">
        <f t="shared" si="78"/>
        <v>0.2</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0.02</v>
      </c>
      <c r="F425" s="720"/>
      <c r="G425" s="24">
        <f t="shared" si="76"/>
        <v>0.05</v>
      </c>
      <c r="H425" s="720"/>
      <c r="I425" s="24">
        <f t="shared" si="77"/>
        <v>0.05</v>
      </c>
      <c r="J425" s="720"/>
      <c r="K425" s="24">
        <f t="shared" si="78"/>
        <v>0.2</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0.02</v>
      </c>
      <c r="F426" s="720"/>
      <c r="G426" s="24">
        <f t="shared" si="76"/>
        <v>0.05</v>
      </c>
      <c r="H426" s="720"/>
      <c r="I426" s="24">
        <f t="shared" si="77"/>
        <v>0.05</v>
      </c>
      <c r="J426" s="720"/>
      <c r="K426" s="24">
        <f t="shared" si="78"/>
        <v>0.2</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0.02</v>
      </c>
      <c r="F427" s="720"/>
      <c r="G427" s="24">
        <f t="shared" si="76"/>
        <v>0.05</v>
      </c>
      <c r="H427" s="720"/>
      <c r="I427" s="24">
        <f t="shared" si="77"/>
        <v>0.05</v>
      </c>
      <c r="J427" s="720"/>
      <c r="K427" s="24">
        <f t="shared" si="78"/>
        <v>0.2</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0.02</v>
      </c>
      <c r="F428" s="720"/>
      <c r="G428" s="24">
        <f t="shared" si="76"/>
        <v>0.05</v>
      </c>
      <c r="H428" s="720"/>
      <c r="I428" s="24">
        <f t="shared" si="77"/>
        <v>0.05</v>
      </c>
      <c r="J428" s="720"/>
      <c r="K428" s="24">
        <f t="shared" si="78"/>
        <v>0.2</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0.02</v>
      </c>
      <c r="F429" s="720"/>
      <c r="G429" s="24">
        <f t="shared" si="76"/>
        <v>0.05</v>
      </c>
      <c r="H429" s="720"/>
      <c r="I429" s="24">
        <f t="shared" si="77"/>
        <v>0.05</v>
      </c>
      <c r="J429" s="720"/>
      <c r="K429" s="24">
        <f t="shared" si="78"/>
        <v>0.2</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0.02</v>
      </c>
      <c r="F430" s="720"/>
      <c r="G430" s="24">
        <f t="shared" si="76"/>
        <v>0.05</v>
      </c>
      <c r="H430" s="720"/>
      <c r="I430" s="24">
        <f t="shared" si="77"/>
        <v>0.05</v>
      </c>
      <c r="J430" s="720"/>
      <c r="K430" s="24">
        <f t="shared" si="78"/>
        <v>0.2</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0.02</v>
      </c>
      <c r="F431" s="720"/>
      <c r="G431" s="24">
        <f t="shared" si="76"/>
        <v>0.05</v>
      </c>
      <c r="H431" s="720"/>
      <c r="I431" s="24">
        <f t="shared" si="77"/>
        <v>0.05</v>
      </c>
      <c r="J431" s="720"/>
      <c r="K431" s="24">
        <f t="shared" si="78"/>
        <v>0.2</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0.02</v>
      </c>
      <c r="F432" s="720"/>
      <c r="G432" s="24">
        <f t="shared" si="76"/>
        <v>0.05</v>
      </c>
      <c r="H432" s="720"/>
      <c r="I432" s="24">
        <f t="shared" si="77"/>
        <v>0.05</v>
      </c>
      <c r="J432" s="720"/>
      <c r="K432" s="24">
        <f t="shared" si="78"/>
        <v>0.2</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0.02</v>
      </c>
      <c r="F433" s="720"/>
      <c r="G433" s="24">
        <f t="shared" si="76"/>
        <v>0.05</v>
      </c>
      <c r="H433" s="720"/>
      <c r="I433" s="24">
        <f t="shared" si="77"/>
        <v>0.05</v>
      </c>
      <c r="J433" s="720"/>
      <c r="K433" s="24">
        <f t="shared" si="78"/>
        <v>0.2</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0.02</v>
      </c>
      <c r="F434" s="720"/>
      <c r="G434" s="24">
        <f t="shared" si="76"/>
        <v>0.05</v>
      </c>
      <c r="H434" s="720"/>
      <c r="I434" s="24">
        <f t="shared" si="77"/>
        <v>0.05</v>
      </c>
      <c r="J434" s="720"/>
      <c r="K434" s="24">
        <f t="shared" si="78"/>
        <v>0.2</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0.02</v>
      </c>
      <c r="F435" s="720"/>
      <c r="G435" s="24">
        <f t="shared" si="76"/>
        <v>0.05</v>
      </c>
      <c r="H435" s="720"/>
      <c r="I435" s="24">
        <f t="shared" si="77"/>
        <v>0.05</v>
      </c>
      <c r="J435" s="720"/>
      <c r="K435" s="24">
        <f t="shared" si="78"/>
        <v>0.2</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0.02</v>
      </c>
      <c r="F436" s="720"/>
      <c r="G436" s="24">
        <f t="shared" si="76"/>
        <v>0.05</v>
      </c>
      <c r="H436" s="720"/>
      <c r="I436" s="24">
        <f t="shared" si="77"/>
        <v>0.05</v>
      </c>
      <c r="J436" s="720"/>
      <c r="K436" s="24">
        <f t="shared" si="78"/>
        <v>0.2</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0.02</v>
      </c>
      <c r="F437" s="720"/>
      <c r="G437" s="24">
        <f t="shared" si="76"/>
        <v>0.05</v>
      </c>
      <c r="H437" s="720"/>
      <c r="I437" s="24">
        <f t="shared" si="77"/>
        <v>0.05</v>
      </c>
      <c r="J437" s="720"/>
      <c r="K437" s="24">
        <f t="shared" si="78"/>
        <v>0.2</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0.02</v>
      </c>
      <c r="F438" s="720"/>
      <c r="G438" s="24">
        <f t="shared" si="76"/>
        <v>0.05</v>
      </c>
      <c r="H438" s="720"/>
      <c r="I438" s="24">
        <f t="shared" si="77"/>
        <v>0.05</v>
      </c>
      <c r="J438" s="720"/>
      <c r="K438" s="24">
        <f t="shared" si="78"/>
        <v>0.2</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0.02</v>
      </c>
      <c r="F439" s="720"/>
      <c r="G439" s="24">
        <f t="shared" si="76"/>
        <v>0.05</v>
      </c>
      <c r="H439" s="720"/>
      <c r="I439" s="24">
        <f t="shared" si="77"/>
        <v>0.05</v>
      </c>
      <c r="J439" s="720"/>
      <c r="K439" s="24">
        <f t="shared" si="78"/>
        <v>0.2</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0.02</v>
      </c>
      <c r="F440" s="720"/>
      <c r="G440" s="24">
        <f t="shared" si="76"/>
        <v>0.05</v>
      </c>
      <c r="H440" s="720"/>
      <c r="I440" s="24">
        <f t="shared" si="77"/>
        <v>0.05</v>
      </c>
      <c r="J440" s="720"/>
      <c r="K440" s="24">
        <f t="shared" si="78"/>
        <v>0.2</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0.02</v>
      </c>
      <c r="F441" s="720"/>
      <c r="G441" s="24">
        <f t="shared" si="76"/>
        <v>0.05</v>
      </c>
      <c r="H441" s="720"/>
      <c r="I441" s="24">
        <f t="shared" si="77"/>
        <v>0.05</v>
      </c>
      <c r="J441" s="720"/>
      <c r="K441" s="24">
        <f t="shared" si="78"/>
        <v>0.2</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0.02</v>
      </c>
      <c r="F442" s="720"/>
      <c r="G442" s="24">
        <f t="shared" si="76"/>
        <v>0.05</v>
      </c>
      <c r="H442" s="720"/>
      <c r="I442" s="24">
        <f t="shared" si="77"/>
        <v>0.05</v>
      </c>
      <c r="J442" s="720"/>
      <c r="K442" s="24">
        <f t="shared" si="78"/>
        <v>0.2</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0.02</v>
      </c>
      <c r="F443" s="720"/>
      <c r="G443" s="24">
        <f t="shared" si="76"/>
        <v>0.05</v>
      </c>
      <c r="H443" s="720"/>
      <c r="I443" s="24">
        <f t="shared" si="77"/>
        <v>0.05</v>
      </c>
      <c r="J443" s="720"/>
      <c r="K443" s="24">
        <f t="shared" si="78"/>
        <v>0.2</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0.02</v>
      </c>
      <c r="F444" s="720"/>
      <c r="G444" s="24">
        <f t="shared" si="76"/>
        <v>0.05</v>
      </c>
      <c r="H444" s="720"/>
      <c r="I444" s="24">
        <f t="shared" si="77"/>
        <v>0.05</v>
      </c>
      <c r="J444" s="720"/>
      <c r="K444" s="24">
        <f t="shared" si="78"/>
        <v>0.2</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0.02</v>
      </c>
      <c r="F445" s="720"/>
      <c r="G445" s="24">
        <f t="shared" si="76"/>
        <v>0.05</v>
      </c>
      <c r="H445" s="720"/>
      <c r="I445" s="24">
        <f t="shared" si="77"/>
        <v>0.05</v>
      </c>
      <c r="J445" s="720"/>
      <c r="K445" s="24">
        <f t="shared" si="78"/>
        <v>0.2</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0.02</v>
      </c>
      <c r="F446" s="720"/>
      <c r="G446" s="24">
        <f t="shared" si="76"/>
        <v>0.05</v>
      </c>
      <c r="H446" s="720"/>
      <c r="I446" s="24">
        <f t="shared" si="77"/>
        <v>0.05</v>
      </c>
      <c r="J446" s="720"/>
      <c r="K446" s="24">
        <f t="shared" si="78"/>
        <v>0.2</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0.02</v>
      </c>
      <c r="F447" s="720"/>
      <c r="G447" s="24">
        <f t="shared" si="76"/>
        <v>0.05</v>
      </c>
      <c r="H447" s="720"/>
      <c r="I447" s="24">
        <f t="shared" si="77"/>
        <v>0.05</v>
      </c>
      <c r="J447" s="720"/>
      <c r="K447" s="24">
        <f t="shared" si="78"/>
        <v>0.2</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0.02</v>
      </c>
      <c r="F448" s="720"/>
      <c r="G448" s="24">
        <f t="shared" si="76"/>
        <v>0.05</v>
      </c>
      <c r="H448" s="720"/>
      <c r="I448" s="24">
        <f t="shared" si="77"/>
        <v>0.05</v>
      </c>
      <c r="J448" s="720"/>
      <c r="K448" s="24">
        <f t="shared" si="78"/>
        <v>0.2</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0.02</v>
      </c>
      <c r="F449" s="720"/>
      <c r="G449" s="24">
        <f t="shared" si="76"/>
        <v>0.05</v>
      </c>
      <c r="H449" s="720"/>
      <c r="I449" s="24">
        <f t="shared" si="77"/>
        <v>0.05</v>
      </c>
      <c r="J449" s="720"/>
      <c r="K449" s="24">
        <f t="shared" si="78"/>
        <v>0.2</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0.02</v>
      </c>
      <c r="F450" s="720"/>
      <c r="G450" s="24">
        <f t="shared" si="76"/>
        <v>0.05</v>
      </c>
      <c r="H450" s="720"/>
      <c r="I450" s="24">
        <f t="shared" si="77"/>
        <v>0.05</v>
      </c>
      <c r="J450" s="720"/>
      <c r="K450" s="24">
        <f t="shared" si="78"/>
        <v>0.2</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0.02</v>
      </c>
      <c r="F451" s="720"/>
      <c r="G451" s="24">
        <f t="shared" si="76"/>
        <v>0.05</v>
      </c>
      <c r="H451" s="720"/>
      <c r="I451" s="24">
        <f t="shared" si="77"/>
        <v>0.05</v>
      </c>
      <c r="J451" s="720"/>
      <c r="K451" s="24">
        <f t="shared" si="78"/>
        <v>0.2</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0.02</v>
      </c>
      <c r="F452" s="720"/>
      <c r="G452" s="24">
        <f t="shared" si="76"/>
        <v>0.05</v>
      </c>
      <c r="H452" s="720"/>
      <c r="I452" s="24">
        <f t="shared" si="77"/>
        <v>0.05</v>
      </c>
      <c r="J452" s="720"/>
      <c r="K452" s="24">
        <f t="shared" si="78"/>
        <v>0.2</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0.02</v>
      </c>
      <c r="F453" s="720"/>
      <c r="G453" s="24">
        <f t="shared" si="76"/>
        <v>0.05</v>
      </c>
      <c r="H453" s="720"/>
      <c r="I453" s="24">
        <f t="shared" si="77"/>
        <v>0.05</v>
      </c>
      <c r="J453" s="720"/>
      <c r="K453" s="24">
        <f t="shared" si="78"/>
        <v>0.2</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0.02</v>
      </c>
      <c r="F454" s="720"/>
      <c r="G454" s="24">
        <f t="shared" si="76"/>
        <v>0.05</v>
      </c>
      <c r="H454" s="720"/>
      <c r="I454" s="24">
        <f t="shared" si="77"/>
        <v>0.05</v>
      </c>
      <c r="J454" s="720"/>
      <c r="K454" s="24">
        <f t="shared" si="78"/>
        <v>0.2</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0.02</v>
      </c>
      <c r="F455" s="720"/>
      <c r="G455" s="24">
        <f t="shared" si="76"/>
        <v>0.05</v>
      </c>
      <c r="H455" s="720"/>
      <c r="I455" s="24">
        <f t="shared" si="77"/>
        <v>0.05</v>
      </c>
      <c r="J455" s="720"/>
      <c r="K455" s="24">
        <f t="shared" si="78"/>
        <v>0.2</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0.02</v>
      </c>
      <c r="F456" s="720"/>
      <c r="G456" s="24">
        <f t="shared" si="76"/>
        <v>0.05</v>
      </c>
      <c r="H456" s="720"/>
      <c r="I456" s="24">
        <f t="shared" si="77"/>
        <v>0.05</v>
      </c>
      <c r="J456" s="720"/>
      <c r="K456" s="24">
        <f t="shared" si="78"/>
        <v>0.2</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0.02</v>
      </c>
      <c r="F457" s="720"/>
      <c r="G457" s="24">
        <f t="shared" si="76"/>
        <v>0.05</v>
      </c>
      <c r="H457" s="720"/>
      <c r="I457" s="24">
        <f t="shared" si="77"/>
        <v>0.05</v>
      </c>
      <c r="J457" s="720"/>
      <c r="K457" s="24">
        <f t="shared" si="78"/>
        <v>0.2</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0.02</v>
      </c>
      <c r="F458" s="720"/>
      <c r="G458" s="24">
        <f t="shared" si="76"/>
        <v>0.05</v>
      </c>
      <c r="H458" s="720"/>
      <c r="I458" s="24">
        <f t="shared" si="77"/>
        <v>0.05</v>
      </c>
      <c r="J458" s="720"/>
      <c r="K458" s="24">
        <f t="shared" si="78"/>
        <v>0.2</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0.02</v>
      </c>
      <c r="F459" s="720"/>
      <c r="G459" s="24">
        <f t="shared" si="76"/>
        <v>0.05</v>
      </c>
      <c r="H459" s="720"/>
      <c r="I459" s="24">
        <f t="shared" si="77"/>
        <v>0.05</v>
      </c>
      <c r="J459" s="720"/>
      <c r="K459" s="24">
        <f t="shared" si="78"/>
        <v>0.2</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0.02</v>
      </c>
      <c r="F460" s="720"/>
      <c r="G460" s="24">
        <f t="shared" si="76"/>
        <v>0.05</v>
      </c>
      <c r="H460" s="720"/>
      <c r="I460" s="24">
        <f t="shared" si="77"/>
        <v>0.05</v>
      </c>
      <c r="J460" s="720"/>
      <c r="K460" s="24">
        <f t="shared" si="78"/>
        <v>0.2</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0.02</v>
      </c>
      <c r="F461" s="720"/>
      <c r="G461" s="24">
        <f t="shared" si="76"/>
        <v>0.05</v>
      </c>
      <c r="H461" s="720"/>
      <c r="I461" s="24">
        <f t="shared" si="77"/>
        <v>0.05</v>
      </c>
      <c r="J461" s="720"/>
      <c r="K461" s="24">
        <f t="shared" si="78"/>
        <v>0.2</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0.02</v>
      </c>
      <c r="F462" s="720"/>
      <c r="G462" s="24">
        <f t="shared" si="76"/>
        <v>0.05</v>
      </c>
      <c r="H462" s="720"/>
      <c r="I462" s="24">
        <f t="shared" si="77"/>
        <v>0.05</v>
      </c>
      <c r="J462" s="720"/>
      <c r="K462" s="24">
        <f t="shared" si="78"/>
        <v>0.2</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0.02</v>
      </c>
      <c r="F463" s="720"/>
      <c r="G463" s="24">
        <f t="shared" si="76"/>
        <v>0.05</v>
      </c>
      <c r="H463" s="720"/>
      <c r="I463" s="24">
        <f t="shared" si="77"/>
        <v>0.05</v>
      </c>
      <c r="J463" s="720"/>
      <c r="K463" s="24">
        <f t="shared" si="78"/>
        <v>0.2</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0.02</v>
      </c>
      <c r="F464" s="720"/>
      <c r="G464" s="24">
        <f t="shared" si="76"/>
        <v>0.05</v>
      </c>
      <c r="H464" s="720"/>
      <c r="I464" s="24">
        <f t="shared" si="77"/>
        <v>0.05</v>
      </c>
      <c r="J464" s="720"/>
      <c r="K464" s="24">
        <f t="shared" si="78"/>
        <v>0.2</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0.02</v>
      </c>
      <c r="F465" s="720"/>
      <c r="G465" s="24">
        <f t="shared" si="76"/>
        <v>0.05</v>
      </c>
      <c r="H465" s="720"/>
      <c r="I465" s="24">
        <f t="shared" si="77"/>
        <v>0.05</v>
      </c>
      <c r="J465" s="720"/>
      <c r="K465" s="24">
        <f t="shared" si="78"/>
        <v>0.2</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0.02</v>
      </c>
      <c r="F466" s="720"/>
      <c r="G466" s="24">
        <f t="shared" si="76"/>
        <v>0.05</v>
      </c>
      <c r="H466" s="720"/>
      <c r="I466" s="24">
        <f t="shared" si="77"/>
        <v>0.05</v>
      </c>
      <c r="J466" s="720"/>
      <c r="K466" s="24">
        <f t="shared" si="78"/>
        <v>0.2</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0.02</v>
      </c>
      <c r="F467" s="720"/>
      <c r="G467" s="24">
        <f t="shared" si="76"/>
        <v>0.05</v>
      </c>
      <c r="H467" s="720"/>
      <c r="I467" s="24">
        <f t="shared" si="77"/>
        <v>0.05</v>
      </c>
      <c r="J467" s="720"/>
      <c r="K467" s="24">
        <f t="shared" si="78"/>
        <v>0.2</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0.02</v>
      </c>
      <c r="F468" s="720"/>
      <c r="G468" s="24">
        <f t="shared" si="76"/>
        <v>0.05</v>
      </c>
      <c r="H468" s="720"/>
      <c r="I468" s="24">
        <f t="shared" si="77"/>
        <v>0.05</v>
      </c>
      <c r="J468" s="720"/>
      <c r="K468" s="24">
        <f t="shared" si="78"/>
        <v>0.2</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0.02</v>
      </c>
      <c r="F469" s="720"/>
      <c r="G469" s="24">
        <f t="shared" si="76"/>
        <v>0.05</v>
      </c>
      <c r="H469" s="720"/>
      <c r="I469" s="24">
        <f t="shared" si="77"/>
        <v>0.05</v>
      </c>
      <c r="J469" s="720"/>
      <c r="K469" s="24">
        <f t="shared" si="78"/>
        <v>0.2</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0.02</v>
      </c>
      <c r="F470" s="720"/>
      <c r="G470" s="24">
        <f t="shared" si="76"/>
        <v>0.05</v>
      </c>
      <c r="H470" s="720"/>
      <c r="I470" s="24">
        <f t="shared" si="77"/>
        <v>0.05</v>
      </c>
      <c r="J470" s="720"/>
      <c r="K470" s="24">
        <f t="shared" si="78"/>
        <v>0.2</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0.02</v>
      </c>
      <c r="F471" s="720"/>
      <c r="G471" s="24">
        <f t="shared" si="76"/>
        <v>0.05</v>
      </c>
      <c r="H471" s="720"/>
      <c r="I471" s="24">
        <f t="shared" si="77"/>
        <v>0.05</v>
      </c>
      <c r="J471" s="720"/>
      <c r="K471" s="24">
        <f t="shared" si="78"/>
        <v>0.2</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0.02</v>
      </c>
      <c r="F472" s="720"/>
      <c r="G472" s="24">
        <f t="shared" si="76"/>
        <v>0.05</v>
      </c>
      <c r="H472" s="720"/>
      <c r="I472" s="24">
        <f t="shared" si="77"/>
        <v>0.05</v>
      </c>
      <c r="J472" s="720"/>
      <c r="K472" s="24">
        <f t="shared" si="78"/>
        <v>0.2</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0.02</v>
      </c>
      <c r="F473" s="720"/>
      <c r="G473" s="24">
        <f t="shared" si="76"/>
        <v>0.05</v>
      </c>
      <c r="H473" s="720"/>
      <c r="I473" s="24">
        <f t="shared" si="77"/>
        <v>0.05</v>
      </c>
      <c r="J473" s="720"/>
      <c r="K473" s="24">
        <f t="shared" si="78"/>
        <v>0.2</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0.02</v>
      </c>
      <c r="F474" s="720"/>
      <c r="G474" s="24">
        <f t="shared" ref="G474:G524" si="87">(SUMIF($7:$7,F474,$8:$8)-SUMIF($7:$7,$F$24,$8:$8)+100)/100</f>
        <v>0.05</v>
      </c>
      <c r="H474" s="720"/>
      <c r="I474" s="24">
        <f t="shared" ref="I474:I524" si="88">(SUMIF($9:$9,H474,$10:$10)-SUMIF($9:$9,$H$24,$10:$10)+100)/100</f>
        <v>0.05</v>
      </c>
      <c r="J474" s="720"/>
      <c r="K474" s="24">
        <f t="shared" ref="K474:K524" si="89">(SUMIF($11:$11,J474,$12:$12)-SUMIF($11:$11,$J$24,$12:$12)+100)/100</f>
        <v>0.2</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0.02</v>
      </c>
      <c r="F475" s="720"/>
      <c r="G475" s="24">
        <f t="shared" si="87"/>
        <v>0.05</v>
      </c>
      <c r="H475" s="720"/>
      <c r="I475" s="24">
        <f t="shared" si="88"/>
        <v>0.05</v>
      </c>
      <c r="J475" s="720"/>
      <c r="K475" s="24">
        <f t="shared" si="89"/>
        <v>0.2</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0.02</v>
      </c>
      <c r="F476" s="720"/>
      <c r="G476" s="24">
        <f t="shared" si="87"/>
        <v>0.05</v>
      </c>
      <c r="H476" s="720"/>
      <c r="I476" s="24">
        <f t="shared" si="88"/>
        <v>0.05</v>
      </c>
      <c r="J476" s="720"/>
      <c r="K476" s="24">
        <f t="shared" si="89"/>
        <v>0.2</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0.02</v>
      </c>
      <c r="F477" s="720"/>
      <c r="G477" s="24">
        <f t="shared" si="87"/>
        <v>0.05</v>
      </c>
      <c r="H477" s="720"/>
      <c r="I477" s="24">
        <f t="shared" si="88"/>
        <v>0.05</v>
      </c>
      <c r="J477" s="720"/>
      <c r="K477" s="24">
        <f t="shared" si="89"/>
        <v>0.2</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0.02</v>
      </c>
      <c r="F478" s="720"/>
      <c r="G478" s="24">
        <f t="shared" si="87"/>
        <v>0.05</v>
      </c>
      <c r="H478" s="720"/>
      <c r="I478" s="24">
        <f t="shared" si="88"/>
        <v>0.05</v>
      </c>
      <c r="J478" s="720"/>
      <c r="K478" s="24">
        <f t="shared" si="89"/>
        <v>0.2</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0.02</v>
      </c>
      <c r="F479" s="720"/>
      <c r="G479" s="24">
        <f t="shared" si="87"/>
        <v>0.05</v>
      </c>
      <c r="H479" s="720"/>
      <c r="I479" s="24">
        <f t="shared" si="88"/>
        <v>0.05</v>
      </c>
      <c r="J479" s="720"/>
      <c r="K479" s="24">
        <f t="shared" si="89"/>
        <v>0.2</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0.02</v>
      </c>
      <c r="F480" s="720"/>
      <c r="G480" s="24">
        <f t="shared" si="87"/>
        <v>0.05</v>
      </c>
      <c r="H480" s="720"/>
      <c r="I480" s="24">
        <f t="shared" si="88"/>
        <v>0.05</v>
      </c>
      <c r="J480" s="720"/>
      <c r="K480" s="24">
        <f t="shared" si="89"/>
        <v>0.2</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0.02</v>
      </c>
      <c r="F481" s="720"/>
      <c r="G481" s="24">
        <f t="shared" si="87"/>
        <v>0.05</v>
      </c>
      <c r="H481" s="720"/>
      <c r="I481" s="24">
        <f t="shared" si="88"/>
        <v>0.05</v>
      </c>
      <c r="J481" s="720"/>
      <c r="K481" s="24">
        <f t="shared" si="89"/>
        <v>0.2</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0.02</v>
      </c>
      <c r="F482" s="720"/>
      <c r="G482" s="24">
        <f t="shared" si="87"/>
        <v>0.05</v>
      </c>
      <c r="H482" s="720"/>
      <c r="I482" s="24">
        <f t="shared" si="88"/>
        <v>0.05</v>
      </c>
      <c r="J482" s="720"/>
      <c r="K482" s="24">
        <f t="shared" si="89"/>
        <v>0.2</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0.02</v>
      </c>
      <c r="F483" s="720"/>
      <c r="G483" s="24">
        <f t="shared" si="87"/>
        <v>0.05</v>
      </c>
      <c r="H483" s="720"/>
      <c r="I483" s="24">
        <f t="shared" si="88"/>
        <v>0.05</v>
      </c>
      <c r="J483" s="720"/>
      <c r="K483" s="24">
        <f t="shared" si="89"/>
        <v>0.2</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0.02</v>
      </c>
      <c r="F484" s="720"/>
      <c r="G484" s="24">
        <f t="shared" si="87"/>
        <v>0.05</v>
      </c>
      <c r="H484" s="720"/>
      <c r="I484" s="24">
        <f t="shared" si="88"/>
        <v>0.05</v>
      </c>
      <c r="J484" s="720"/>
      <c r="K484" s="24">
        <f t="shared" si="89"/>
        <v>0.2</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0.02</v>
      </c>
      <c r="F485" s="720"/>
      <c r="G485" s="24">
        <f t="shared" si="87"/>
        <v>0.05</v>
      </c>
      <c r="H485" s="720"/>
      <c r="I485" s="24">
        <f t="shared" si="88"/>
        <v>0.05</v>
      </c>
      <c r="J485" s="720"/>
      <c r="K485" s="24">
        <f t="shared" si="89"/>
        <v>0.2</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0.02</v>
      </c>
      <c r="F486" s="720"/>
      <c r="G486" s="24">
        <f t="shared" si="87"/>
        <v>0.05</v>
      </c>
      <c r="H486" s="720"/>
      <c r="I486" s="24">
        <f t="shared" si="88"/>
        <v>0.05</v>
      </c>
      <c r="J486" s="720"/>
      <c r="K486" s="24">
        <f t="shared" si="89"/>
        <v>0.2</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0.02</v>
      </c>
      <c r="F487" s="720"/>
      <c r="G487" s="24">
        <f t="shared" si="87"/>
        <v>0.05</v>
      </c>
      <c r="H487" s="720"/>
      <c r="I487" s="24">
        <f t="shared" si="88"/>
        <v>0.05</v>
      </c>
      <c r="J487" s="720"/>
      <c r="K487" s="24">
        <f t="shared" si="89"/>
        <v>0.2</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0.02</v>
      </c>
      <c r="F488" s="720"/>
      <c r="G488" s="24">
        <f t="shared" si="87"/>
        <v>0.05</v>
      </c>
      <c r="H488" s="720"/>
      <c r="I488" s="24">
        <f t="shared" si="88"/>
        <v>0.05</v>
      </c>
      <c r="J488" s="720"/>
      <c r="K488" s="24">
        <f t="shared" si="89"/>
        <v>0.2</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0.02</v>
      </c>
      <c r="F489" s="720"/>
      <c r="G489" s="24">
        <f t="shared" si="87"/>
        <v>0.05</v>
      </c>
      <c r="H489" s="720"/>
      <c r="I489" s="24">
        <f t="shared" si="88"/>
        <v>0.05</v>
      </c>
      <c r="J489" s="720"/>
      <c r="K489" s="24">
        <f t="shared" si="89"/>
        <v>0.2</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0.02</v>
      </c>
      <c r="F490" s="720"/>
      <c r="G490" s="24">
        <f t="shared" si="87"/>
        <v>0.05</v>
      </c>
      <c r="H490" s="720"/>
      <c r="I490" s="24">
        <f t="shared" si="88"/>
        <v>0.05</v>
      </c>
      <c r="J490" s="720"/>
      <c r="K490" s="24">
        <f t="shared" si="89"/>
        <v>0.2</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0.02</v>
      </c>
      <c r="F491" s="720"/>
      <c r="G491" s="24">
        <f t="shared" si="87"/>
        <v>0.05</v>
      </c>
      <c r="H491" s="720"/>
      <c r="I491" s="24">
        <f t="shared" si="88"/>
        <v>0.05</v>
      </c>
      <c r="J491" s="720"/>
      <c r="K491" s="24">
        <f t="shared" si="89"/>
        <v>0.2</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0.02</v>
      </c>
      <c r="F492" s="720"/>
      <c r="G492" s="24">
        <f t="shared" si="87"/>
        <v>0.05</v>
      </c>
      <c r="H492" s="720"/>
      <c r="I492" s="24">
        <f t="shared" si="88"/>
        <v>0.05</v>
      </c>
      <c r="J492" s="720"/>
      <c r="K492" s="24">
        <f t="shared" si="89"/>
        <v>0.2</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0.02</v>
      </c>
      <c r="F493" s="720"/>
      <c r="G493" s="24">
        <f t="shared" si="87"/>
        <v>0.05</v>
      </c>
      <c r="H493" s="720"/>
      <c r="I493" s="24">
        <f t="shared" si="88"/>
        <v>0.05</v>
      </c>
      <c r="J493" s="720"/>
      <c r="K493" s="24">
        <f t="shared" si="89"/>
        <v>0.2</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0.02</v>
      </c>
      <c r="F494" s="720"/>
      <c r="G494" s="24">
        <f t="shared" si="87"/>
        <v>0.05</v>
      </c>
      <c r="H494" s="720"/>
      <c r="I494" s="24">
        <f t="shared" si="88"/>
        <v>0.05</v>
      </c>
      <c r="J494" s="720"/>
      <c r="K494" s="24">
        <f t="shared" si="89"/>
        <v>0.2</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0.02</v>
      </c>
      <c r="F495" s="720"/>
      <c r="G495" s="24">
        <f t="shared" si="87"/>
        <v>0.05</v>
      </c>
      <c r="H495" s="720"/>
      <c r="I495" s="24">
        <f t="shared" si="88"/>
        <v>0.05</v>
      </c>
      <c r="J495" s="720"/>
      <c r="K495" s="24">
        <f t="shared" si="89"/>
        <v>0.2</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0.02</v>
      </c>
      <c r="F496" s="720"/>
      <c r="G496" s="24">
        <f t="shared" si="87"/>
        <v>0.05</v>
      </c>
      <c r="H496" s="720"/>
      <c r="I496" s="24">
        <f t="shared" si="88"/>
        <v>0.05</v>
      </c>
      <c r="J496" s="720"/>
      <c r="K496" s="24">
        <f t="shared" si="89"/>
        <v>0.2</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0.02</v>
      </c>
      <c r="F497" s="720"/>
      <c r="G497" s="24">
        <f t="shared" si="87"/>
        <v>0.05</v>
      </c>
      <c r="H497" s="720"/>
      <c r="I497" s="24">
        <f t="shared" si="88"/>
        <v>0.05</v>
      </c>
      <c r="J497" s="720"/>
      <c r="K497" s="24">
        <f t="shared" si="89"/>
        <v>0.2</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0.02</v>
      </c>
      <c r="F498" s="720"/>
      <c r="G498" s="24">
        <f t="shared" si="87"/>
        <v>0.05</v>
      </c>
      <c r="H498" s="720"/>
      <c r="I498" s="24">
        <f t="shared" si="88"/>
        <v>0.05</v>
      </c>
      <c r="J498" s="720"/>
      <c r="K498" s="24">
        <f t="shared" si="89"/>
        <v>0.2</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0.02</v>
      </c>
      <c r="F499" s="720"/>
      <c r="G499" s="24">
        <f t="shared" si="87"/>
        <v>0.05</v>
      </c>
      <c r="H499" s="720"/>
      <c r="I499" s="24">
        <f t="shared" si="88"/>
        <v>0.05</v>
      </c>
      <c r="J499" s="720"/>
      <c r="K499" s="24">
        <f t="shared" si="89"/>
        <v>0.2</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0.02</v>
      </c>
      <c r="F500" s="720"/>
      <c r="G500" s="24">
        <f t="shared" si="87"/>
        <v>0.05</v>
      </c>
      <c r="H500" s="720"/>
      <c r="I500" s="24">
        <f t="shared" si="88"/>
        <v>0.05</v>
      </c>
      <c r="J500" s="720"/>
      <c r="K500" s="24">
        <f t="shared" si="89"/>
        <v>0.2</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0.02</v>
      </c>
      <c r="F501" s="720"/>
      <c r="G501" s="24">
        <f t="shared" si="87"/>
        <v>0.05</v>
      </c>
      <c r="H501" s="720"/>
      <c r="I501" s="24">
        <f t="shared" si="88"/>
        <v>0.05</v>
      </c>
      <c r="J501" s="720"/>
      <c r="K501" s="24">
        <f t="shared" si="89"/>
        <v>0.2</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0.02</v>
      </c>
      <c r="F502" s="720"/>
      <c r="G502" s="24">
        <f t="shared" si="87"/>
        <v>0.05</v>
      </c>
      <c r="H502" s="720"/>
      <c r="I502" s="24">
        <f t="shared" si="88"/>
        <v>0.05</v>
      </c>
      <c r="J502" s="720"/>
      <c r="K502" s="24">
        <f t="shared" si="89"/>
        <v>0.2</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0.02</v>
      </c>
      <c r="F503" s="720"/>
      <c r="G503" s="24">
        <f t="shared" si="87"/>
        <v>0.05</v>
      </c>
      <c r="H503" s="720"/>
      <c r="I503" s="24">
        <f t="shared" si="88"/>
        <v>0.05</v>
      </c>
      <c r="J503" s="720"/>
      <c r="K503" s="24">
        <f t="shared" si="89"/>
        <v>0.2</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0.02</v>
      </c>
      <c r="F504" s="720"/>
      <c r="G504" s="24">
        <f t="shared" si="87"/>
        <v>0.05</v>
      </c>
      <c r="H504" s="720"/>
      <c r="I504" s="24">
        <f t="shared" si="88"/>
        <v>0.05</v>
      </c>
      <c r="J504" s="720"/>
      <c r="K504" s="24">
        <f t="shared" si="89"/>
        <v>0.2</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0.02</v>
      </c>
      <c r="F505" s="720"/>
      <c r="G505" s="24">
        <f t="shared" si="87"/>
        <v>0.05</v>
      </c>
      <c r="H505" s="720"/>
      <c r="I505" s="24">
        <f t="shared" si="88"/>
        <v>0.05</v>
      </c>
      <c r="J505" s="720"/>
      <c r="K505" s="24">
        <f t="shared" si="89"/>
        <v>0.2</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0.02</v>
      </c>
      <c r="F506" s="720"/>
      <c r="G506" s="24">
        <f t="shared" si="87"/>
        <v>0.05</v>
      </c>
      <c r="H506" s="720"/>
      <c r="I506" s="24">
        <f t="shared" si="88"/>
        <v>0.05</v>
      </c>
      <c r="J506" s="720"/>
      <c r="K506" s="24">
        <f t="shared" si="89"/>
        <v>0.2</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0.02</v>
      </c>
      <c r="F507" s="720"/>
      <c r="G507" s="24">
        <f t="shared" si="87"/>
        <v>0.05</v>
      </c>
      <c r="H507" s="720"/>
      <c r="I507" s="24">
        <f t="shared" si="88"/>
        <v>0.05</v>
      </c>
      <c r="J507" s="720"/>
      <c r="K507" s="24">
        <f t="shared" si="89"/>
        <v>0.2</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0.02</v>
      </c>
      <c r="F508" s="720"/>
      <c r="G508" s="24">
        <f t="shared" si="87"/>
        <v>0.05</v>
      </c>
      <c r="H508" s="720"/>
      <c r="I508" s="24">
        <f t="shared" si="88"/>
        <v>0.05</v>
      </c>
      <c r="J508" s="720"/>
      <c r="K508" s="24">
        <f t="shared" si="89"/>
        <v>0.2</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0.02</v>
      </c>
      <c r="F509" s="720"/>
      <c r="G509" s="24">
        <f t="shared" si="87"/>
        <v>0.05</v>
      </c>
      <c r="H509" s="720"/>
      <c r="I509" s="24">
        <f t="shared" si="88"/>
        <v>0.05</v>
      </c>
      <c r="J509" s="720"/>
      <c r="K509" s="24">
        <f t="shared" si="89"/>
        <v>0.2</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0.02</v>
      </c>
      <c r="F510" s="720"/>
      <c r="G510" s="24">
        <f t="shared" si="87"/>
        <v>0.05</v>
      </c>
      <c r="H510" s="720"/>
      <c r="I510" s="24">
        <f t="shared" si="88"/>
        <v>0.05</v>
      </c>
      <c r="J510" s="720"/>
      <c r="K510" s="24">
        <f t="shared" si="89"/>
        <v>0.2</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0.02</v>
      </c>
      <c r="F511" s="720"/>
      <c r="G511" s="24">
        <f t="shared" si="87"/>
        <v>0.05</v>
      </c>
      <c r="H511" s="720"/>
      <c r="I511" s="24">
        <f t="shared" si="88"/>
        <v>0.05</v>
      </c>
      <c r="J511" s="720"/>
      <c r="K511" s="24">
        <f t="shared" si="89"/>
        <v>0.2</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0.02</v>
      </c>
      <c r="F512" s="720"/>
      <c r="G512" s="24">
        <f t="shared" si="87"/>
        <v>0.05</v>
      </c>
      <c r="H512" s="720"/>
      <c r="I512" s="24">
        <f t="shared" si="88"/>
        <v>0.05</v>
      </c>
      <c r="J512" s="720"/>
      <c r="K512" s="24">
        <f t="shared" si="89"/>
        <v>0.2</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0.02</v>
      </c>
      <c r="F513" s="720"/>
      <c r="G513" s="24">
        <f t="shared" si="87"/>
        <v>0.05</v>
      </c>
      <c r="H513" s="720"/>
      <c r="I513" s="24">
        <f t="shared" si="88"/>
        <v>0.05</v>
      </c>
      <c r="J513" s="720"/>
      <c r="K513" s="24">
        <f t="shared" si="89"/>
        <v>0.2</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0.02</v>
      </c>
      <c r="F514" s="720"/>
      <c r="G514" s="24">
        <f t="shared" si="87"/>
        <v>0.05</v>
      </c>
      <c r="H514" s="720"/>
      <c r="I514" s="24">
        <f t="shared" si="88"/>
        <v>0.05</v>
      </c>
      <c r="J514" s="720"/>
      <c r="K514" s="24">
        <f t="shared" si="89"/>
        <v>0.2</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0.02</v>
      </c>
      <c r="F515" s="720"/>
      <c r="G515" s="24">
        <f t="shared" si="87"/>
        <v>0.05</v>
      </c>
      <c r="H515" s="720"/>
      <c r="I515" s="24">
        <f t="shared" si="88"/>
        <v>0.05</v>
      </c>
      <c r="J515" s="720"/>
      <c r="K515" s="24">
        <f t="shared" si="89"/>
        <v>0.2</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0.02</v>
      </c>
      <c r="F516" s="720"/>
      <c r="G516" s="24">
        <f t="shared" si="87"/>
        <v>0.05</v>
      </c>
      <c r="H516" s="720"/>
      <c r="I516" s="24">
        <f t="shared" si="88"/>
        <v>0.05</v>
      </c>
      <c r="J516" s="720"/>
      <c r="K516" s="24">
        <f t="shared" si="89"/>
        <v>0.2</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0.02</v>
      </c>
      <c r="F517" s="720"/>
      <c r="G517" s="24">
        <f t="shared" si="87"/>
        <v>0.05</v>
      </c>
      <c r="H517" s="720"/>
      <c r="I517" s="24">
        <f t="shared" si="88"/>
        <v>0.05</v>
      </c>
      <c r="J517" s="720"/>
      <c r="K517" s="24">
        <f t="shared" si="89"/>
        <v>0.2</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0.02</v>
      </c>
      <c r="F518" s="720"/>
      <c r="G518" s="24">
        <f t="shared" si="87"/>
        <v>0.05</v>
      </c>
      <c r="H518" s="720"/>
      <c r="I518" s="24">
        <f t="shared" si="88"/>
        <v>0.05</v>
      </c>
      <c r="J518" s="720"/>
      <c r="K518" s="24">
        <f t="shared" si="89"/>
        <v>0.2</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0.02</v>
      </c>
      <c r="F519" s="720"/>
      <c r="G519" s="24">
        <f t="shared" si="87"/>
        <v>0.05</v>
      </c>
      <c r="H519" s="720"/>
      <c r="I519" s="24">
        <f t="shared" si="88"/>
        <v>0.05</v>
      </c>
      <c r="J519" s="720"/>
      <c r="K519" s="24">
        <f t="shared" si="89"/>
        <v>0.2</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0.02</v>
      </c>
      <c r="F520" s="720"/>
      <c r="G520" s="24">
        <f t="shared" si="87"/>
        <v>0.05</v>
      </c>
      <c r="H520" s="720"/>
      <c r="I520" s="24">
        <f t="shared" si="88"/>
        <v>0.05</v>
      </c>
      <c r="J520" s="720"/>
      <c r="K520" s="24">
        <f t="shared" si="89"/>
        <v>0.2</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0.02</v>
      </c>
      <c r="F521" s="720"/>
      <c r="G521" s="24">
        <f t="shared" si="87"/>
        <v>0.05</v>
      </c>
      <c r="H521" s="720"/>
      <c r="I521" s="24">
        <f t="shared" si="88"/>
        <v>0.05</v>
      </c>
      <c r="J521" s="720"/>
      <c r="K521" s="24">
        <f t="shared" si="89"/>
        <v>0.2</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0.02</v>
      </c>
      <c r="F522" s="720"/>
      <c r="G522" s="24">
        <f t="shared" si="87"/>
        <v>0.05</v>
      </c>
      <c r="H522" s="720"/>
      <c r="I522" s="24">
        <f t="shared" si="88"/>
        <v>0.05</v>
      </c>
      <c r="J522" s="720"/>
      <c r="K522" s="24">
        <f t="shared" si="89"/>
        <v>0.2</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0.02</v>
      </c>
      <c r="F523" s="720"/>
      <c r="G523" s="24">
        <f t="shared" si="87"/>
        <v>0.05</v>
      </c>
      <c r="H523" s="720"/>
      <c r="I523" s="24">
        <f t="shared" si="88"/>
        <v>0.05</v>
      </c>
      <c r="J523" s="720"/>
      <c r="K523" s="24">
        <f t="shared" si="89"/>
        <v>0.2</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0.02</v>
      </c>
      <c r="F524" s="720"/>
      <c r="G524" s="24">
        <f t="shared" si="87"/>
        <v>0.05</v>
      </c>
      <c r="H524" s="720"/>
      <c r="I524" s="24">
        <f t="shared" si="88"/>
        <v>0.05</v>
      </c>
      <c r="J524" s="720"/>
      <c r="K524" s="24">
        <f t="shared" si="89"/>
        <v>0.2</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view="pageBreakPreview" zoomScaleNormal="100" zoomScaleSheetLayoutView="100" workbookViewId="0">
      <selection activeCell="E17" sqref="E17:H17"/>
    </sheetView>
  </sheetViews>
  <sheetFormatPr defaultRowHeight="13.5"/>
  <cols>
    <col min="1" max="1" width="9" style="2950"/>
    <col min="2" max="2" width="18.375" style="2950" customWidth="1"/>
    <col min="3" max="257" width="9" style="2950"/>
    <col min="258" max="258" width="18.375" style="2950" customWidth="1"/>
    <col min="259" max="513" width="9" style="2950"/>
    <col min="514" max="514" width="18.375" style="2950" customWidth="1"/>
    <col min="515" max="769" width="9" style="2950"/>
    <col min="770" max="770" width="18.375" style="2950" customWidth="1"/>
    <col min="771" max="1025" width="9" style="2950"/>
    <col min="1026" max="1026" width="18.375" style="2950" customWidth="1"/>
    <col min="1027" max="1281" width="9" style="2950"/>
    <col min="1282" max="1282" width="18.375" style="2950" customWidth="1"/>
    <col min="1283" max="1537" width="9" style="2950"/>
    <col min="1538" max="1538" width="18.375" style="2950" customWidth="1"/>
    <col min="1539" max="1793" width="9" style="2950"/>
    <col min="1794" max="1794" width="18.375" style="2950" customWidth="1"/>
    <col min="1795" max="2049" width="9" style="2950"/>
    <col min="2050" max="2050" width="18.375" style="2950" customWidth="1"/>
    <col min="2051" max="2305" width="9" style="2950"/>
    <col min="2306" max="2306" width="18.375" style="2950" customWidth="1"/>
    <col min="2307" max="2561" width="9" style="2950"/>
    <col min="2562" max="2562" width="18.375" style="2950" customWidth="1"/>
    <col min="2563" max="2817" width="9" style="2950"/>
    <col min="2818" max="2818" width="18.375" style="2950" customWidth="1"/>
    <col min="2819" max="3073" width="9" style="2950"/>
    <col min="3074" max="3074" width="18.375" style="2950" customWidth="1"/>
    <col min="3075" max="3329" width="9" style="2950"/>
    <col min="3330" max="3330" width="18.375" style="2950" customWidth="1"/>
    <col min="3331" max="3585" width="9" style="2950"/>
    <col min="3586" max="3586" width="18.375" style="2950" customWidth="1"/>
    <col min="3587" max="3841" width="9" style="2950"/>
    <col min="3842" max="3842" width="18.375" style="2950" customWidth="1"/>
    <col min="3843" max="4097" width="9" style="2950"/>
    <col min="4098" max="4098" width="18.375" style="2950" customWidth="1"/>
    <col min="4099" max="4353" width="9" style="2950"/>
    <col min="4354" max="4354" width="18.375" style="2950" customWidth="1"/>
    <col min="4355" max="4609" width="9" style="2950"/>
    <col min="4610" max="4610" width="18.375" style="2950" customWidth="1"/>
    <col min="4611" max="4865" width="9" style="2950"/>
    <col min="4866" max="4866" width="18.375" style="2950" customWidth="1"/>
    <col min="4867" max="5121" width="9" style="2950"/>
    <col min="5122" max="5122" width="18.375" style="2950" customWidth="1"/>
    <col min="5123" max="5377" width="9" style="2950"/>
    <col min="5378" max="5378" width="18.375" style="2950" customWidth="1"/>
    <col min="5379" max="5633" width="9" style="2950"/>
    <col min="5634" max="5634" width="18.375" style="2950" customWidth="1"/>
    <col min="5635" max="5889" width="9" style="2950"/>
    <col min="5890" max="5890" width="18.375" style="2950" customWidth="1"/>
    <col min="5891" max="6145" width="9" style="2950"/>
    <col min="6146" max="6146" width="18.375" style="2950" customWidth="1"/>
    <col min="6147" max="6401" width="9" style="2950"/>
    <col min="6402" max="6402" width="18.375" style="2950" customWidth="1"/>
    <col min="6403" max="6657" width="9" style="2950"/>
    <col min="6658" max="6658" width="18.375" style="2950" customWidth="1"/>
    <col min="6659" max="6913" width="9" style="2950"/>
    <col min="6914" max="6914" width="18.375" style="2950" customWidth="1"/>
    <col min="6915" max="7169" width="9" style="2950"/>
    <col min="7170" max="7170" width="18.375" style="2950" customWidth="1"/>
    <col min="7171" max="7425" width="9" style="2950"/>
    <col min="7426" max="7426" width="18.375" style="2950" customWidth="1"/>
    <col min="7427" max="7681" width="9" style="2950"/>
    <col min="7682" max="7682" width="18.375" style="2950" customWidth="1"/>
    <col min="7683" max="7937" width="9" style="2950"/>
    <col min="7938" max="7938" width="18.375" style="2950" customWidth="1"/>
    <col min="7939" max="8193" width="9" style="2950"/>
    <col min="8194" max="8194" width="18.375" style="2950" customWidth="1"/>
    <col min="8195" max="8449" width="9" style="2950"/>
    <col min="8450" max="8450" width="18.375" style="2950" customWidth="1"/>
    <col min="8451" max="8705" width="9" style="2950"/>
    <col min="8706" max="8706" width="18.375" style="2950" customWidth="1"/>
    <col min="8707" max="8961" width="9" style="2950"/>
    <col min="8962" max="8962" width="18.375" style="2950" customWidth="1"/>
    <col min="8963" max="9217" width="9" style="2950"/>
    <col min="9218" max="9218" width="18.375" style="2950" customWidth="1"/>
    <col min="9219" max="9473" width="9" style="2950"/>
    <col min="9474" max="9474" width="18.375" style="2950" customWidth="1"/>
    <col min="9475" max="9729" width="9" style="2950"/>
    <col min="9730" max="9730" width="18.375" style="2950" customWidth="1"/>
    <col min="9731" max="9985" width="9" style="2950"/>
    <col min="9986" max="9986" width="18.375" style="2950" customWidth="1"/>
    <col min="9987" max="10241" width="9" style="2950"/>
    <col min="10242" max="10242" width="18.375" style="2950" customWidth="1"/>
    <col min="10243" max="10497" width="9" style="2950"/>
    <col min="10498" max="10498" width="18.375" style="2950" customWidth="1"/>
    <col min="10499" max="10753" width="9" style="2950"/>
    <col min="10754" max="10754" width="18.375" style="2950" customWidth="1"/>
    <col min="10755" max="11009" width="9" style="2950"/>
    <col min="11010" max="11010" width="18.375" style="2950" customWidth="1"/>
    <col min="11011" max="11265" width="9" style="2950"/>
    <col min="11266" max="11266" width="18.375" style="2950" customWidth="1"/>
    <col min="11267" max="11521" width="9" style="2950"/>
    <col min="11522" max="11522" width="18.375" style="2950" customWidth="1"/>
    <col min="11523" max="11777" width="9" style="2950"/>
    <col min="11778" max="11778" width="18.375" style="2950" customWidth="1"/>
    <col min="11779" max="12033" width="9" style="2950"/>
    <col min="12034" max="12034" width="18.375" style="2950" customWidth="1"/>
    <col min="12035" max="12289" width="9" style="2950"/>
    <col min="12290" max="12290" width="18.375" style="2950" customWidth="1"/>
    <col min="12291" max="12545" width="9" style="2950"/>
    <col min="12546" max="12546" width="18.375" style="2950" customWidth="1"/>
    <col min="12547" max="12801" width="9" style="2950"/>
    <col min="12802" max="12802" width="18.375" style="2950" customWidth="1"/>
    <col min="12803" max="13057" width="9" style="2950"/>
    <col min="13058" max="13058" width="18.375" style="2950" customWidth="1"/>
    <col min="13059" max="13313" width="9" style="2950"/>
    <col min="13314" max="13314" width="18.375" style="2950" customWidth="1"/>
    <col min="13315" max="13569" width="9" style="2950"/>
    <col min="13570" max="13570" width="18.375" style="2950" customWidth="1"/>
    <col min="13571" max="13825" width="9" style="2950"/>
    <col min="13826" max="13826" width="18.375" style="2950" customWidth="1"/>
    <col min="13827" max="14081" width="9" style="2950"/>
    <col min="14082" max="14082" width="18.375" style="2950" customWidth="1"/>
    <col min="14083" max="14337" width="9" style="2950"/>
    <col min="14338" max="14338" width="18.375" style="2950" customWidth="1"/>
    <col min="14339" max="14593" width="9" style="2950"/>
    <col min="14594" max="14594" width="18.375" style="2950" customWidth="1"/>
    <col min="14595" max="14849" width="9" style="2950"/>
    <col min="14850" max="14850" width="18.375" style="2950" customWidth="1"/>
    <col min="14851" max="15105" width="9" style="2950"/>
    <col min="15106" max="15106" width="18.375" style="2950" customWidth="1"/>
    <col min="15107" max="15361" width="9" style="2950"/>
    <col min="15362" max="15362" width="18.375" style="2950" customWidth="1"/>
    <col min="15363" max="15617" width="9" style="2950"/>
    <col min="15618" max="15618" width="18.375" style="2950" customWidth="1"/>
    <col min="15619" max="15873" width="9" style="2950"/>
    <col min="15874" max="15874" width="18.375" style="2950" customWidth="1"/>
    <col min="15875" max="16129" width="9" style="2950"/>
    <col min="16130" max="16130" width="18.375" style="2950" customWidth="1"/>
    <col min="16131" max="16384" width="9" style="2950"/>
  </cols>
  <sheetData>
    <row r="1" spans="1:10">
      <c r="A1" s="3298" t="s">
        <v>3138</v>
      </c>
      <c r="B1" s="3304"/>
      <c r="C1" s="3304"/>
      <c r="D1" s="3304"/>
      <c r="E1" s="3304"/>
      <c r="F1" s="3304"/>
      <c r="G1" s="3304"/>
      <c r="H1" s="3299"/>
      <c r="I1" s="2948"/>
      <c r="J1" s="2949"/>
    </row>
    <row r="2" spans="1:10" ht="24">
      <c r="A2" s="2951" t="s">
        <v>3139</v>
      </c>
      <c r="B2" s="2951">
        <f>ROUND(D2/F2,2)</f>
        <v>1266.6500000000001</v>
      </c>
      <c r="C2" s="2951" t="s">
        <v>3140</v>
      </c>
      <c r="D2" s="2949">
        <f>'数据-汇总表'!E3</f>
        <v>1266.6499999999999</v>
      </c>
      <c r="E2" s="2951" t="s">
        <v>3141</v>
      </c>
      <c r="F2" s="2951">
        <v>1</v>
      </c>
      <c r="G2" s="2951" t="s">
        <v>3142</v>
      </c>
      <c r="H2" s="2951" t="s">
        <v>3143</v>
      </c>
      <c r="I2" s="2949"/>
      <c r="J2" s="2949"/>
    </row>
    <row r="3" spans="1:10" ht="36">
      <c r="A3" s="2951" t="s">
        <v>3144</v>
      </c>
      <c r="B3" s="3300" t="s">
        <v>3145</v>
      </c>
      <c r="C3" s="3302"/>
      <c r="D3" s="3301"/>
      <c r="E3" s="2952" t="s">
        <v>3146</v>
      </c>
      <c r="F3" s="2953">
        <f>I4</f>
        <v>1100</v>
      </c>
      <c r="G3" s="3310" t="s">
        <v>3147</v>
      </c>
      <c r="H3" s="3311"/>
      <c r="I3" s="2948">
        <v>880</v>
      </c>
      <c r="J3" s="2949">
        <v>1320</v>
      </c>
    </row>
    <row r="4" spans="1:10" ht="24">
      <c r="A4" s="2952" t="s">
        <v>3148</v>
      </c>
      <c r="B4" s="2989">
        <v>2.4420000000000002</v>
      </c>
      <c r="C4" s="2954"/>
      <c r="D4" s="2954"/>
      <c r="E4" s="2954"/>
      <c r="F4" s="2954"/>
      <c r="G4" s="2954"/>
      <c r="H4" s="2955"/>
      <c r="I4" s="3313">
        <f>AVERAGE(I3:J3)</f>
        <v>1100</v>
      </c>
      <c r="J4" s="3314"/>
    </row>
    <row r="5" spans="1:10" ht="36">
      <c r="A5" s="2951" t="s">
        <v>3149</v>
      </c>
      <c r="B5" s="2956">
        <f ca="1">ROUND((1-1/POWER((1+D5),H5))/(1-1/POWER((1+D5),F5)),3)</f>
        <v>0.95599999999999996</v>
      </c>
      <c r="C5" s="2951" t="s">
        <v>3150</v>
      </c>
      <c r="D5" s="2957">
        <v>7.0000000000000007E-2</v>
      </c>
      <c r="E5" s="2951" t="s">
        <v>3151</v>
      </c>
      <c r="F5" s="2951">
        <v>50</v>
      </c>
      <c r="G5" s="2951" t="s">
        <v>3152</v>
      </c>
      <c r="H5" s="2958">
        <f ca="1">收益法!F41</f>
        <v>38</v>
      </c>
      <c r="I5" s="2948"/>
      <c r="J5" s="2949"/>
    </row>
    <row r="6" spans="1:10" ht="24">
      <c r="A6" s="2952" t="s">
        <v>3153</v>
      </c>
      <c r="B6" s="2956">
        <v>1.1890000000000001</v>
      </c>
      <c r="C6" s="2959" t="s">
        <v>3154</v>
      </c>
      <c r="D6" s="2959">
        <f>F2</f>
        <v>1</v>
      </c>
      <c r="E6" s="2960" t="s">
        <v>3155</v>
      </c>
      <c r="F6" s="2960">
        <v>0.9</v>
      </c>
      <c r="G6" s="2960" t="s">
        <v>3156</v>
      </c>
      <c r="H6" s="2960">
        <v>1.1000000000000001</v>
      </c>
      <c r="I6" s="2948"/>
      <c r="J6" s="2949"/>
    </row>
    <row r="7" spans="1:10">
      <c r="A7" s="2961"/>
      <c r="B7" s="2962"/>
      <c r="C7" s="2963"/>
      <c r="D7" s="2964" t="s">
        <v>3157</v>
      </c>
      <c r="E7" s="2960" t="s">
        <v>3158</v>
      </c>
      <c r="F7" s="2960">
        <v>1.2130000000000001</v>
      </c>
      <c r="G7" s="2960" t="s">
        <v>3159</v>
      </c>
      <c r="H7" s="2960">
        <v>1.2050000000000001</v>
      </c>
      <c r="I7" s="2948"/>
      <c r="J7" s="2949"/>
    </row>
    <row r="8" spans="1:10" ht="24">
      <c r="A8" s="2952" t="s">
        <v>3160</v>
      </c>
      <c r="B8" s="2965">
        <f>ROUND(1+(B9+D9+F9+H9+B10+D10+F10+H10)/100,3)</f>
        <v>0.98899999999999999</v>
      </c>
      <c r="C8" s="2966"/>
      <c r="D8" s="2966"/>
      <c r="E8" s="2966"/>
      <c r="F8" s="2966"/>
      <c r="G8" s="2966"/>
      <c r="H8" s="2967"/>
      <c r="I8" s="2948"/>
      <c r="J8" s="2949"/>
    </row>
    <row r="9" spans="1:10" ht="24">
      <c r="A9" s="2968" t="s">
        <v>3161</v>
      </c>
      <c r="B9" s="2969">
        <v>0</v>
      </c>
      <c r="C9" s="2968" t="s">
        <v>3162</v>
      </c>
      <c r="D9" s="2969">
        <v>0</v>
      </c>
      <c r="E9" s="2970" t="s">
        <v>3163</v>
      </c>
      <c r="F9" s="2969">
        <v>0</v>
      </c>
      <c r="G9" s="2971" t="s">
        <v>3164</v>
      </c>
      <c r="H9" s="2969">
        <v>-3</v>
      </c>
      <c r="I9" s="2948"/>
      <c r="J9" s="2949"/>
    </row>
    <row r="10" spans="1:10" ht="36">
      <c r="A10" s="2972" t="s">
        <v>3165</v>
      </c>
      <c r="B10" s="2973">
        <v>1.6</v>
      </c>
      <c r="C10" s="2974" t="s">
        <v>3166</v>
      </c>
      <c r="D10" s="2973">
        <v>-1.2</v>
      </c>
      <c r="E10" s="2975" t="s">
        <v>3167</v>
      </c>
      <c r="F10" s="2973">
        <v>1.5</v>
      </c>
      <c r="G10" s="2968" t="s">
        <v>3168</v>
      </c>
      <c r="H10" s="2973">
        <v>0</v>
      </c>
      <c r="I10" s="2948"/>
      <c r="J10" s="2949"/>
    </row>
    <row r="11" spans="1:10" ht="30.75" customHeight="1">
      <c r="A11" s="3300" t="s">
        <v>3169</v>
      </c>
      <c r="B11" s="3302"/>
      <c r="C11" s="3302"/>
      <c r="D11" s="3301"/>
      <c r="E11" s="2976">
        <f ca="1">ROUND(F3*B4*B5*B6*B8,0)</f>
        <v>3020</v>
      </c>
      <c r="F11" s="3310" t="s">
        <v>3147</v>
      </c>
      <c r="G11" s="3310"/>
      <c r="H11" s="3312"/>
      <c r="I11" s="2948"/>
      <c r="J11" s="2949"/>
    </row>
    <row r="12" spans="1:10" ht="33.75" customHeight="1">
      <c r="A12" s="3300" t="s">
        <v>3170</v>
      </c>
      <c r="B12" s="3302"/>
      <c r="C12" s="3302"/>
      <c r="D12" s="3301"/>
      <c r="E12" s="2977">
        <f>B51</f>
        <v>0</v>
      </c>
      <c r="F12" s="3310" t="s">
        <v>3147</v>
      </c>
      <c r="G12" s="3310"/>
      <c r="H12" s="3312"/>
      <c r="I12" s="2948"/>
      <c r="J12" s="2949"/>
    </row>
    <row r="13" spans="1:10">
      <c r="A13" s="3300" t="s">
        <v>3171</v>
      </c>
      <c r="B13" s="3302"/>
      <c r="C13" s="3302"/>
      <c r="D13" s="3301"/>
      <c r="E13" s="2976">
        <f ca="1">E11-E12</f>
        <v>3020</v>
      </c>
      <c r="F13" s="3310" t="s">
        <v>3147</v>
      </c>
      <c r="G13" s="3310"/>
      <c r="H13" s="3312"/>
      <c r="I13" s="2948"/>
      <c r="J13" s="2949"/>
    </row>
    <row r="14" spans="1:10">
      <c r="A14" s="3298" t="s">
        <v>3172</v>
      </c>
      <c r="B14" s="3304"/>
      <c r="C14" s="3304"/>
      <c r="D14" s="3304"/>
      <c r="E14" s="3304"/>
      <c r="F14" s="3304"/>
      <c r="G14" s="3304"/>
      <c r="H14" s="3299"/>
      <c r="I14" s="2948"/>
      <c r="J14" s="2949"/>
    </row>
    <row r="15" spans="1:10">
      <c r="A15" s="3298" t="s">
        <v>3173</v>
      </c>
      <c r="B15" s="3299"/>
      <c r="C15" s="3298" t="s">
        <v>3174</v>
      </c>
      <c r="D15" s="3299"/>
      <c r="E15" s="3298" t="s">
        <v>3175</v>
      </c>
      <c r="F15" s="3304"/>
      <c r="G15" s="3304"/>
      <c r="H15" s="3299"/>
      <c r="I15" s="2948"/>
      <c r="J15" s="2949"/>
    </row>
    <row r="16" spans="1:10">
      <c r="A16" s="3298" t="s">
        <v>3176</v>
      </c>
      <c r="B16" s="3299"/>
      <c r="C16" s="3300">
        <f ca="1">E11</f>
        <v>3020</v>
      </c>
      <c r="D16" s="3301"/>
      <c r="E16" s="3298"/>
      <c r="F16" s="3304"/>
      <c r="G16" s="3304"/>
      <c r="H16" s="3299"/>
      <c r="I16" s="2948"/>
      <c r="J16" s="2949"/>
    </row>
    <row r="17" spans="1:10">
      <c r="A17" s="3305" t="s">
        <v>3177</v>
      </c>
      <c r="B17" s="2978" t="s">
        <v>3178</v>
      </c>
      <c r="C17" s="3300">
        <v>2300</v>
      </c>
      <c r="D17" s="3301"/>
      <c r="E17" s="3300" t="s">
        <v>3179</v>
      </c>
      <c r="F17" s="3302"/>
      <c r="G17" s="3302"/>
      <c r="H17" s="3301"/>
      <c r="I17" s="2948"/>
      <c r="J17" s="2949"/>
    </row>
    <row r="18" spans="1:10">
      <c r="A18" s="3306"/>
      <c r="B18" s="2978" t="s">
        <v>3180</v>
      </c>
      <c r="C18" s="3300">
        <f>ROUND($C$17*H18,0)</f>
        <v>230</v>
      </c>
      <c r="D18" s="3301"/>
      <c r="E18" s="3303" t="s">
        <v>3181</v>
      </c>
      <c r="F18" s="3303"/>
      <c r="G18" s="3303"/>
      <c r="H18" s="2979">
        <v>0.1</v>
      </c>
      <c r="I18" s="2948"/>
      <c r="J18" s="2949"/>
    </row>
    <row r="19" spans="1:10">
      <c r="A19" s="3306"/>
      <c r="B19" s="2980" t="s">
        <v>3182</v>
      </c>
      <c r="C19" s="3307">
        <f>ROUND($C$17*H19,0)</f>
        <v>0</v>
      </c>
      <c r="D19" s="3308"/>
      <c r="E19" s="3309" t="s">
        <v>3183</v>
      </c>
      <c r="F19" s="3309"/>
      <c r="G19" s="3309"/>
      <c r="H19" s="2981">
        <v>0</v>
      </c>
      <c r="I19" s="2982"/>
      <c r="J19" s="2983"/>
    </row>
    <row r="20" spans="1:10">
      <c r="A20" s="3306"/>
      <c r="B20" s="2978" t="s">
        <v>3184</v>
      </c>
      <c r="C20" s="3300">
        <f>ROUND($C$17*H20,0)</f>
        <v>230</v>
      </c>
      <c r="D20" s="3301"/>
      <c r="E20" s="3303" t="s">
        <v>3185</v>
      </c>
      <c r="F20" s="3303"/>
      <c r="G20" s="3303"/>
      <c r="H20" s="2979">
        <v>0.1</v>
      </c>
      <c r="I20" s="2948"/>
      <c r="J20" s="2949"/>
    </row>
    <row r="21" spans="1:10">
      <c r="A21" s="3298" t="s">
        <v>3186</v>
      </c>
      <c r="B21" s="3299"/>
      <c r="C21" s="3300">
        <f ca="1">ROUND((SUM(C16:D20))*H21,0)</f>
        <v>173</v>
      </c>
      <c r="D21" s="3301"/>
      <c r="E21" s="3303" t="s">
        <v>3187</v>
      </c>
      <c r="F21" s="3303"/>
      <c r="G21" s="3303"/>
      <c r="H21" s="2979">
        <v>0.03</v>
      </c>
      <c r="I21" s="2948"/>
      <c r="J21" s="2949"/>
    </row>
    <row r="22" spans="1:10">
      <c r="A22" s="3298" t="s">
        <v>3188</v>
      </c>
      <c r="B22" s="3299"/>
      <c r="C22" s="3300">
        <f ca="1">ROUND((SUM(C16:D21))*H22,0)</f>
        <v>179</v>
      </c>
      <c r="D22" s="3301"/>
      <c r="E22" s="3303" t="s">
        <v>3189</v>
      </c>
      <c r="F22" s="3303"/>
      <c r="G22" s="3303"/>
      <c r="H22" s="2979">
        <v>0.03</v>
      </c>
      <c r="I22" s="2948"/>
      <c r="J22" s="2949"/>
    </row>
    <row r="23" spans="1:10" ht="37.5" customHeight="1">
      <c r="A23" s="3298" t="s">
        <v>3190</v>
      </c>
      <c r="B23" s="3299"/>
      <c r="C23" s="3300">
        <f ca="1">ROUND((C16*H23*G23)+(SUM(C17:D22))*H23*G23/2,0)</f>
        <v>432</v>
      </c>
      <c r="D23" s="3301"/>
      <c r="E23" s="3303" t="s">
        <v>3191</v>
      </c>
      <c r="F23" s="3303"/>
      <c r="G23" s="2984">
        <v>1.5</v>
      </c>
      <c r="H23" s="2979">
        <v>6.3E-2</v>
      </c>
      <c r="I23" s="2948"/>
      <c r="J23" s="2949"/>
    </row>
    <row r="24" spans="1:10" ht="31.5" customHeight="1">
      <c r="A24" s="3298" t="s">
        <v>3192</v>
      </c>
      <c r="B24" s="3299"/>
      <c r="C24" s="3300">
        <f ca="1">ROUND(C26*H24,0)</f>
        <v>453</v>
      </c>
      <c r="D24" s="3301"/>
      <c r="E24" s="3303" t="s">
        <v>3193</v>
      </c>
      <c r="F24" s="3303"/>
      <c r="G24" s="3303"/>
      <c r="H24" s="2979">
        <v>5.5E-2</v>
      </c>
      <c r="I24" s="2948"/>
      <c r="J24" s="2985"/>
    </row>
    <row r="25" spans="1:10" ht="48.75" customHeight="1">
      <c r="A25" s="3298" t="s">
        <v>3194</v>
      </c>
      <c r="B25" s="3299"/>
      <c r="C25" s="3300">
        <f ca="1">ROUND((SUM(C16:D22))*H25,0)</f>
        <v>1226</v>
      </c>
      <c r="D25" s="3301"/>
      <c r="E25" s="3303" t="s">
        <v>3195</v>
      </c>
      <c r="F25" s="3303"/>
      <c r="G25" s="3303"/>
      <c r="H25" s="2979">
        <v>0.2</v>
      </c>
      <c r="I25" s="2948"/>
      <c r="J25" s="2949"/>
    </row>
    <row r="26" spans="1:10">
      <c r="A26" s="3298" t="s">
        <v>3196</v>
      </c>
      <c r="B26" s="3299"/>
      <c r="C26" s="3298">
        <f ca="1">ROUND((SUM(C16:D23)+C25)/(1-H24),0)</f>
        <v>8243</v>
      </c>
      <c r="D26" s="3299"/>
      <c r="E26" s="3300"/>
      <c r="F26" s="3302"/>
      <c r="G26" s="3302"/>
      <c r="H26" s="3301"/>
      <c r="I26" s="2948"/>
      <c r="J26" s="2949"/>
    </row>
    <row r="27" spans="1:10">
      <c r="A27" s="3298" t="s">
        <v>3197</v>
      </c>
      <c r="B27" s="3299"/>
      <c r="C27" s="3300">
        <f ca="1">ROUND(C26*E30,0)</f>
        <v>10440996</v>
      </c>
      <c r="D27" s="3301"/>
      <c r="E27" s="3300"/>
      <c r="F27" s="3302"/>
      <c r="G27" s="3302"/>
      <c r="H27" s="3301"/>
      <c r="I27" s="2948"/>
      <c r="J27" s="2949"/>
    </row>
    <row r="28" spans="1:10">
      <c r="A28" s="3298" t="s">
        <v>3198</v>
      </c>
      <c r="B28" s="3299"/>
      <c r="C28" s="3300">
        <v>1</v>
      </c>
      <c r="D28" s="3301"/>
      <c r="E28" s="3300" t="s">
        <v>3199</v>
      </c>
      <c r="F28" s="3302"/>
      <c r="G28" s="3302"/>
      <c r="H28" s="3301"/>
      <c r="I28" s="2948"/>
      <c r="J28" s="2949"/>
    </row>
    <row r="29" spans="1:10">
      <c r="A29" s="3298" t="s">
        <v>3200</v>
      </c>
      <c r="B29" s="3299"/>
      <c r="C29" s="3298">
        <f ca="1">ROUND(C26*C28,0)</f>
        <v>8243</v>
      </c>
      <c r="D29" s="3299"/>
      <c r="E29" s="3300" t="s">
        <v>3201</v>
      </c>
      <c r="F29" s="3302"/>
      <c r="G29" s="3302"/>
      <c r="H29" s="3301"/>
      <c r="I29" s="2948"/>
      <c r="J29" s="2949"/>
    </row>
    <row r="30" spans="1:10">
      <c r="A30" s="3298" t="s">
        <v>3202</v>
      </c>
      <c r="B30" s="3299"/>
      <c r="C30" s="3300">
        <f ca="1">ROUND(C29*E30/10000,0)</f>
        <v>1044</v>
      </c>
      <c r="D30" s="3301"/>
      <c r="E30" s="2986">
        <f>D2</f>
        <v>1266.6499999999999</v>
      </c>
      <c r="F30" s="2987"/>
      <c r="G30" s="2987"/>
      <c r="H30" s="2988"/>
      <c r="I30" s="2948"/>
      <c r="J30" s="2949"/>
    </row>
  </sheetData>
  <mergeCells count="55">
    <mergeCell ref="I4:J4"/>
    <mergeCell ref="A11:D11"/>
    <mergeCell ref="F11:H11"/>
    <mergeCell ref="A15:B15"/>
    <mergeCell ref="C15:D15"/>
    <mergeCell ref="E15:H15"/>
    <mergeCell ref="A13:D13"/>
    <mergeCell ref="F13:H13"/>
    <mergeCell ref="A14:H14"/>
    <mergeCell ref="A1:H1"/>
    <mergeCell ref="B3:D3"/>
    <mergeCell ref="G3:H3"/>
    <mergeCell ref="A12:D12"/>
    <mergeCell ref="F12:H12"/>
    <mergeCell ref="A16:B16"/>
    <mergeCell ref="C16:D16"/>
    <mergeCell ref="E16:H16"/>
    <mergeCell ref="A17:A20"/>
    <mergeCell ref="C17:D17"/>
    <mergeCell ref="E17:H17"/>
    <mergeCell ref="C18:D18"/>
    <mergeCell ref="E18:G18"/>
    <mergeCell ref="C19:D19"/>
    <mergeCell ref="E19:G19"/>
    <mergeCell ref="C20:D20"/>
    <mergeCell ref="E20:G20"/>
    <mergeCell ref="C21:D21"/>
    <mergeCell ref="E21:G21"/>
    <mergeCell ref="A23:B23"/>
    <mergeCell ref="C23:D23"/>
    <mergeCell ref="E23:F23"/>
    <mergeCell ref="A22:B22"/>
    <mergeCell ref="C22:D22"/>
    <mergeCell ref="E22:G22"/>
    <mergeCell ref="A21:B21"/>
    <mergeCell ref="A24:B24"/>
    <mergeCell ref="C24:D24"/>
    <mergeCell ref="E24:G24"/>
    <mergeCell ref="A25:B25"/>
    <mergeCell ref="C25:D25"/>
    <mergeCell ref="E25:G25"/>
    <mergeCell ref="A26:B26"/>
    <mergeCell ref="C26:D26"/>
    <mergeCell ref="E26:H26"/>
    <mergeCell ref="A27:B27"/>
    <mergeCell ref="C27:D27"/>
    <mergeCell ref="E27:H27"/>
    <mergeCell ref="A30:B30"/>
    <mergeCell ref="C30:D30"/>
    <mergeCell ref="A28:B28"/>
    <mergeCell ref="C28:D28"/>
    <mergeCell ref="E28:H28"/>
    <mergeCell ref="A29:B29"/>
    <mergeCell ref="C29:D29"/>
    <mergeCell ref="E29:H29"/>
  </mergeCells>
  <phoneticPr fontId="1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65"/>
      <c r="B4" s="2998" t="s">
        <v>1632</v>
      </c>
      <c r="C4" s="2998"/>
      <c r="D4" s="2998"/>
      <c r="E4" s="1965"/>
    </row>
    <row r="5" spans="1:5" ht="16.5" thickTop="1">
      <c r="A5" s="1963"/>
      <c r="B5" s="2996" t="s">
        <v>1624</v>
      </c>
      <c r="C5" s="1966" t="s">
        <v>1625</v>
      </c>
      <c r="D5" s="1043">
        <f ca="1">结果表!H101</f>
        <v>419</v>
      </c>
      <c r="E5" s="1963"/>
    </row>
    <row r="6" spans="1:5" ht="15.75">
      <c r="A6" s="1963"/>
      <c r="B6" s="2996"/>
      <c r="C6" s="1966" t="s">
        <v>1626</v>
      </c>
      <c r="D6" s="1043" t="str">
        <f ca="1">NUMBERSTRING(INT(D5*10000),2)&amp;"元整"</f>
        <v>肆佰壹拾玖万元整</v>
      </c>
      <c r="E6" s="1963"/>
    </row>
    <row r="7" spans="1:5" ht="15.75">
      <c r="A7" s="1963"/>
      <c r="B7" s="3001"/>
      <c r="C7" s="1967" t="s">
        <v>1627</v>
      </c>
      <c r="D7" s="1044">
        <f ca="1">结果表!H102</f>
        <v>33323</v>
      </c>
      <c r="E7" s="1963"/>
    </row>
    <row r="8" spans="1:5" ht="15.75">
      <c r="A8" s="1963"/>
      <c r="B8" s="3002" t="str">
        <f>结果表!E103</f>
        <v>2.估价师知悉的除抵押担保权以外的法定优先受偿款</v>
      </c>
      <c r="C8" s="1968" t="s">
        <v>1628</v>
      </c>
      <c r="D8" s="1044">
        <f>结果表!H103</f>
        <v>0</v>
      </c>
      <c r="E8" s="1963"/>
    </row>
    <row r="9" spans="1:5" ht="15.75">
      <c r="A9" s="1963"/>
      <c r="B9" s="3004"/>
      <c r="C9" s="1966" t="s">
        <v>1626</v>
      </c>
      <c r="D9" s="1043" t="str">
        <f>NUMBERSTRING(INT(D8*10000),2)&amp;"元整"</f>
        <v>零元整</v>
      </c>
      <c r="E9" s="1963"/>
    </row>
    <row r="10" spans="1:5" ht="15">
      <c r="A10" s="1963"/>
      <c r="B10" s="1969" t="s">
        <v>1631</v>
      </c>
      <c r="C10" s="1970" t="s">
        <v>1629</v>
      </c>
      <c r="D10" s="1045" t="str">
        <f>结果表!H104</f>
        <v>1000（未扣减，详见特别提示）</v>
      </c>
      <c r="E10" s="1963"/>
    </row>
    <row r="11" spans="1:5" ht="15">
      <c r="A11" s="1963"/>
      <c r="B11" s="1969" t="s">
        <v>1633</v>
      </c>
      <c r="C11" s="1970" t="s">
        <v>1634</v>
      </c>
      <c r="D11" s="1045">
        <f>结果表!H105</f>
        <v>0</v>
      </c>
      <c r="E11" s="1963"/>
    </row>
    <row r="12" spans="1:5" ht="15">
      <c r="A12" s="1963"/>
      <c r="B12" s="1969" t="s">
        <v>1635</v>
      </c>
      <c r="C12" s="1970" t="s">
        <v>1634</v>
      </c>
      <c r="D12" s="1045">
        <f>结果表!H106</f>
        <v>0</v>
      </c>
      <c r="E12" s="1963"/>
    </row>
    <row r="13" spans="1:5" ht="15.75">
      <c r="A13" s="1963"/>
      <c r="B13" s="2995" t="str">
        <f>结果表!E107</f>
        <v>3.房地产抵押价值</v>
      </c>
      <c r="C13" s="1971" t="s">
        <v>1625</v>
      </c>
      <c r="D13" s="1046">
        <f ca="1">结果表!H107</f>
        <v>419</v>
      </c>
      <c r="E13" s="1963"/>
    </row>
    <row r="14" spans="1:5" ht="15.75">
      <c r="A14" s="1963"/>
      <c r="B14" s="2996"/>
      <c r="C14" s="1966" t="s">
        <v>1626</v>
      </c>
      <c r="D14" s="1043" t="str">
        <f ca="1">NUMBERSTRING(INT(D13*10000),2)&amp;"元整"</f>
        <v>肆佰壹拾玖万元整</v>
      </c>
      <c r="E14" s="1963"/>
    </row>
    <row r="15" spans="1:5" ht="15">
      <c r="A15" s="1963"/>
      <c r="B15" s="3001"/>
      <c r="C15" s="1967" t="s">
        <v>1636</v>
      </c>
      <c r="D15" s="1055">
        <f ca="1">结果表!H108</f>
        <v>3308</v>
      </c>
      <c r="E15" s="1963"/>
    </row>
    <row r="16" spans="1:5" ht="15">
      <c r="A16" s="1963"/>
      <c r="B16" s="3002" t="str">
        <f>结果表!E109</f>
        <v>——</v>
      </c>
      <c r="C16" s="1971" t="s">
        <v>1637</v>
      </c>
      <c r="D16" s="1972" t="str">
        <f>结果表!H109</f>
        <v>——</v>
      </c>
      <c r="E16" s="1963"/>
    </row>
    <row r="17" spans="1:5" ht="15.75">
      <c r="A17" s="1963"/>
      <c r="B17" s="3003"/>
      <c r="C17" s="1966" t="s">
        <v>1638</v>
      </c>
      <c r="D17" s="1043" t="e">
        <f>NUMBERSTRING(INT(D16*10000),2)&amp;"元整"</f>
        <v>#VALUE!</v>
      </c>
      <c r="E17" s="1963"/>
    </row>
    <row r="18" spans="1:5" ht="15">
      <c r="A18" s="1963"/>
      <c r="B18" s="3004"/>
      <c r="C18" s="1967" t="s">
        <v>1627</v>
      </c>
      <c r="D18" s="1055" t="str">
        <f>结果表!H110</f>
        <v>——</v>
      </c>
      <c r="E18" s="1963"/>
    </row>
    <row r="19" spans="1:5" ht="15.75">
      <c r="A19" s="1963"/>
      <c r="B19" s="2995" t="str">
        <f>结果表!E111</f>
        <v>4.抵押净值</v>
      </c>
      <c r="C19" s="1971" t="s">
        <v>1625</v>
      </c>
      <c r="D19" s="1044">
        <f ca="1">结果表!H111</f>
        <v>-213</v>
      </c>
      <c r="E19" s="1963"/>
    </row>
    <row r="20" spans="1:5" ht="15.75">
      <c r="A20" s="1963"/>
      <c r="B20" s="2996"/>
      <c r="C20" s="1966" t="s">
        <v>1638</v>
      </c>
      <c r="D20" s="1043" t="e">
        <f ca="1">NUMBERSTRING(INT(D19*10000),2)&amp;"元整"</f>
        <v>#NUM!</v>
      </c>
      <c r="E20" s="1963"/>
    </row>
    <row r="21" spans="1:5" ht="15.75" thickBot="1">
      <c r="A21" s="1963"/>
      <c r="B21" s="2997"/>
      <c r="C21" s="1973" t="s">
        <v>1636</v>
      </c>
      <c r="D21" s="1056">
        <f ca="1">结果表!H112</f>
        <v>-1682</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9" sqref="L2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2796</v>
      </c>
      <c r="B1" s="241"/>
      <c r="C1" s="245" t="s">
        <v>2797</v>
      </c>
      <c r="D1" s="388">
        <f>SUM(D29:D30,D33:D39)</f>
        <v>1266.6499999999999</v>
      </c>
      <c r="E1" s="2722"/>
      <c r="F1" s="2722"/>
      <c r="G1" s="2722"/>
      <c r="H1" s="2722"/>
      <c r="I1" s="2722"/>
      <c r="J1" s="2722"/>
      <c r="K1" s="1373"/>
      <c r="L1" s="2723" t="s">
        <v>2798</v>
      </c>
      <c r="M1" s="1083">
        <f>SUMPRODUCT((区片价!B5:B9=I2)*(区片价!C3:F3=E2)*(区片价!C5:F9))</f>
        <v>0</v>
      </c>
      <c r="N1" s="1086">
        <f>SUMPRODUCT((因素修正幅度!B5:B9=I2)*(因素修正幅度!C3:F3=E2)*(因素修正幅度!C5:F9))</f>
        <v>0</v>
      </c>
      <c r="O1" s="2724"/>
      <c r="P1" s="2724"/>
      <c r="Q1" s="1373"/>
      <c r="R1" s="1606" t="s">
        <v>2799</v>
      </c>
      <c r="S1" s="1606" t="s">
        <v>2800</v>
      </c>
      <c r="T1" s="1606" t="s">
        <v>2801</v>
      </c>
      <c r="U1" s="1606" t="s">
        <v>2802</v>
      </c>
      <c r="V1" s="1606" t="s">
        <v>2803</v>
      </c>
      <c r="W1" s="1610"/>
      <c r="X1" s="1610"/>
      <c r="Y1" s="1610"/>
      <c r="Z1" s="1610"/>
      <c r="AA1" s="1610"/>
      <c r="AB1" s="1610"/>
      <c r="AC1" s="1611"/>
      <c r="AD1" s="1612"/>
      <c r="AE1" s="1612"/>
      <c r="AF1" s="1612"/>
      <c r="AG1" s="1612"/>
      <c r="AH1" s="1612"/>
      <c r="AI1" s="1612"/>
      <c r="AJ1" s="1613"/>
    </row>
    <row r="2" spans="1:36" ht="15.75">
      <c r="A2" s="245" t="s">
        <v>2804</v>
      </c>
      <c r="B2" s="248">
        <f ca="1">C26</f>
        <v>1150</v>
      </c>
      <c r="C2" s="2726" t="s">
        <v>2805</v>
      </c>
      <c r="D2" s="2727" t="s">
        <v>2806</v>
      </c>
      <c r="E2" s="2728" t="s">
        <v>27</v>
      </c>
      <c r="F2" s="2727" t="s">
        <v>2807</v>
      </c>
      <c r="G2" s="2729" t="str">
        <f>IF(E2="商业",项目基本情况!B37,IF(E2="办公",项目基本情况!C37,IF(E2="住宅",项目基本情况!D37,项目基本情况!E37)))</f>
        <v>七级</v>
      </c>
      <c r="H2" s="2727" t="s">
        <v>2808</v>
      </c>
      <c r="I2" s="2729" t="str">
        <f>IF(E2="商业",项目基本情况!B38,IF(E2="办公",项目基本情况!C38,IF(E2="住宅",项目基本情况!D38,项目基本情况!E38)))</f>
        <v>Ⅶ-顺2</v>
      </c>
      <c r="J2" s="2730"/>
      <c r="K2" s="1373"/>
      <c r="L2" s="2731" t="s">
        <v>2809</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1.8629</v>
      </c>
      <c r="T2" s="1606">
        <f ca="1">ROUND($C$5*$C$18*$C$19*$C$20*S2*$C$24,0)</f>
        <v>16917</v>
      </c>
      <c r="U2" s="1607"/>
      <c r="V2" s="1606">
        <f ca="1">ROUND(T2*U2/10000,0)</f>
        <v>0</v>
      </c>
      <c r="W2" s="1610"/>
      <c r="X2" s="1610"/>
      <c r="Y2" s="1610"/>
      <c r="Z2" s="1610"/>
      <c r="AA2" s="1610"/>
      <c r="AB2" s="1610"/>
      <c r="AC2" s="1611"/>
      <c r="AD2" s="1612"/>
      <c r="AE2" s="1612"/>
      <c r="AF2" s="1612"/>
      <c r="AG2" s="1612"/>
      <c r="AH2" s="1612"/>
      <c r="AI2" s="1612"/>
      <c r="AJ2" s="1613"/>
    </row>
    <row r="3" spans="1:36" ht="25.5">
      <c r="A3" s="247" t="s">
        <v>2810</v>
      </c>
      <c r="B3" s="248">
        <f ca="1">ROUND(B2*10000/D1,0)</f>
        <v>9079</v>
      </c>
      <c r="C3" s="2726" t="s">
        <v>2811</v>
      </c>
      <c r="D3" s="2727" t="s">
        <v>2812</v>
      </c>
      <c r="E3" s="2732" t="s">
        <v>3210</v>
      </c>
      <c r="F3" s="2733" t="s">
        <v>3216</v>
      </c>
      <c r="G3" s="916">
        <f>IF(F3="宗地容积率",'数据-汇总表'!I4,IF(F3="估价对象容积率",'数据-汇总表'!I6,'数据-汇总表'!I7))</f>
        <v>2.5</v>
      </c>
      <c r="H3" s="198" t="s">
        <v>2813</v>
      </c>
      <c r="I3" s="947">
        <v>1</v>
      </c>
      <c r="J3" s="2730" t="s">
        <v>2814</v>
      </c>
      <c r="K3" s="1373"/>
      <c r="L3" s="2731" t="s">
        <v>2815</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1.3371999999999999</v>
      </c>
      <c r="T3" s="1606">
        <f t="shared" ref="T3:T16" ca="1" si="0">ROUND($C$5*$C$18*$C$19*$C$20*S3*$C$24,0)</f>
        <v>12143</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329"/>
      <c r="B4" s="3330"/>
      <c r="C4" s="3330"/>
      <c r="D4" s="3331"/>
      <c r="E4" s="3331"/>
      <c r="F4" s="3331"/>
      <c r="G4" s="3331"/>
      <c r="H4" s="3331"/>
      <c r="I4" s="3331"/>
      <c r="J4" s="3332"/>
      <c r="K4" s="1373"/>
      <c r="L4" s="2731" t="s">
        <v>2816</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1.0788</v>
      </c>
      <c r="T4" s="1606">
        <f t="shared" ca="1" si="0"/>
        <v>9797</v>
      </c>
      <c r="U4" s="1607"/>
      <c r="V4" s="1606">
        <f t="shared" ca="1" si="1"/>
        <v>0</v>
      </c>
      <c r="W4" s="1610"/>
      <c r="X4" s="1610"/>
      <c r="Y4" s="1610"/>
      <c r="Z4" s="1610"/>
      <c r="AA4" s="1610"/>
      <c r="AB4" s="1610"/>
      <c r="AC4" s="1611"/>
      <c r="AD4" s="1612"/>
      <c r="AE4" s="1612"/>
      <c r="AF4" s="1612"/>
      <c r="AG4" s="1612"/>
      <c r="AH4" s="1612"/>
      <c r="AI4" s="1612"/>
      <c r="AJ4" s="1613"/>
    </row>
    <row r="5" spans="1:36" s="2743" customFormat="1" ht="15.75" thickBot="1">
      <c r="A5" s="2734" t="s">
        <v>807</v>
      </c>
      <c r="B5" s="2735" t="s">
        <v>2817</v>
      </c>
      <c r="C5" s="917">
        <f>ROUND(IF(E2="商业",IF(F16="增加",C6*C7+C16,C6*C7-C16),IF(E2="住宅",IF(F16="增加",C6*C12+C16,C6*C12-C16),IF(F16="增加",C6+C16,C6-C16))),0)</f>
        <v>7554</v>
      </c>
      <c r="D5" s="1791">
        <f>ROUND(IF(E2="商业",IF(F16="增加",C6+C16,C6-C16)),0)</f>
        <v>0</v>
      </c>
      <c r="E5" s="2736"/>
      <c r="F5" s="2736"/>
      <c r="G5" s="2737"/>
      <c r="H5" s="2737"/>
      <c r="I5" s="2737"/>
      <c r="J5" s="2738"/>
      <c r="K5" s="2739"/>
      <c r="L5" s="2731" t="s">
        <v>2818</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0.86560000000000004</v>
      </c>
      <c r="T5" s="1606">
        <f t="shared" ca="1" si="0"/>
        <v>7861</v>
      </c>
      <c r="U5" s="1607"/>
      <c r="V5" s="1606">
        <f t="shared" ca="1" si="1"/>
        <v>0</v>
      </c>
      <c r="W5" s="1610"/>
      <c r="X5" s="1610"/>
      <c r="Y5" s="1610"/>
      <c r="Z5" s="1610"/>
      <c r="AA5" s="1610"/>
      <c r="AB5" s="1610"/>
      <c r="AC5" s="2740"/>
      <c r="AD5" s="2741"/>
      <c r="AE5" s="2741"/>
      <c r="AF5" s="2741"/>
      <c r="AG5" s="2741"/>
      <c r="AH5" s="2741"/>
      <c r="AI5" s="2741"/>
      <c r="AJ5" s="2742"/>
    </row>
    <row r="6" spans="1:36" ht="15.75" thickBot="1">
      <c r="A6" s="2744" t="s">
        <v>2819</v>
      </c>
      <c r="B6" s="2745" t="s">
        <v>2820</v>
      </c>
      <c r="C6" s="918">
        <f>SUMIF(L1:L12,G2,M1:M12)</f>
        <v>7570</v>
      </c>
      <c r="D6" s="2746" t="s">
        <v>2821</v>
      </c>
      <c r="E6" s="2747"/>
      <c r="F6" s="2747"/>
      <c r="G6" s="2748"/>
      <c r="H6" s="2748"/>
      <c r="I6" s="2748"/>
      <c r="J6" s="2749"/>
      <c r="K6" s="1846"/>
      <c r="L6" s="2731" t="s">
        <v>2822</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0.73709999999999998</v>
      </c>
      <c r="T6" s="1606">
        <f t="shared" ca="1" si="0"/>
        <v>6694</v>
      </c>
      <c r="U6" s="1607"/>
      <c r="V6" s="1606">
        <f t="shared" ca="1" si="1"/>
        <v>0</v>
      </c>
      <c r="W6" s="1610"/>
      <c r="X6" s="1610"/>
      <c r="Y6" s="1610"/>
      <c r="Z6" s="1610"/>
      <c r="AA6" s="1610"/>
      <c r="AB6" s="1610"/>
      <c r="AC6" s="2740"/>
      <c r="AD6" s="2741"/>
      <c r="AE6" s="2741"/>
      <c r="AF6" s="2741"/>
      <c r="AG6" s="2741"/>
      <c r="AH6" s="2741"/>
      <c r="AI6" s="2741"/>
      <c r="AJ6" s="2742"/>
    </row>
    <row r="7" spans="1:36" ht="24">
      <c r="A7" s="3315" t="str">
        <f>IF(E2="商业",IF(C8="不临58条商业街","",2),"")</f>
        <v/>
      </c>
      <c r="B7" s="2750" t="s">
        <v>2823</v>
      </c>
      <c r="C7" s="919">
        <f>IF(C8="不临58条商业街",1,ROUND(1+(1.6*E8+1.2*E9+0.8*E10+0.4*E11)*C9,4))</f>
        <v>1</v>
      </c>
      <c r="D7" s="2751" t="s">
        <v>2824</v>
      </c>
      <c r="E7" s="948">
        <v>60</v>
      </c>
      <c r="F7" s="2752"/>
      <c r="G7" s="2753"/>
      <c r="H7" s="2753"/>
      <c r="I7" s="2753"/>
      <c r="J7" s="2754"/>
      <c r="K7" s="1846"/>
      <c r="L7" s="2731" t="s">
        <v>2825</v>
      </c>
      <c r="M7" s="1084">
        <f>SUMPRODUCT((区片价!B158:B205=I2)*(区片价!C3:F3=E2)*(区片价!C158:F205))</f>
        <v>7570</v>
      </c>
      <c r="N7" s="1086">
        <f>SUMPRODUCT((因素修正幅度!B158:B205=I2)*(因素修正幅度!C3:F3=E2)*(因素修正幅度!C158:F205))</f>
        <v>0.13</v>
      </c>
      <c r="O7" s="1373"/>
      <c r="P7" s="1373"/>
      <c r="Q7" s="1373"/>
      <c r="R7" s="1606">
        <v>6</v>
      </c>
      <c r="S7" s="1606">
        <f>ROUND(IF(G3&gt;1,IF(R7&lt;7,SUMPRODUCT((B93:B98=R7)*(C92:N92=G2)*(C93:N98)),SUMIF(C92:N92,G2,C100:N100)),IF(R7&lt;7,SUMPRODUCT((B102:B107=R7)*(C92:N92=G2)*(C102:N107)),SUMIF(C92:N92,G2,C109:N109))),4)</f>
        <v>0.6482</v>
      </c>
      <c r="T7" s="1606">
        <f t="shared" ca="1" si="0"/>
        <v>5886</v>
      </c>
      <c r="U7" s="1607"/>
      <c r="V7" s="1606">
        <f t="shared" ca="1" si="1"/>
        <v>0</v>
      </c>
      <c r="W7" s="1820" t="s">
        <v>2826</v>
      </c>
      <c r="X7" s="1608" t="str">
        <f>G2</f>
        <v>七级</v>
      </c>
      <c r="Y7" s="1608" t="s">
        <v>2827</v>
      </c>
      <c r="Z7" s="1609">
        <f>G3</f>
        <v>2.5</v>
      </c>
      <c r="AA7" s="1610"/>
      <c r="AB7" s="1610"/>
      <c r="AC7" s="1611"/>
      <c r="AD7" s="1612"/>
      <c r="AE7" s="1612"/>
      <c r="AF7" s="1612"/>
      <c r="AG7" s="1612"/>
      <c r="AH7" s="1612"/>
      <c r="AI7" s="1612"/>
      <c r="AJ7" s="1613"/>
    </row>
    <row r="8" spans="1:36" ht="25.5">
      <c r="A8" s="3316"/>
      <c r="B8" s="198" t="s">
        <v>2828</v>
      </c>
      <c r="C8" s="2755" t="s">
        <v>3211</v>
      </c>
      <c r="D8" s="920" t="s">
        <v>139</v>
      </c>
      <c r="E8" s="921">
        <f>ROUND(C11/E7,4)</f>
        <v>0</v>
      </c>
      <c r="F8" s="2756" t="s">
        <v>2829</v>
      </c>
      <c r="G8" s="2757"/>
      <c r="H8" s="2757"/>
      <c r="I8" s="2757"/>
      <c r="J8" s="2758"/>
      <c r="K8" s="1373"/>
      <c r="L8" s="2731" t="s">
        <v>2830</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326" t="s">
        <v>2831</v>
      </c>
      <c r="X8" s="3327"/>
      <c r="Y8" s="1614" t="s">
        <v>2832</v>
      </c>
      <c r="Z8" s="1614" t="s">
        <v>2833</v>
      </c>
      <c r="AA8" s="1614" t="s">
        <v>2834</v>
      </c>
      <c r="AB8" s="1614" t="s">
        <v>2835</v>
      </c>
      <c r="AC8" s="1614" t="s">
        <v>2836</v>
      </c>
      <c r="AD8" s="1614" t="s">
        <v>2837</v>
      </c>
      <c r="AE8" s="1614" t="s">
        <v>2838</v>
      </c>
      <c r="AF8" s="1614" t="s">
        <v>2839</v>
      </c>
      <c r="AG8" s="1614" t="s">
        <v>2840</v>
      </c>
      <c r="AH8" s="1614" t="s">
        <v>2841</v>
      </c>
      <c r="AI8" s="1614" t="s">
        <v>2842</v>
      </c>
      <c r="AJ8" s="1614" t="s">
        <v>2843</v>
      </c>
    </row>
    <row r="9" spans="1:36" ht="15">
      <c r="A9" s="3316"/>
      <c r="B9" s="198" t="s">
        <v>2844</v>
      </c>
      <c r="C9" s="922">
        <f>SUMIF(修正!C59:C119,C8,修正!E59:E119)</f>
        <v>0</v>
      </c>
      <c r="D9" s="200" t="s">
        <v>140</v>
      </c>
      <c r="E9" s="200">
        <f>ROUND(C11/E7,4)</f>
        <v>0</v>
      </c>
      <c r="F9" s="2756" t="s">
        <v>2845</v>
      </c>
      <c r="G9" s="2757"/>
      <c r="H9" s="2757"/>
      <c r="I9" s="2757"/>
      <c r="J9" s="2758"/>
      <c r="K9" s="1373"/>
      <c r="L9" s="2731" t="s">
        <v>2846</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328" t="s">
        <v>2847</v>
      </c>
      <c r="X9" s="1615" t="s">
        <v>2848</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16"/>
      <c r="B10" s="198" t="s">
        <v>2849</v>
      </c>
      <c r="C10" s="200">
        <f>SUMIF(修正!C59:C119,C8,修正!F59:F119)</f>
        <v>0</v>
      </c>
      <c r="D10" s="200" t="s">
        <v>141</v>
      </c>
      <c r="E10" s="200">
        <f>ROUND(C11/E7,4)</f>
        <v>0</v>
      </c>
      <c r="F10" s="2756" t="s">
        <v>2850</v>
      </c>
      <c r="G10" s="2757"/>
      <c r="H10" s="2757"/>
      <c r="I10" s="2757"/>
      <c r="J10" s="2758"/>
      <c r="K10" s="1373"/>
      <c r="L10" s="2731" t="s">
        <v>2851</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328"/>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16"/>
      <c r="B11" s="2759" t="s">
        <v>2852</v>
      </c>
      <c r="C11" s="923">
        <f>C10/4</f>
        <v>0</v>
      </c>
      <c r="D11" s="923" t="s">
        <v>142</v>
      </c>
      <c r="E11" s="923">
        <f>ROUND(C11/E7,4)</f>
        <v>0</v>
      </c>
      <c r="F11" s="2760" t="s">
        <v>2853</v>
      </c>
      <c r="G11" s="2761"/>
      <c r="H11" s="2761"/>
      <c r="I11" s="2761"/>
      <c r="J11" s="2762"/>
      <c r="K11" s="1373"/>
      <c r="L11" s="2731" t="s">
        <v>2854</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328" t="s">
        <v>2855</v>
      </c>
      <c r="X11" s="1618" t="s">
        <v>2856</v>
      </c>
      <c r="Y11" s="1619">
        <f>$G$3</f>
        <v>2.5</v>
      </c>
      <c r="Z11" s="1619">
        <f t="shared" ref="Z11:AJ11" si="3">$G$3</f>
        <v>2.5</v>
      </c>
      <c r="AA11" s="1619">
        <f t="shared" si="3"/>
        <v>2.5</v>
      </c>
      <c r="AB11" s="1619">
        <f t="shared" si="3"/>
        <v>2.5</v>
      </c>
      <c r="AC11" s="1619">
        <f t="shared" si="3"/>
        <v>2.5</v>
      </c>
      <c r="AD11" s="1619">
        <f t="shared" si="3"/>
        <v>2.5</v>
      </c>
      <c r="AE11" s="1619">
        <f t="shared" si="3"/>
        <v>2.5</v>
      </c>
      <c r="AF11" s="1619">
        <f t="shared" si="3"/>
        <v>2.5</v>
      </c>
      <c r="AG11" s="1619">
        <f t="shared" si="3"/>
        <v>2.5</v>
      </c>
      <c r="AH11" s="1619">
        <f t="shared" si="3"/>
        <v>2.5</v>
      </c>
      <c r="AI11" s="1619">
        <f t="shared" si="3"/>
        <v>2.5</v>
      </c>
      <c r="AJ11" s="1619">
        <f t="shared" si="3"/>
        <v>2.5</v>
      </c>
    </row>
    <row r="12" spans="1:36" ht="25.5" thickBot="1">
      <c r="A12" s="3315" t="s">
        <v>2857</v>
      </c>
      <c r="B12" s="2763" t="s">
        <v>2858</v>
      </c>
      <c r="C12" s="919">
        <f>ROUND(C15*D15*E15*F15*G15*H15*I15*J15,4)</f>
        <v>1</v>
      </c>
      <c r="D12" s="2764" t="s">
        <v>2859</v>
      </c>
      <c r="E12" s="2765"/>
      <c r="F12" s="2765"/>
      <c r="G12" s="2766"/>
      <c r="H12" s="2766"/>
      <c r="I12" s="2766"/>
      <c r="J12" s="2767"/>
      <c r="K12" s="1373"/>
      <c r="L12" s="2768" t="s">
        <v>2860</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328"/>
      <c r="X12" s="1620" t="s">
        <v>2861</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33"/>
      <c r="B13" s="2769" t="s">
        <v>2862</v>
      </c>
      <c r="C13" s="2770" t="s">
        <v>2863</v>
      </c>
      <c r="D13" s="1812" t="s">
        <v>2864</v>
      </c>
      <c r="E13" s="1812" t="s">
        <v>2865</v>
      </c>
      <c r="F13" s="30" t="s">
        <v>2866</v>
      </c>
      <c r="G13" s="2771" t="s">
        <v>2867</v>
      </c>
      <c r="H13" s="2771" t="s">
        <v>2867</v>
      </c>
      <c r="I13" s="2771" t="s">
        <v>2867</v>
      </c>
      <c r="J13" s="2772" t="s">
        <v>2867</v>
      </c>
      <c r="K13" s="1373"/>
      <c r="L13" s="1373"/>
      <c r="M13" s="1373"/>
      <c r="N13" s="1373"/>
      <c r="O13" s="1373"/>
      <c r="P13" s="1373"/>
      <c r="Q13" s="1373"/>
      <c r="R13" s="1606">
        <v>12</v>
      </c>
      <c r="S13" s="1607"/>
      <c r="T13" s="1606">
        <f t="shared" ca="1" si="0"/>
        <v>0</v>
      </c>
      <c r="U13" s="1607"/>
      <c r="V13" s="1606">
        <f t="shared" ca="1" si="1"/>
        <v>0</v>
      </c>
      <c r="W13" s="3328"/>
      <c r="X13" s="1620"/>
      <c r="Y13" s="1617">
        <f>(-0.163*(Y12^2)-0.59*Y12+7617)*(10^(-4))/Y11</f>
        <v>0.30468000000000001</v>
      </c>
      <c r="Z13" s="1617">
        <f t="shared" ref="Z13:AJ13" si="5">(-0.163*(Z12^2)-0.59*Z12+7617)*(10^(-4))/Z11</f>
        <v>0.30468000000000001</v>
      </c>
      <c r="AA13" s="1617">
        <f t="shared" si="5"/>
        <v>0.30468000000000001</v>
      </c>
      <c r="AB13" s="1617">
        <f t="shared" si="5"/>
        <v>0.30468000000000001</v>
      </c>
      <c r="AC13" s="1617">
        <f t="shared" si="5"/>
        <v>0.30468000000000001</v>
      </c>
      <c r="AD13" s="1617">
        <f t="shared" si="5"/>
        <v>0.30468000000000001</v>
      </c>
      <c r="AE13" s="1617">
        <f t="shared" si="5"/>
        <v>0.30468000000000001</v>
      </c>
      <c r="AF13" s="1617">
        <f t="shared" si="5"/>
        <v>0.30468000000000001</v>
      </c>
      <c r="AG13" s="1617">
        <f t="shared" si="5"/>
        <v>0.30468000000000001</v>
      </c>
      <c r="AH13" s="1617">
        <f t="shared" si="5"/>
        <v>0.30468000000000001</v>
      </c>
      <c r="AI13" s="1617">
        <f t="shared" si="5"/>
        <v>0.30468000000000001</v>
      </c>
      <c r="AJ13" s="1617">
        <f t="shared" si="5"/>
        <v>0.30468000000000001</v>
      </c>
    </row>
    <row r="14" spans="1:36" ht="15">
      <c r="A14" s="3333"/>
      <c r="B14" s="2773"/>
      <c r="C14" s="2774"/>
      <c r="D14" s="2775"/>
      <c r="E14" s="2775"/>
      <c r="F14" s="2776"/>
      <c r="G14" s="2777" t="s">
        <v>2868</v>
      </c>
      <c r="H14" s="2778"/>
      <c r="I14" s="2779"/>
      <c r="J14" s="2780"/>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334"/>
      <c r="B15" s="2781" t="s">
        <v>2869</v>
      </c>
      <c r="C15" s="229">
        <f>IF(C14="有",1.1,1)</f>
        <v>1</v>
      </c>
      <c r="D15" s="229">
        <f>IF(D14="有",1.1,1)</f>
        <v>1</v>
      </c>
      <c r="E15" s="229">
        <f>IF(E14="有",1.1,1)</f>
        <v>1</v>
      </c>
      <c r="F15" s="229">
        <f>IF(F14="500米范围内",1.2,IF(F14="500-1000米",1.1,1))</f>
        <v>1</v>
      </c>
      <c r="G15" s="949">
        <v>1</v>
      </c>
      <c r="H15" s="949">
        <v>1</v>
      </c>
      <c r="I15" s="949">
        <v>1</v>
      </c>
      <c r="J15" s="950">
        <v>1</v>
      </c>
      <c r="K15" s="1373"/>
      <c r="L15" s="2782" t="s">
        <v>2806</v>
      </c>
      <c r="M15" s="920" t="s">
        <v>2870</v>
      </c>
      <c r="N15" s="920" t="s">
        <v>2871</v>
      </c>
      <c r="O15" s="920" t="s">
        <v>2872</v>
      </c>
      <c r="P15" s="2783" t="s">
        <v>2873</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315" t="s">
        <v>2874</v>
      </c>
      <c r="B16" s="2750" t="s">
        <v>2875</v>
      </c>
      <c r="C16" s="1805">
        <f>ROUND(SUM(G17:J17)/C17,0)</f>
        <v>16</v>
      </c>
      <c r="D16" s="2784" t="s">
        <v>2876</v>
      </c>
      <c r="E16" s="2785" t="s">
        <v>3212</v>
      </c>
      <c r="F16" s="2786" t="s">
        <v>3213</v>
      </c>
      <c r="G16" s="2787" t="s">
        <v>3214</v>
      </c>
      <c r="H16" s="2787"/>
      <c r="I16" s="2787"/>
      <c r="J16" s="2788"/>
      <c r="K16" s="1373"/>
      <c r="L16" s="2789" t="s">
        <v>2877</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316"/>
      <c r="B17" s="2790" t="s">
        <v>2878</v>
      </c>
      <c r="C17" s="924">
        <f>SUMPRODUCT((修正!A2:A5=E2)*(修正!B1:M1=G2)*(修正!B2:M5))</f>
        <v>2.5</v>
      </c>
      <c r="D17" s="2791" t="s">
        <v>2879</v>
      </c>
      <c r="E17" s="923" t="str">
        <f>IF(OR(G2="八级",G2="九级",G2="十级",G2="十一级",G2="十二级"),"五通一平","七通一平")</f>
        <v>七通一平</v>
      </c>
      <c r="F17" s="924" t="s">
        <v>2880</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92"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2882</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2883</v>
      </c>
      <c r="C19" s="927">
        <f>ROUND(IF(H19="按公示增长率计算",SUMPRODUCT((地价!A3:A20=YEAR(G19)&amp;"-"&amp;ROUNDUP(MONTH(G19)/3,0))*(地价!X2:AB2=E2)*(地价!X3:AB20)),IF(H19="地价指数",M20/M19,(1+I19)^O19)),4)</f>
        <v>1.2667999999999999</v>
      </c>
      <c r="D19" s="2802" t="s">
        <v>2884</v>
      </c>
      <c r="E19" s="928">
        <v>41640</v>
      </c>
      <c r="F19" s="2802" t="s">
        <v>2885</v>
      </c>
      <c r="G19" s="929">
        <f>'数据-取费表'!B2</f>
        <v>43056</v>
      </c>
      <c r="H19" s="2803" t="s">
        <v>3203</v>
      </c>
      <c r="I19" s="930" t="str">
        <f>IF(H19="季度增幅（自定义）",SUMIF(N21:N24,E2,O21:O24),"")</f>
        <v/>
      </c>
      <c r="J19" s="2800"/>
      <c r="K19" s="1380"/>
      <c r="L19" s="2804" t="s">
        <v>2886</v>
      </c>
      <c r="M19" s="1738">
        <f>ROUND(SUMIF(地价!B2:F2,E2,地价!B20:F20),0)</f>
        <v>258</v>
      </c>
      <c r="N19" s="2805" t="s">
        <v>2887</v>
      </c>
      <c r="O19" s="931">
        <f>ROUNDDOWN(DATEDIF(E19,G19,"M")/3,0)</f>
        <v>15</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2888</v>
      </c>
      <c r="C20" s="932">
        <f ca="1">ROUND(POWER(1+G20,J20-I20)*(POWER(1+G20,I20)-1)/(POWER(1+G20,J20)-1),4)</f>
        <v>0.92789999999999995</v>
      </c>
      <c r="D20" s="2811" t="s">
        <v>2889</v>
      </c>
      <c r="E20" s="1772">
        <f ca="1">存贷款利率!D4/100</f>
        <v>4.3499999999999997E-2</v>
      </c>
      <c r="F20" s="2811" t="s">
        <v>2881</v>
      </c>
      <c r="G20" s="937">
        <f ca="1">SUMIF(M15:P15,E2,M17:P17)</f>
        <v>5.1999999999999998E-2</v>
      </c>
      <c r="H20" s="2811" t="s">
        <v>2890</v>
      </c>
      <c r="I20" s="938">
        <f>SUMIF('数据-取费表'!C6:C15,E2,'数据-取费表'!F6:F15)/COUNTIF('数据-取费表'!C6:C15,E2)</f>
        <v>38</v>
      </c>
      <c r="J20" s="939">
        <f>IF(E2="住宅",70,IF(E2="商业",40,50))</f>
        <v>50</v>
      </c>
      <c r="K20" s="1380"/>
      <c r="L20" s="2812" t="s">
        <v>2891</v>
      </c>
      <c r="M20" s="1739">
        <f>ROUND(SUMPRODUCT((地价!A5:A20=YEAR(G19)&amp;"-"&amp;ROUNDUP(MONTH(G19)/3,0))*(地价!B2:F2=E2)*(地价!B5:F20)),0)</f>
        <v>326</v>
      </c>
      <c r="N20" s="2813" t="s">
        <v>2892</v>
      </c>
      <c r="O20" s="2814" t="s">
        <v>2893</v>
      </c>
      <c r="P20" s="2815" t="s">
        <v>2894</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3215</v>
      </c>
      <c r="C21" s="940">
        <f>IF(B21="容积率修正",IF(G3&lt;=10,D22,J22),C23)</f>
        <v>1</v>
      </c>
      <c r="D21" s="2818"/>
      <c r="E21" s="2818"/>
      <c r="F21" s="2818"/>
      <c r="G21" s="2818"/>
      <c r="H21" s="2818"/>
      <c r="I21" s="2818"/>
      <c r="J21" s="2819"/>
      <c r="K21" s="1380"/>
      <c r="N21" s="2820" t="s">
        <v>2895</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3" customFormat="1" ht="14.25">
      <c r="A22" s="2669" t="s">
        <v>2896</v>
      </c>
      <c r="B22" s="2821" t="s">
        <v>2897</v>
      </c>
      <c r="C22" s="1814" t="s">
        <v>2898</v>
      </c>
      <c r="D22" s="1814">
        <f>IF(E22=G22,F22,IF(G3&lt;=10,ROUND(F22+(H22-F22)*(G3-E22)/(G22-E22),4),"——"))</f>
        <v>1</v>
      </c>
      <c r="E22" s="916">
        <f>ROUNDDOWN(G3,1)</f>
        <v>2.5</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4" t="s">
        <v>155</v>
      </c>
      <c r="J22" s="941" t="str">
        <f>IF(G3&gt;10,D113,"——")</f>
        <v>——</v>
      </c>
      <c r="K22" s="1380"/>
      <c r="N22" s="2820" t="s">
        <v>2899</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9" t="s">
        <v>2900</v>
      </c>
      <c r="B23" s="2822" t="s">
        <v>2901</v>
      </c>
      <c r="C23" s="1016">
        <f>ROUND(IF(G3&gt;1,IF(I3&lt;7,SUMPRODUCT((B93:B98=I3)*(C92:N92=G2)*(C93:N98)),SUMIF(C92:N92,G2,C100:N100)),IF(I3&lt;7,SUMPRODUCT((B102:B107=I3)*(C92:N92=G2)*(C102:N107)),SUMIF(C92:N92,G2,C109:N109))),4)</f>
        <v>1.8629</v>
      </c>
      <c r="D23" s="2778"/>
      <c r="E23" s="2778"/>
      <c r="F23" s="2823"/>
      <c r="G23" s="2824"/>
      <c r="H23" s="2825"/>
      <c r="I23" s="2826"/>
      <c r="J23" s="2827"/>
      <c r="K23" s="1373"/>
      <c r="N23" s="2820" t="s">
        <v>2902</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2903</v>
      </c>
      <c r="C24" s="927">
        <f>SUMIF(A45:A88,E2,B45:B88)</f>
        <v>1.0226999999999999</v>
      </c>
      <c r="D24" s="2798"/>
      <c r="E24" s="2828"/>
      <c r="F24" s="2828"/>
      <c r="G24" s="2828"/>
      <c r="H24" s="2828"/>
      <c r="I24" s="2828"/>
      <c r="J24" s="2829"/>
      <c r="K24" s="1380"/>
      <c r="N24" s="2830" t="s">
        <v>2904</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2905</v>
      </c>
      <c r="C25" s="933"/>
      <c r="D25" s="2753"/>
      <c r="E25" s="2753"/>
      <c r="F25" s="2832"/>
      <c r="G25" s="2753"/>
      <c r="H25" s="2753"/>
      <c r="I25" s="2753"/>
      <c r="J25" s="2754"/>
      <c r="K25" s="1373"/>
      <c r="N25" s="2833" t="s">
        <v>2906</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4"/>
      <c r="B26" s="2821" t="s">
        <v>2907</v>
      </c>
      <c r="C26" s="206">
        <f ca="1">E29+SUM(E33:E39)</f>
        <v>1150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2908</v>
      </c>
      <c r="C27" s="934">
        <f ca="1">E30+SUM(I33:I39)</f>
        <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2909</v>
      </c>
      <c r="C28" s="2845" t="s">
        <v>2910</v>
      </c>
      <c r="D28" s="2845" t="s">
        <v>2911</v>
      </c>
      <c r="E28" s="2846" t="s">
        <v>2912</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2913</v>
      </c>
      <c r="C29" s="206">
        <f ca="1">ROUND(C5*C18*C19*C20*C21*C24,0)</f>
        <v>9081</v>
      </c>
      <c r="D29" s="2850">
        <f>'数据-汇总表'!E3</f>
        <v>1266.6499999999999</v>
      </c>
      <c r="E29" s="945">
        <f ca="1">ROUND(C29*D29/10000,0)</f>
        <v>1150</v>
      </c>
      <c r="F29" s="2851" t="s">
        <v>2914</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2915</v>
      </c>
      <c r="C30" s="229">
        <f ca="1">ROUND(IF(E2="工业",C29*M39,C29*M38),0)</f>
        <v>2270</v>
      </c>
      <c r="D30" s="2856"/>
      <c r="E30" s="945">
        <f ca="1">ROUND(C30*D30/10000,0)</f>
        <v>0</v>
      </c>
      <c r="F30" s="2857" t="s">
        <v>2916</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2917</v>
      </c>
      <c r="C31" s="2862" t="s">
        <v>2918</v>
      </c>
      <c r="D31" s="2766"/>
      <c r="E31" s="2862"/>
      <c r="F31" s="2862"/>
      <c r="G31" s="2764" t="s">
        <v>2919</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2910</v>
      </c>
      <c r="D32" s="498" t="s">
        <v>2911</v>
      </c>
      <c r="E32" s="498" t="s">
        <v>2912</v>
      </c>
      <c r="F32" s="388" t="s">
        <v>2920</v>
      </c>
      <c r="G32" s="2865" t="s">
        <v>2910</v>
      </c>
      <c r="H32" s="2865" t="s">
        <v>2911</v>
      </c>
      <c r="I32" s="2865" t="s">
        <v>2912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23" t="s">
        <v>2921</v>
      </c>
      <c r="B33" s="2866" t="s">
        <v>2922</v>
      </c>
      <c r="C33" s="206">
        <f ca="1">ROUND(D5*C19*C20*C24*F33,0)</f>
        <v>0</v>
      </c>
      <c r="D33" s="2850"/>
      <c r="E33" s="200">
        <f ca="1">ROUND(C33*D33/10000,0)</f>
        <v>0</v>
      </c>
      <c r="F33" s="200">
        <f>SUMIF(修正!A45:A56,G2,修正!B45:B56)</f>
        <v>0.7</v>
      </c>
      <c r="G33" s="200">
        <f t="shared" ref="G33:G39"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4"/>
      <c r="B34" s="2770" t="s">
        <v>2923</v>
      </c>
      <c r="C34" s="206">
        <f ca="1">ROUND(D5*C19*C20*C24*F34,0)</f>
        <v>0</v>
      </c>
      <c r="D34" s="2850"/>
      <c r="E34" s="200">
        <f t="shared" ref="E34:E39" ca="1" si="7">ROUND(C34*D34/10000,0)</f>
        <v>0</v>
      </c>
      <c r="F34" s="200">
        <f>SUMIF(修正!A45:A56,G2,修正!C45:C56)</f>
        <v>0.4</v>
      </c>
      <c r="G34" s="200">
        <f t="shared" ca="1" si="6"/>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4"/>
      <c r="B35" s="2770" t="s">
        <v>2924</v>
      </c>
      <c r="C35" s="206">
        <f ca="1">ROUND(D5*C19*C20*C24*F35,0)</f>
        <v>0</v>
      </c>
      <c r="D35" s="2850"/>
      <c r="E35" s="200">
        <f t="shared" ca="1" si="7"/>
        <v>0</v>
      </c>
      <c r="F35" s="200">
        <f>SUMIF(修正!A45:A56,G2,修正!D45:D56)</f>
        <v>0.28000000000000003</v>
      </c>
      <c r="G35" s="200">
        <f t="shared" ca="1" si="6"/>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325"/>
      <c r="B36" s="2770" t="s">
        <v>2925</v>
      </c>
      <c r="C36" s="206">
        <f ca="1">ROUND(D5*C19*C20*C24*F36,0)</f>
        <v>0</v>
      </c>
      <c r="D36" s="2850"/>
      <c r="E36" s="200">
        <f t="shared" ca="1" si="7"/>
        <v>0</v>
      </c>
      <c r="F36" s="200">
        <f>SUMIF(修正!A45:A56,G2,修正!E45:E56)</f>
        <v>0.25</v>
      </c>
      <c r="G36" s="200">
        <f t="shared" ca="1" si="6"/>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2926</v>
      </c>
      <c r="C37" s="200">
        <f ca="1">ROUND(C5*C19*C20*C24*F37,0)</f>
        <v>2270</v>
      </c>
      <c r="D37" s="2850"/>
      <c r="E37" s="200">
        <f t="shared" ca="1" si="7"/>
        <v>0</v>
      </c>
      <c r="F37" s="206">
        <f>SUMIF(修正!A45:A56,G2,修正!F45:F56)</f>
        <v>0.25</v>
      </c>
      <c r="G37" s="200">
        <f t="shared" ca="1" si="6"/>
        <v>568</v>
      </c>
      <c r="H37" s="200">
        <f t="shared" si="8"/>
        <v>0</v>
      </c>
      <c r="I37" s="200">
        <f t="shared" ca="1" si="9"/>
        <v>0</v>
      </c>
      <c r="J37" s="2867"/>
      <c r="K37" s="1373"/>
      <c r="L37" s="2869" t="s">
        <v>2927</v>
      </c>
      <c r="M37" s="2870"/>
      <c r="N37" s="1373"/>
      <c r="O37" s="1373"/>
      <c r="P37" s="1373"/>
      <c r="Q37" s="1373"/>
      <c r="R37" s="1373"/>
      <c r="S37" s="1373"/>
      <c r="T37" s="1373"/>
      <c r="U37" s="1373"/>
      <c r="V37" s="1373"/>
      <c r="W37" s="1373"/>
      <c r="X37" s="1373"/>
      <c r="Y37" s="1373"/>
      <c r="Z37" s="1374"/>
    </row>
    <row r="38" spans="1:37">
      <c r="A38" s="2868"/>
      <c r="B38" s="2770" t="s">
        <v>2928</v>
      </c>
      <c r="C38" s="200">
        <f ca="1">ROUND(C5*C19*C20*C24*F38,0)</f>
        <v>2270</v>
      </c>
      <c r="D38" s="2850"/>
      <c r="E38" s="200">
        <f t="shared" ca="1" si="7"/>
        <v>0</v>
      </c>
      <c r="F38" s="206">
        <f>SUMIF(修正!A45:A56,G2,修正!G45:G56)</f>
        <v>0.25</v>
      </c>
      <c r="G38" s="200">
        <f t="shared" ca="1" si="6"/>
        <v>568</v>
      </c>
      <c r="H38" s="200">
        <f t="shared" si="8"/>
        <v>0</v>
      </c>
      <c r="I38" s="200">
        <f t="shared" ca="1" si="9"/>
        <v>0</v>
      </c>
      <c r="J38" s="2867"/>
      <c r="K38" s="1373"/>
      <c r="L38" s="1891" t="s">
        <v>2929</v>
      </c>
      <c r="M38" s="2871">
        <v>0.25</v>
      </c>
      <c r="N38" s="1373"/>
      <c r="O38" s="1373"/>
      <c r="P38" s="1373"/>
      <c r="Q38" s="1373"/>
      <c r="R38" s="1373"/>
      <c r="S38" s="1373"/>
      <c r="T38" s="1373"/>
      <c r="U38" s="1373"/>
      <c r="V38" s="1373"/>
      <c r="W38" s="1373"/>
      <c r="X38" s="1373"/>
      <c r="Y38" s="1373"/>
      <c r="Z38" s="1374"/>
    </row>
    <row r="39" spans="1:37" ht="13.5" thickBot="1">
      <c r="A39" s="2854"/>
      <c r="B39" s="2872" t="s">
        <v>2930</v>
      </c>
      <c r="C39" s="229">
        <f ca="1">ROUND(C5*C19*C20*C24*F39,0)</f>
        <v>1816</v>
      </c>
      <c r="D39" s="2856"/>
      <c r="E39" s="229">
        <f t="shared" ca="1" si="7"/>
        <v>0</v>
      </c>
      <c r="F39" s="935">
        <f>SUMIF(修正!A45:A56,G2,修正!H45:H56)</f>
        <v>0.2</v>
      </c>
      <c r="G39" s="229">
        <f t="shared" ca="1" si="6"/>
        <v>454</v>
      </c>
      <c r="H39" s="229">
        <f t="shared" si="8"/>
        <v>0</v>
      </c>
      <c r="I39" s="229">
        <f t="shared" ca="1" si="9"/>
        <v>0</v>
      </c>
      <c r="J39" s="2873"/>
      <c r="K39" s="1373"/>
      <c r="L39" s="2874" t="s">
        <v>2873</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2931</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2932</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2933</v>
      </c>
      <c r="B47" s="1813" t="s">
        <v>2934</v>
      </c>
      <c r="C47" s="1813" t="s">
        <v>2935</v>
      </c>
      <c r="D47" s="1813" t="s">
        <v>2936</v>
      </c>
      <c r="E47" s="819" t="s">
        <v>2937</v>
      </c>
      <c r="F47" s="2884" t="s">
        <v>2938</v>
      </c>
      <c r="G47" s="1813" t="s">
        <v>754</v>
      </c>
      <c r="H47" s="2885" t="s">
        <v>2939</v>
      </c>
      <c r="I47" s="1813" t="s">
        <v>2940</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51">
      <c r="A48" s="2883" t="s">
        <v>2941</v>
      </c>
      <c r="B48" s="2886" t="str">
        <f>估价对象房地状况!C4</f>
        <v>估价对象位于北京临空经济核心区，周边商业多以住宅底商为主，人流量一般，商业繁华度一般</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14.75">
      <c r="A49" s="2883" t="s">
        <v>2942</v>
      </c>
      <c r="B49" s="2887" t="str">
        <f>估价对象房地状况!C18</f>
        <v>估价对象周边路网密集程度较高，行车出入较为方便。周边1公里范围内有359路、640路、顺22路、空港10路、空港1路等不足十条公交线路，距地铁机场线T3航站楼站约2.2公里，公共交通便捷度一般。</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2943</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2944</v>
      </c>
      <c r="B51" s="2888" t="s">
        <v>2945</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2946</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2947</v>
      </c>
      <c r="B53" s="2889" t="s">
        <v>2948</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40.25">
      <c r="A54" s="2890" t="s">
        <v>2949</v>
      </c>
      <c r="B54" s="1729"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2950</v>
      </c>
      <c r="B55" s="2887" t="str">
        <f>估价对象房地状况!C22</f>
        <v>估价对象所在区域基础设施水平——七通</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1" t="s">
        <v>2951</v>
      </c>
      <c r="B56" s="2892" t="str">
        <f>估价对象房地状况!C20</f>
        <v>估价对象2公里内有西湖园，自然环境一般，区域内有首都机场体育馆，人文环境一般。综合评价环境状况一般。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2952</v>
      </c>
      <c r="B57" s="2880">
        <f>1+E59</f>
        <v>1.0226999999999999</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2933</v>
      </c>
      <c r="B58" s="1813"/>
      <c r="C58" s="1813" t="s">
        <v>2935</v>
      </c>
      <c r="D58" s="1813" t="s">
        <v>2936</v>
      </c>
      <c r="E58" s="819" t="s">
        <v>2937</v>
      </c>
      <c r="F58" s="2884" t="s">
        <v>2953</v>
      </c>
      <c r="G58" s="1813" t="s">
        <v>754</v>
      </c>
      <c r="H58" s="2885" t="s">
        <v>2939</v>
      </c>
      <c r="I58" s="1813" t="s">
        <v>2940</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51">
      <c r="A59" s="2883" t="s">
        <v>2954</v>
      </c>
      <c r="B59" s="2886" t="str">
        <f>估价对象房地状况!C17</f>
        <v>估价对象位于北京临空经济核心区，周边办公楼项目较少，入驻率高，办公集聚程度一般</v>
      </c>
      <c r="C59" s="2775" t="s">
        <v>3054</v>
      </c>
      <c r="D59" s="1289">
        <f t="shared" ref="D59:D67" si="15">SUMIF($J$58:$N$58,C59,J59:N59)</f>
        <v>0</v>
      </c>
      <c r="E59" s="821">
        <f>ROUND(SUM(D59:D67),4)</f>
        <v>2.2700000000000001E-2</v>
      </c>
      <c r="F59" s="2506">
        <f>IF(E2="办公",SUMIF(L1:L12,G2,N1:N12),"——")</f>
        <v>0.13</v>
      </c>
      <c r="G59" s="1287">
        <f>H59</f>
        <v>1.5599999999999999E-2</v>
      </c>
      <c r="H59" s="1291">
        <f t="shared" ref="H59:H67" si="16">IFERROR(ROUNDDOWN($F$59*I59/2,4),"——")</f>
        <v>1.5599999999999999E-2</v>
      </c>
      <c r="I59" s="820">
        <v>0.24</v>
      </c>
      <c r="J59" s="1288">
        <f t="shared" ref="J59:J67" si="17">K59+$G59</f>
        <v>3.1199999999999999E-2</v>
      </c>
      <c r="K59" s="1288">
        <f t="shared" ref="K59:K67" si="18">$L59+$G59</f>
        <v>1.5599999999999999E-2</v>
      </c>
      <c r="L59" s="1288">
        <v>0</v>
      </c>
      <c r="M59" s="1288">
        <f t="shared" ref="M59:N67" si="19">L59-$G59</f>
        <v>-1.5599999999999999E-2</v>
      </c>
      <c r="N59" s="1288">
        <f t="shared" si="19"/>
        <v>-3.1199999999999999E-2</v>
      </c>
      <c r="AA59" s="1374"/>
      <c r="AB59" s="1374"/>
      <c r="AC59" s="1374"/>
      <c r="AD59" s="1374"/>
      <c r="AE59" s="1374"/>
      <c r="AF59" s="1374"/>
      <c r="AG59" s="1374"/>
      <c r="AH59" s="1374"/>
      <c r="AI59" s="1374"/>
      <c r="AJ59" s="1374"/>
      <c r="AK59" s="1374"/>
    </row>
    <row r="60" spans="1:37" s="1373" customFormat="1" ht="114.75">
      <c r="A60" s="2883" t="s">
        <v>2942</v>
      </c>
      <c r="B60" s="2887" t="str">
        <f>估价对象房地状况!C18</f>
        <v>估价对象周边路网密集程度较高，行车出入较为方便。周边1公里范围内有359路、640路、顺22路、空港10路、空港1路等不足十条公交线路，距地铁机场线T3航站楼站约2.2公里，公共交通便捷度一般。</v>
      </c>
      <c r="C60" s="2775" t="s">
        <v>3054</v>
      </c>
      <c r="D60" s="1289">
        <f t="shared" si="15"/>
        <v>0</v>
      </c>
      <c r="E60" s="822"/>
      <c r="F60" s="2506"/>
      <c r="G60" s="1287">
        <f t="shared" ref="G60:G67" si="20">H60</f>
        <v>1.95E-2</v>
      </c>
      <c r="H60" s="1291">
        <f t="shared" si="16"/>
        <v>1.95E-2</v>
      </c>
      <c r="I60" s="820">
        <v>0.3</v>
      </c>
      <c r="J60" s="1288">
        <f t="shared" si="17"/>
        <v>3.9E-2</v>
      </c>
      <c r="K60" s="1288">
        <f t="shared" si="18"/>
        <v>1.95E-2</v>
      </c>
      <c r="L60" s="1288">
        <v>0</v>
      </c>
      <c r="M60" s="1288">
        <f t="shared" si="19"/>
        <v>-1.95E-2</v>
      </c>
      <c r="N60" s="1288">
        <f t="shared" si="19"/>
        <v>-3.9E-2</v>
      </c>
      <c r="AA60" s="1374"/>
      <c r="AB60" s="1374"/>
      <c r="AC60" s="1374"/>
      <c r="AD60" s="1374"/>
      <c r="AE60" s="1374"/>
      <c r="AF60" s="1374"/>
      <c r="AG60" s="1374"/>
      <c r="AH60" s="1374"/>
      <c r="AI60" s="1374"/>
      <c r="AJ60" s="1374"/>
      <c r="AK60" s="1374"/>
    </row>
    <row r="61" spans="1:37" s="1373" customFormat="1" ht="24">
      <c r="A61" s="2883" t="s">
        <v>2943</v>
      </c>
      <c r="B61" s="2887">
        <f>估价对象房地状况!C19</f>
        <v>0</v>
      </c>
      <c r="C61" s="2775" t="s">
        <v>3055</v>
      </c>
      <c r="D61" s="1289">
        <f t="shared" si="15"/>
        <v>5.1999999999999998E-3</v>
      </c>
      <c r="E61" s="822"/>
      <c r="F61" s="2506"/>
      <c r="G61" s="1287">
        <f t="shared" si="20"/>
        <v>5.1999999999999998E-3</v>
      </c>
      <c r="H61" s="1291">
        <f t="shared" si="16"/>
        <v>5.1999999999999998E-3</v>
      </c>
      <c r="I61" s="820">
        <v>0.08</v>
      </c>
      <c r="J61" s="1288">
        <f t="shared" si="17"/>
        <v>1.04E-2</v>
      </c>
      <c r="K61" s="1288">
        <f t="shared" si="18"/>
        <v>5.1999999999999998E-3</v>
      </c>
      <c r="L61" s="1288">
        <v>0</v>
      </c>
      <c r="M61" s="1288">
        <f t="shared" si="19"/>
        <v>-5.1999999999999998E-3</v>
      </c>
      <c r="N61" s="1288">
        <f t="shared" si="19"/>
        <v>-1.04E-2</v>
      </c>
      <c r="AA61" s="1374"/>
      <c r="AB61" s="1374"/>
      <c r="AC61" s="1374"/>
      <c r="AD61" s="1374"/>
      <c r="AE61" s="1374"/>
      <c r="AF61" s="1374"/>
      <c r="AG61" s="1374"/>
      <c r="AH61" s="1374"/>
      <c r="AI61" s="1374"/>
      <c r="AJ61" s="1374"/>
      <c r="AK61" s="1374"/>
    </row>
    <row r="62" spans="1:37" s="1373" customFormat="1" ht="36.75">
      <c r="A62" s="2883" t="s">
        <v>2944</v>
      </c>
      <c r="B62" s="2888" t="s">
        <v>2945</v>
      </c>
      <c r="C62" s="2775" t="s">
        <v>3055</v>
      </c>
      <c r="D62" s="1289">
        <f t="shared" si="15"/>
        <v>2.5999999999999999E-3</v>
      </c>
      <c r="E62" s="822"/>
      <c r="F62" s="2506"/>
      <c r="G62" s="1287">
        <f t="shared" si="20"/>
        <v>2.5999999999999999E-3</v>
      </c>
      <c r="H62" s="1291">
        <f t="shared" si="16"/>
        <v>2.5999999999999999E-3</v>
      </c>
      <c r="I62" s="820">
        <v>0.04</v>
      </c>
      <c r="J62" s="1288">
        <f t="shared" si="17"/>
        <v>5.1999999999999998E-3</v>
      </c>
      <c r="K62" s="1288">
        <f t="shared" si="18"/>
        <v>2.5999999999999999E-3</v>
      </c>
      <c r="L62" s="1288">
        <v>0</v>
      </c>
      <c r="M62" s="1288">
        <f t="shared" si="19"/>
        <v>-2.5999999999999999E-3</v>
      </c>
      <c r="N62" s="1288">
        <f t="shared" si="19"/>
        <v>-5.1999999999999998E-3</v>
      </c>
      <c r="AA62" s="1374"/>
      <c r="AB62" s="1374"/>
      <c r="AC62" s="1374"/>
      <c r="AD62" s="1374"/>
      <c r="AE62" s="1374"/>
      <c r="AF62" s="1374"/>
      <c r="AG62" s="1374"/>
      <c r="AH62" s="1374"/>
      <c r="AI62" s="1374"/>
      <c r="AJ62" s="1374"/>
      <c r="AK62" s="1374"/>
    </row>
    <row r="63" spans="1:37" s="1373" customFormat="1" ht="24">
      <c r="A63" s="2883" t="s">
        <v>2946</v>
      </c>
      <c r="B63" s="2887">
        <f>估价对象房地状况!C24</f>
        <v>0</v>
      </c>
      <c r="C63" s="2775" t="s">
        <v>3054</v>
      </c>
      <c r="D63" s="1289">
        <f t="shared" si="15"/>
        <v>0</v>
      </c>
      <c r="E63" s="822"/>
      <c r="F63" s="2506"/>
      <c r="G63" s="1287">
        <f t="shared" si="20"/>
        <v>3.2000000000000002E-3</v>
      </c>
      <c r="H63" s="1291">
        <f t="shared" si="16"/>
        <v>3.2000000000000002E-3</v>
      </c>
      <c r="I63" s="820">
        <v>0.05</v>
      </c>
      <c r="J63" s="1288">
        <f t="shared" si="17"/>
        <v>6.4000000000000003E-3</v>
      </c>
      <c r="K63" s="1288">
        <f t="shared" si="18"/>
        <v>3.2000000000000002E-3</v>
      </c>
      <c r="L63" s="1288">
        <v>0</v>
      </c>
      <c r="M63" s="1288">
        <f t="shared" si="19"/>
        <v>-3.2000000000000002E-3</v>
      </c>
      <c r="N63" s="1288">
        <f t="shared" si="19"/>
        <v>-6.4000000000000003E-3</v>
      </c>
      <c r="AA63" s="1374"/>
      <c r="AB63" s="1374"/>
      <c r="AC63" s="1374"/>
      <c r="AD63" s="1374"/>
      <c r="AE63" s="1374"/>
      <c r="AF63" s="1374"/>
      <c r="AG63" s="1374"/>
      <c r="AH63" s="1374"/>
      <c r="AI63" s="1374"/>
      <c r="AJ63" s="1374"/>
      <c r="AK63" s="1374"/>
    </row>
    <row r="64" spans="1:37" s="1373" customFormat="1" ht="24">
      <c r="A64" s="2883" t="s">
        <v>2947</v>
      </c>
      <c r="B64" s="2889" t="s">
        <v>2948</v>
      </c>
      <c r="C64" s="2775" t="s">
        <v>3055</v>
      </c>
      <c r="D64" s="1289">
        <f t="shared" si="15"/>
        <v>3.2000000000000002E-3</v>
      </c>
      <c r="E64" s="822"/>
      <c r="F64" s="2506"/>
      <c r="G64" s="1287">
        <f t="shared" si="20"/>
        <v>3.2000000000000002E-3</v>
      </c>
      <c r="H64" s="1291">
        <f t="shared" si="16"/>
        <v>3.2000000000000002E-3</v>
      </c>
      <c r="I64" s="820">
        <v>0.05</v>
      </c>
      <c r="J64" s="1288">
        <f t="shared" si="17"/>
        <v>6.4000000000000003E-3</v>
      </c>
      <c r="K64" s="1288">
        <f t="shared" si="18"/>
        <v>3.2000000000000002E-3</v>
      </c>
      <c r="L64" s="1288">
        <v>0</v>
      </c>
      <c r="M64" s="1288">
        <f t="shared" si="19"/>
        <v>-3.2000000000000002E-3</v>
      </c>
      <c r="N64" s="1288">
        <f t="shared" si="19"/>
        <v>-6.4000000000000003E-3</v>
      </c>
      <c r="AA64" s="1374"/>
      <c r="AB64" s="1374"/>
      <c r="AC64" s="1374"/>
      <c r="AD64" s="1374"/>
      <c r="AE64" s="1374"/>
      <c r="AF64" s="1374"/>
      <c r="AG64" s="1374"/>
      <c r="AH64" s="1374"/>
      <c r="AI64" s="1374"/>
      <c r="AJ64" s="1374"/>
      <c r="AK64" s="1374"/>
    </row>
    <row r="65" spans="1:37" s="1373" customFormat="1" ht="140.25">
      <c r="A65" s="2883" t="s">
        <v>2949</v>
      </c>
      <c r="B65" s="1729"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65" s="2775" t="s">
        <v>3055</v>
      </c>
      <c r="D65" s="1289">
        <f t="shared" si="15"/>
        <v>3.8999999999999998E-3</v>
      </c>
      <c r="E65" s="822"/>
      <c r="F65" s="2506"/>
      <c r="G65" s="1287">
        <f t="shared" si="20"/>
        <v>3.8999999999999998E-3</v>
      </c>
      <c r="H65" s="1291">
        <f t="shared" si="16"/>
        <v>3.8999999999999998E-3</v>
      </c>
      <c r="I65" s="820">
        <v>0.06</v>
      </c>
      <c r="J65" s="1288">
        <f t="shared" si="17"/>
        <v>7.7999999999999996E-3</v>
      </c>
      <c r="K65" s="1288">
        <f t="shared" si="18"/>
        <v>3.8999999999999998E-3</v>
      </c>
      <c r="L65" s="1288">
        <v>0</v>
      </c>
      <c r="M65" s="1288">
        <f t="shared" si="19"/>
        <v>-3.8999999999999998E-3</v>
      </c>
      <c r="N65" s="1288">
        <f t="shared" si="19"/>
        <v>-7.7999999999999996E-3</v>
      </c>
      <c r="AA65" s="1374"/>
      <c r="AB65" s="1374"/>
      <c r="AC65" s="1374"/>
      <c r="AD65" s="1374"/>
      <c r="AE65" s="1374"/>
      <c r="AF65" s="1374"/>
      <c r="AG65" s="1374"/>
      <c r="AH65" s="1374"/>
      <c r="AI65" s="1374"/>
      <c r="AJ65" s="1374"/>
      <c r="AK65" s="1374"/>
    </row>
    <row r="66" spans="1:37" s="1373" customFormat="1" ht="25.5">
      <c r="A66" s="2883" t="s">
        <v>2950</v>
      </c>
      <c r="B66" s="1729" t="str">
        <f>估价对象房地状况!C22</f>
        <v>估价对象所在区域基础设施水平——七通</v>
      </c>
      <c r="C66" s="2775" t="s">
        <v>3055</v>
      </c>
      <c r="D66" s="1289">
        <f t="shared" si="15"/>
        <v>7.7999999999999996E-3</v>
      </c>
      <c r="E66" s="822"/>
      <c r="F66" s="2506"/>
      <c r="G66" s="1287">
        <f t="shared" si="20"/>
        <v>7.7999999999999996E-3</v>
      </c>
      <c r="H66" s="1291">
        <f t="shared" si="16"/>
        <v>7.7999999999999996E-3</v>
      </c>
      <c r="I66" s="820">
        <v>0.12</v>
      </c>
      <c r="J66" s="1288">
        <f t="shared" si="17"/>
        <v>1.5599999999999999E-2</v>
      </c>
      <c r="K66" s="1288">
        <f t="shared" si="18"/>
        <v>7.7999999999999996E-3</v>
      </c>
      <c r="L66" s="1288">
        <v>0</v>
      </c>
      <c r="M66" s="1288">
        <f t="shared" si="19"/>
        <v>-7.7999999999999996E-3</v>
      </c>
      <c r="N66" s="1288">
        <f t="shared" si="19"/>
        <v>-1.5599999999999999E-2</v>
      </c>
      <c r="AA66" s="1374"/>
      <c r="AB66" s="1374"/>
      <c r="AC66" s="1374"/>
      <c r="AD66" s="1374"/>
      <c r="AE66" s="1374"/>
      <c r="AF66" s="1374"/>
      <c r="AG66" s="1374"/>
      <c r="AH66" s="1374"/>
      <c r="AI66" s="1374"/>
      <c r="AJ66" s="1374"/>
      <c r="AK66" s="1374"/>
    </row>
    <row r="67" spans="1:37" s="1373" customFormat="1" ht="64.5" thickBot="1">
      <c r="A67" s="2891" t="s">
        <v>2951</v>
      </c>
      <c r="B67" s="2893" t="str">
        <f>估价对象房地状况!C20</f>
        <v>估价对象2公里内有西湖园，自然环境一般，区域内有首都机场体育馆，人文环境一般。综合评价环境状况一般。</v>
      </c>
      <c r="C67" s="2775" t="s">
        <v>3054</v>
      </c>
      <c r="D67" s="1289">
        <f t="shared" si="15"/>
        <v>0</v>
      </c>
      <c r="E67" s="825"/>
      <c r="F67" s="2506"/>
      <c r="G67" s="1287">
        <f t="shared" si="20"/>
        <v>3.8999999999999998E-3</v>
      </c>
      <c r="H67" s="1291">
        <f t="shared" si="16"/>
        <v>3.8999999999999998E-3</v>
      </c>
      <c r="I67" s="824">
        <v>0.06</v>
      </c>
      <c r="J67" s="1288">
        <f t="shared" si="17"/>
        <v>7.7999999999999996E-3</v>
      </c>
      <c r="K67" s="1288">
        <f t="shared" si="18"/>
        <v>3.8999999999999998E-3</v>
      </c>
      <c r="L67" s="1288">
        <v>0</v>
      </c>
      <c r="M67" s="1288">
        <f t="shared" si="19"/>
        <v>-3.8999999999999998E-3</v>
      </c>
      <c r="N67" s="1288">
        <f t="shared" si="19"/>
        <v>-7.7999999999999996E-3</v>
      </c>
      <c r="AA67" s="1374"/>
      <c r="AB67" s="1374"/>
      <c r="AC67" s="1374"/>
      <c r="AD67" s="1374"/>
      <c r="AE67" s="1374"/>
      <c r="AF67" s="1374"/>
      <c r="AG67" s="1374"/>
      <c r="AH67" s="1374"/>
      <c r="AI67" s="1374"/>
      <c r="AJ67" s="1374"/>
      <c r="AK67" s="1374"/>
    </row>
    <row r="68" spans="1:37" s="1373" customFormat="1" ht="15">
      <c r="A68" s="2879" t="s">
        <v>2955</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2933</v>
      </c>
      <c r="B69" s="1813"/>
      <c r="C69" s="1813" t="s">
        <v>2935</v>
      </c>
      <c r="D69" s="1813" t="s">
        <v>2936</v>
      </c>
      <c r="E69" s="819" t="s">
        <v>2937</v>
      </c>
      <c r="F69" s="2884" t="s">
        <v>2953</v>
      </c>
      <c r="G69" s="1813" t="s">
        <v>754</v>
      </c>
      <c r="H69" s="2885" t="s">
        <v>2939</v>
      </c>
      <c r="I69" s="1813" t="s">
        <v>2940</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24">
      <c r="A70" s="2883" t="s">
        <v>2956</v>
      </c>
      <c r="B70" s="2886">
        <f>估价对象房地状况!C15</f>
        <v>0</v>
      </c>
      <c r="C70" s="2775"/>
      <c r="D70" s="1289">
        <f t="shared" ref="D70:D78" si="21">SUMIF($J$69:$N$69,C70,J70:N70)</f>
        <v>0</v>
      </c>
      <c r="E70" s="821">
        <f>ROUND(SUM(D70:D78),4)</f>
        <v>0</v>
      </c>
      <c r="F70" s="2506"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114.75">
      <c r="A71" s="2883" t="s">
        <v>2942</v>
      </c>
      <c r="B71" s="2887" t="str">
        <f>估价对象房地状况!C18</f>
        <v>估价对象周边路网密集程度较高，行车出入较为方便。周边1公里范围内有359路、640路、顺22路、空港10路、空港1路等不足十条公交线路，距地铁机场线T3航站楼站约2.2公里，公共交通便捷度一般。</v>
      </c>
      <c r="C71" s="2775"/>
      <c r="D71" s="1289">
        <f t="shared" si="21"/>
        <v>0</v>
      </c>
      <c r="E71" s="826"/>
      <c r="F71" s="2506"/>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3" t="s">
        <v>2943</v>
      </c>
      <c r="B72" s="2887">
        <f>估价对象房地状况!C19</f>
        <v>0</v>
      </c>
      <c r="C72" s="2775"/>
      <c r="D72" s="1289">
        <f t="shared" si="21"/>
        <v>0</v>
      </c>
      <c r="E72" s="826"/>
      <c r="F72" s="2506"/>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3" t="s">
        <v>2957</v>
      </c>
      <c r="B73" s="2887">
        <f>估价对象房地状况!C24</f>
        <v>0</v>
      </c>
      <c r="C73" s="2775"/>
      <c r="D73" s="1289">
        <f t="shared" si="21"/>
        <v>0</v>
      </c>
      <c r="E73" s="826"/>
      <c r="F73" s="2506"/>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140.25">
      <c r="A74" s="2883" t="s">
        <v>2949</v>
      </c>
      <c r="B74" s="1729"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74" s="2775"/>
      <c r="D74" s="1289">
        <f t="shared" si="21"/>
        <v>0</v>
      </c>
      <c r="E74" s="826"/>
      <c r="F74" s="2506"/>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3" t="s">
        <v>2950</v>
      </c>
      <c r="B75" s="1729" t="str">
        <f>估价对象房地状况!C22</f>
        <v>估价对象所在区域基础设施水平——七通</v>
      </c>
      <c r="C75" s="2775"/>
      <c r="D75" s="1289">
        <f t="shared" si="21"/>
        <v>0</v>
      </c>
      <c r="E75" s="826"/>
      <c r="F75" s="2506"/>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4" customFormat="1" ht="24">
      <c r="A76" s="2883" t="s">
        <v>2947</v>
      </c>
      <c r="B76" s="2889" t="s">
        <v>2948</v>
      </c>
      <c r="C76" s="2775"/>
      <c r="D76" s="1289">
        <f t="shared" si="21"/>
        <v>0</v>
      </c>
      <c r="E76" s="826"/>
      <c r="F76" s="2506"/>
      <c r="G76" s="1287"/>
      <c r="H76" s="1291" t="str">
        <f t="shared" si="22"/>
        <v>——</v>
      </c>
      <c r="I76" s="820">
        <v>0.05</v>
      </c>
      <c r="J76" s="1288">
        <f t="shared" si="23"/>
        <v>0</v>
      </c>
      <c r="K76" s="1288">
        <f t="shared" si="24"/>
        <v>0</v>
      </c>
      <c r="L76" s="1288">
        <v>0</v>
      </c>
      <c r="M76" s="1288">
        <f t="shared" si="25"/>
        <v>0</v>
      </c>
      <c r="N76" s="1288">
        <f t="shared" si="25"/>
        <v>0</v>
      </c>
      <c r="AA76" s="2894"/>
      <c r="AB76" s="1374"/>
      <c r="AC76" s="1374"/>
      <c r="AD76" s="1374"/>
      <c r="AE76" s="1374"/>
      <c r="AF76" s="1374"/>
      <c r="AG76" s="1374"/>
      <c r="AH76" s="2894"/>
      <c r="AI76" s="2894"/>
      <c r="AJ76" s="2894"/>
      <c r="AK76" s="2894"/>
    </row>
    <row r="77" spans="1:37" ht="63.75">
      <c r="A77" s="2883" t="s">
        <v>2951</v>
      </c>
      <c r="B77" s="2886" t="str">
        <f>估价对象房地状况!C20</f>
        <v>估价对象2公里内有西湖园，自然环境一般，区域内有首都机场体育馆，人文环境一般。综合评价环境状况一般。</v>
      </c>
      <c r="C77" s="2775"/>
      <c r="D77" s="1289">
        <f t="shared" si="21"/>
        <v>0</v>
      </c>
      <c r="E77" s="826"/>
      <c r="F77" s="2506"/>
      <c r="G77" s="1287"/>
      <c r="H77" s="1291" t="str">
        <f t="shared" si="22"/>
        <v>——</v>
      </c>
      <c r="I77" s="820">
        <v>0.15</v>
      </c>
      <c r="J77" s="1288">
        <f t="shared" si="23"/>
        <v>0</v>
      </c>
      <c r="K77" s="1288">
        <f t="shared" si="24"/>
        <v>0</v>
      </c>
      <c r="L77" s="1288">
        <v>0</v>
      </c>
      <c r="M77" s="1288">
        <f t="shared" si="25"/>
        <v>0</v>
      </c>
      <c r="N77" s="1288">
        <f t="shared" si="25"/>
        <v>0</v>
      </c>
      <c r="Z77" s="2725"/>
      <c r="AA77" s="2801"/>
      <c r="AG77" s="1375"/>
      <c r="AK77" s="2801"/>
    </row>
    <row r="78" spans="1:37" ht="24.75" thickBot="1">
      <c r="A78" s="2891" t="s">
        <v>2958</v>
      </c>
      <c r="B78" s="2895"/>
      <c r="C78" s="2775"/>
      <c r="D78" s="1289">
        <f t="shared" si="21"/>
        <v>0</v>
      </c>
      <c r="E78" s="827"/>
      <c r="F78" s="2506"/>
      <c r="G78" s="1287"/>
      <c r="H78" s="1291" t="str">
        <f t="shared" si="22"/>
        <v>——</v>
      </c>
      <c r="I78" s="824">
        <v>0.04</v>
      </c>
      <c r="J78" s="1288">
        <f t="shared" si="23"/>
        <v>0</v>
      </c>
      <c r="K78" s="1288">
        <f t="shared" si="24"/>
        <v>0</v>
      </c>
      <c r="L78" s="1288">
        <v>0</v>
      </c>
      <c r="M78" s="1288">
        <f t="shared" si="25"/>
        <v>0</v>
      </c>
      <c r="N78" s="1288">
        <f t="shared" si="25"/>
        <v>0</v>
      </c>
      <c r="Z78" s="2725"/>
      <c r="AA78" s="2801"/>
      <c r="AG78" s="1375"/>
      <c r="AK78" s="2801"/>
    </row>
    <row r="79" spans="1:37" ht="15">
      <c r="A79" s="2879" t="s">
        <v>2959</v>
      </c>
      <c r="B79" s="2880">
        <f>1+E81</f>
        <v>1</v>
      </c>
      <c r="C79" s="814"/>
      <c r="D79" s="814"/>
      <c r="E79" s="815"/>
      <c r="F79" s="2882"/>
      <c r="G79" s="6"/>
      <c r="H79" s="6"/>
      <c r="I79" s="6"/>
      <c r="J79" s="7"/>
      <c r="K79" s="7"/>
      <c r="L79" s="7"/>
      <c r="M79" s="7"/>
      <c r="N79" s="7"/>
      <c r="Z79" s="2725"/>
      <c r="AA79" s="2801"/>
      <c r="AG79" s="1375"/>
      <c r="AK79" s="2801"/>
    </row>
    <row r="80" spans="1:37" ht="24.75">
      <c r="A80" s="2883" t="s">
        <v>2933</v>
      </c>
      <c r="B80" s="1813"/>
      <c r="C80" s="1813" t="s">
        <v>2935</v>
      </c>
      <c r="D80" s="1813" t="s">
        <v>2936</v>
      </c>
      <c r="E80" s="819" t="s">
        <v>2937</v>
      </c>
      <c r="F80" s="2884" t="s">
        <v>2953</v>
      </c>
      <c r="G80" s="1813" t="s">
        <v>754</v>
      </c>
      <c r="H80" s="2885" t="s">
        <v>2939</v>
      </c>
      <c r="I80" s="1813" t="s">
        <v>2940</v>
      </c>
      <c r="J80" s="603" t="s">
        <v>2589</v>
      </c>
      <c r="K80" s="603" t="s">
        <v>2590</v>
      </c>
      <c r="L80" s="603" t="s">
        <v>2591</v>
      </c>
      <c r="M80" s="603" t="s">
        <v>2592</v>
      </c>
      <c r="N80" s="603" t="s">
        <v>2593</v>
      </c>
      <c r="Z80" s="2725"/>
      <c r="AA80" s="2801"/>
      <c r="AG80" s="1375"/>
      <c r="AK80" s="2801"/>
    </row>
    <row r="81" spans="1:37" ht="38.25">
      <c r="A81" s="2883" t="s">
        <v>2960</v>
      </c>
      <c r="B81" s="2887" t="str">
        <f>估价对象房地状况!G15</f>
        <v>估价对象位于XX开发区，园区建设成熟度XX，产业集聚程度XX</v>
      </c>
      <c r="C81" s="2775"/>
      <c r="D81" s="1289">
        <f t="shared" ref="D81:D88" si="26">SUMIF($J$80:$N$80,C81,J81:N81)</f>
        <v>0</v>
      </c>
      <c r="E81" s="821">
        <f>ROUND(SUM(D81:D88),4)</f>
        <v>0</v>
      </c>
      <c r="F81" s="2506"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5"/>
      <c r="AA81" s="2801"/>
      <c r="AG81" s="1375"/>
      <c r="AK81" s="2801"/>
    </row>
    <row r="82" spans="1:37" ht="51">
      <c r="A82" s="2883" t="s">
        <v>2942</v>
      </c>
      <c r="B82" s="2887" t="str">
        <f>估价对象房地状况!G16</f>
        <v>估价对象周边道路状况、公共交通通达情况、停车便捷程度，综合评价交通便捷度较好</v>
      </c>
      <c r="C82" s="2775"/>
      <c r="D82" s="1289">
        <f t="shared" si="26"/>
        <v>0</v>
      </c>
      <c r="E82" s="826"/>
      <c r="F82" s="2506"/>
      <c r="G82" s="1287"/>
      <c r="H82" s="1291" t="str">
        <f t="shared" si="27"/>
        <v>——</v>
      </c>
      <c r="I82" s="820">
        <v>0.33</v>
      </c>
      <c r="J82" s="1288">
        <f t="shared" si="28"/>
        <v>0</v>
      </c>
      <c r="K82" s="1288">
        <f t="shared" si="29"/>
        <v>0</v>
      </c>
      <c r="L82" s="1288">
        <v>0</v>
      </c>
      <c r="M82" s="1288">
        <f t="shared" si="30"/>
        <v>0</v>
      </c>
      <c r="N82" s="1288">
        <f t="shared" si="30"/>
        <v>0</v>
      </c>
      <c r="Z82" s="2725"/>
      <c r="AA82" s="2801"/>
      <c r="AG82" s="1375"/>
      <c r="AK82" s="2801"/>
    </row>
    <row r="83" spans="1:37" ht="24">
      <c r="A83" s="2883" t="s">
        <v>2943</v>
      </c>
      <c r="B83" s="2887">
        <f>估价对象房地状况!G17</f>
        <v>0</v>
      </c>
      <c r="C83" s="2775"/>
      <c r="D83" s="1289">
        <f t="shared" si="26"/>
        <v>0</v>
      </c>
      <c r="E83" s="826"/>
      <c r="F83" s="2506"/>
      <c r="G83" s="1287"/>
      <c r="H83" s="1291" t="str">
        <f t="shared" si="27"/>
        <v>——</v>
      </c>
      <c r="I83" s="820">
        <v>0.05</v>
      </c>
      <c r="J83" s="1288">
        <f t="shared" si="28"/>
        <v>0</v>
      </c>
      <c r="K83" s="1288">
        <f t="shared" si="29"/>
        <v>0</v>
      </c>
      <c r="L83" s="1288">
        <v>0</v>
      </c>
      <c r="M83" s="1288">
        <f t="shared" si="30"/>
        <v>0</v>
      </c>
      <c r="N83" s="1288">
        <f t="shared" si="30"/>
        <v>0</v>
      </c>
      <c r="Z83" s="2725"/>
      <c r="AA83" s="2801"/>
      <c r="AG83" s="1375"/>
      <c r="AK83" s="2801"/>
    </row>
    <row r="84" spans="1:37" ht="14.25">
      <c r="A84" s="2883" t="s">
        <v>2957</v>
      </c>
      <c r="B84" s="2887">
        <f>估价对象房地状况!G22</f>
        <v>0</v>
      </c>
      <c r="C84" s="2775"/>
      <c r="D84" s="1289">
        <f t="shared" si="26"/>
        <v>0</v>
      </c>
      <c r="E84" s="826"/>
      <c r="F84" s="2506"/>
      <c r="G84" s="1287"/>
      <c r="H84" s="1291" t="str">
        <f t="shared" si="27"/>
        <v>——</v>
      </c>
      <c r="I84" s="820">
        <v>0.04</v>
      </c>
      <c r="J84" s="1288">
        <f t="shared" si="28"/>
        <v>0</v>
      </c>
      <c r="K84" s="1288">
        <f t="shared" si="29"/>
        <v>0</v>
      </c>
      <c r="L84" s="1288">
        <v>0</v>
      </c>
      <c r="M84" s="1288">
        <f t="shared" si="30"/>
        <v>0</v>
      </c>
      <c r="N84" s="1288">
        <f t="shared" si="30"/>
        <v>0</v>
      </c>
      <c r="Z84" s="2725"/>
      <c r="AA84" s="2801"/>
      <c r="AG84" s="1375"/>
      <c r="AK84" s="2801"/>
    </row>
    <row r="85" spans="1:37" ht="25.5">
      <c r="A85" s="2883" t="s">
        <v>2949</v>
      </c>
      <c r="B85" s="1729" t="str">
        <f>估价对象房地状况!G19</f>
        <v>估价对象所在区域公共配套设施齐备情况</v>
      </c>
      <c r="C85" s="2775"/>
      <c r="D85" s="1289">
        <f t="shared" si="26"/>
        <v>0</v>
      </c>
      <c r="E85" s="826"/>
      <c r="F85" s="2506"/>
      <c r="G85" s="1287"/>
      <c r="H85" s="1291" t="str">
        <f t="shared" si="27"/>
        <v>——</v>
      </c>
      <c r="I85" s="820">
        <v>0.06</v>
      </c>
      <c r="J85" s="1288">
        <f t="shared" si="28"/>
        <v>0</v>
      </c>
      <c r="K85" s="1288">
        <f t="shared" si="29"/>
        <v>0</v>
      </c>
      <c r="L85" s="1288">
        <v>0</v>
      </c>
      <c r="M85" s="1288">
        <f t="shared" si="30"/>
        <v>0</v>
      </c>
      <c r="N85" s="1288">
        <f t="shared" si="30"/>
        <v>0</v>
      </c>
      <c r="Z85" s="2725"/>
      <c r="AA85" s="2801"/>
      <c r="AG85" s="1375"/>
      <c r="AK85" s="2801"/>
    </row>
    <row r="86" spans="1:37" ht="25.5">
      <c r="A86" s="2883" t="s">
        <v>2950</v>
      </c>
      <c r="B86" s="1729" t="str">
        <f>估价对象房地状况!G20</f>
        <v>估价对象所在区域基础设施水平</v>
      </c>
      <c r="C86" s="2775"/>
      <c r="D86" s="1289">
        <f t="shared" si="26"/>
        <v>0</v>
      </c>
      <c r="E86" s="826"/>
      <c r="F86" s="2506"/>
      <c r="G86" s="1287"/>
      <c r="H86" s="1291" t="str">
        <f t="shared" si="27"/>
        <v>——</v>
      </c>
      <c r="I86" s="820">
        <v>0.15</v>
      </c>
      <c r="J86" s="1288">
        <f t="shared" si="28"/>
        <v>0</v>
      </c>
      <c r="K86" s="1288">
        <f t="shared" si="29"/>
        <v>0</v>
      </c>
      <c r="L86" s="1288">
        <v>0</v>
      </c>
      <c r="M86" s="1288">
        <f t="shared" si="30"/>
        <v>0</v>
      </c>
      <c r="N86" s="1288">
        <f t="shared" si="30"/>
        <v>0</v>
      </c>
      <c r="Z86" s="2725"/>
      <c r="AA86" s="2801"/>
      <c r="AG86" s="1375"/>
      <c r="AK86" s="2801"/>
    </row>
    <row r="87" spans="1:37" ht="24">
      <c r="A87" s="2883" t="s">
        <v>2947</v>
      </c>
      <c r="B87" s="2889" t="s">
        <v>2961</v>
      </c>
      <c r="C87" s="2775"/>
      <c r="D87" s="1289">
        <f t="shared" si="26"/>
        <v>0</v>
      </c>
      <c r="E87" s="826"/>
      <c r="F87" s="2506"/>
      <c r="G87" s="1287"/>
      <c r="H87" s="1291" t="str">
        <f t="shared" si="27"/>
        <v>——</v>
      </c>
      <c r="I87" s="820">
        <v>0.05</v>
      </c>
      <c r="J87" s="1288">
        <f t="shared" si="28"/>
        <v>0</v>
      </c>
      <c r="K87" s="1288">
        <f t="shared" si="29"/>
        <v>0</v>
      </c>
      <c r="L87" s="1288">
        <v>0</v>
      </c>
      <c r="M87" s="1288">
        <f t="shared" si="30"/>
        <v>0</v>
      </c>
      <c r="N87" s="1288">
        <f t="shared" si="30"/>
        <v>0</v>
      </c>
      <c r="Z87" s="2725"/>
      <c r="AA87" s="2801"/>
      <c r="AG87" s="1375"/>
      <c r="AK87" s="2801"/>
    </row>
    <row r="88" spans="1:37" ht="39" thickBot="1">
      <c r="A88" s="2891" t="s">
        <v>2962</v>
      </c>
      <c r="B88" s="2896" t="str">
        <f>估价对象房地状况!G18</f>
        <v>该园区内是否有污染型企业，绿化情况，卫生条件，整体环境状况判断</v>
      </c>
      <c r="C88" s="2775"/>
      <c r="D88" s="1289">
        <f t="shared" si="26"/>
        <v>0</v>
      </c>
      <c r="E88" s="827"/>
      <c r="F88" s="2506"/>
      <c r="G88" s="1287"/>
      <c r="H88" s="1291" t="str">
        <f t="shared" si="27"/>
        <v>——</v>
      </c>
      <c r="I88" s="824">
        <v>0.06</v>
      </c>
      <c r="J88" s="1288">
        <f t="shared" si="28"/>
        <v>0</v>
      </c>
      <c r="K88" s="1288">
        <f t="shared" si="29"/>
        <v>0</v>
      </c>
      <c r="L88" s="1288">
        <v>0</v>
      </c>
      <c r="M88" s="1288">
        <f t="shared" si="30"/>
        <v>0</v>
      </c>
      <c r="N88" s="1288">
        <f t="shared" si="30"/>
        <v>0</v>
      </c>
      <c r="Z88" s="2725"/>
      <c r="AA88" s="2801"/>
      <c r="AG88" s="1375"/>
      <c r="AK88" s="2801"/>
    </row>
    <row r="90" spans="1:37">
      <c r="A90" s="3317" t="s">
        <v>2963</v>
      </c>
      <c r="B90" s="3317"/>
      <c r="C90" s="3317"/>
      <c r="D90" s="3317"/>
      <c r="E90" s="3317"/>
      <c r="F90" s="3317"/>
      <c r="G90" s="3317"/>
      <c r="H90" s="3317"/>
      <c r="I90" s="3317"/>
      <c r="J90" s="3317"/>
      <c r="K90" s="2897"/>
      <c r="L90" s="2897"/>
      <c r="M90" s="2897"/>
      <c r="N90" s="2897"/>
    </row>
    <row r="91" spans="1:37">
      <c r="A91" s="3319" t="s">
        <v>2964</v>
      </c>
      <c r="B91" s="3319" t="s">
        <v>2965</v>
      </c>
      <c r="C91" s="2851" t="s">
        <v>2966</v>
      </c>
      <c r="D91" s="2852"/>
      <c r="E91" s="2852"/>
      <c r="F91" s="2852"/>
      <c r="G91" s="2852"/>
      <c r="H91" s="2852"/>
      <c r="I91" s="2852"/>
      <c r="J91" s="2898"/>
      <c r="K91" s="2899"/>
      <c r="L91" s="2899"/>
      <c r="M91" s="2899"/>
      <c r="N91" s="2899"/>
    </row>
    <row r="92" spans="1:37">
      <c r="A92" s="3319"/>
      <c r="B92" s="3319"/>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320" t="s">
        <v>2967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21"/>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21"/>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21"/>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21"/>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21"/>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21"/>
      <c r="B99" s="2900" t="s">
        <v>2848</v>
      </c>
      <c r="C99" s="2902">
        <f>$I$3</f>
        <v>1</v>
      </c>
      <c r="D99" s="2902">
        <f t="shared" ref="D99:M99" si="31">$I$3</f>
        <v>1</v>
      </c>
      <c r="E99" s="2902">
        <f t="shared" si="31"/>
        <v>1</v>
      </c>
      <c r="F99" s="2902">
        <f t="shared" si="31"/>
        <v>1</v>
      </c>
      <c r="G99" s="2902">
        <f t="shared" si="31"/>
        <v>1</v>
      </c>
      <c r="H99" s="2902">
        <f t="shared" si="31"/>
        <v>1</v>
      </c>
      <c r="I99" s="2902">
        <f t="shared" si="31"/>
        <v>1</v>
      </c>
      <c r="J99" s="2902">
        <f t="shared" si="31"/>
        <v>1</v>
      </c>
      <c r="K99" s="2902">
        <f t="shared" si="31"/>
        <v>1</v>
      </c>
      <c r="L99" s="2902">
        <f t="shared" si="31"/>
        <v>1</v>
      </c>
      <c r="M99" s="2902">
        <f t="shared" si="31"/>
        <v>1</v>
      </c>
      <c r="N99" s="2902">
        <f>$I$3</f>
        <v>1</v>
      </c>
    </row>
    <row r="100" spans="1:14">
      <c r="A100" s="3322"/>
      <c r="B100" s="2900">
        <v>7</v>
      </c>
      <c r="C100" s="2903">
        <f>(-0.163*(C99^2)-0.59*C99+7617)*(10^(-4))</f>
        <v>0.76162470000000004</v>
      </c>
      <c r="D100" s="2903">
        <f>(-0.163*(D99^2)-0.59*D99+7617)*(10^(-4))</f>
        <v>0.76162470000000004</v>
      </c>
      <c r="E100" s="2903">
        <f>(-0.161*(E99^2)-7.509*E99+6533)*(10^(-4))</f>
        <v>0.65253300000000003</v>
      </c>
      <c r="F100" s="2903">
        <f>(-0.161*(F99^2)-7.509*F99+6533)*(10^(-4))</f>
        <v>0.65253300000000003</v>
      </c>
      <c r="G100" s="2903">
        <f>(-0.161*(G99^2)-7.509*G99+6533)*(10^(-4))</f>
        <v>0.65253300000000003</v>
      </c>
      <c r="H100" s="2903">
        <f>(-0.161*(H99^2)-7.509*H99+6533)*(10^(-4))</f>
        <v>0.65253300000000003</v>
      </c>
      <c r="I100" s="2903">
        <f>(-0.161*(I99^2)-7.509*I99+6533)*(10^(-4))</f>
        <v>0.65253300000000003</v>
      </c>
      <c r="J100" s="2903">
        <f>(-0.214*(J99^2)-21.991*J99+4665)*(10^(-4))</f>
        <v>0.46427950000000001</v>
      </c>
      <c r="K100" s="2903">
        <f>(-0.214*(K99^2)-21.991*K99+4665)*(10^(-4))</f>
        <v>0.46427950000000001</v>
      </c>
      <c r="L100" s="2903">
        <f>(-0.214*(L99^2)-21.991*L99+4665)*(10^(-4))</f>
        <v>0.46427950000000001</v>
      </c>
      <c r="M100" s="2903">
        <f>(-0.214*(M99^2)-21.991*M99+4665)*(10^(-4))</f>
        <v>0.46427950000000001</v>
      </c>
      <c r="N100" s="2903">
        <f>(-0.214*(N99^2)-21.991*N99+4665)*(10^(-4))</f>
        <v>0.46427950000000001</v>
      </c>
    </row>
    <row r="101" spans="1:14">
      <c r="A101" s="3320" t="s">
        <v>2968</v>
      </c>
      <c r="B101" s="2904" t="s">
        <v>2969</v>
      </c>
      <c r="C101" s="2905">
        <f>$G$3</f>
        <v>2.5</v>
      </c>
      <c r="D101" s="2905">
        <f t="shared" ref="D101:N101" si="32">$G$3</f>
        <v>2.5</v>
      </c>
      <c r="E101" s="2905">
        <f t="shared" si="32"/>
        <v>2.5</v>
      </c>
      <c r="F101" s="2905">
        <f t="shared" si="32"/>
        <v>2.5</v>
      </c>
      <c r="G101" s="2905">
        <f t="shared" si="32"/>
        <v>2.5</v>
      </c>
      <c r="H101" s="2905">
        <f t="shared" si="32"/>
        <v>2.5</v>
      </c>
      <c r="I101" s="2905">
        <f t="shared" si="32"/>
        <v>2.5</v>
      </c>
      <c r="J101" s="2905">
        <f t="shared" si="32"/>
        <v>2.5</v>
      </c>
      <c r="K101" s="2905">
        <f t="shared" si="32"/>
        <v>2.5</v>
      </c>
      <c r="L101" s="2905">
        <f t="shared" si="32"/>
        <v>2.5</v>
      </c>
      <c r="M101" s="2905">
        <f t="shared" si="32"/>
        <v>2.5</v>
      </c>
      <c r="N101" s="2905">
        <f t="shared" si="32"/>
        <v>2.5</v>
      </c>
    </row>
    <row r="102" spans="1:14">
      <c r="A102" s="3321"/>
      <c r="B102" s="2900">
        <v>1</v>
      </c>
      <c r="C102" s="2901">
        <f>1.9362/C101</f>
        <v>0.77447999999999995</v>
      </c>
      <c r="D102" s="2901">
        <f>1.9362/D101</f>
        <v>0.77447999999999995</v>
      </c>
      <c r="E102" s="2901">
        <f>1.8629/E101</f>
        <v>0.74516000000000004</v>
      </c>
      <c r="F102" s="2901">
        <f>1.8629/F101</f>
        <v>0.74516000000000004</v>
      </c>
      <c r="G102" s="2901">
        <f>1.8629/G101</f>
        <v>0.74516000000000004</v>
      </c>
      <c r="H102" s="2901">
        <f>1.8629/H101</f>
        <v>0.74516000000000004</v>
      </c>
      <c r="I102" s="2901">
        <f>1.8629/I101</f>
        <v>0.74516000000000004</v>
      </c>
      <c r="J102" s="2901">
        <f>1.942/J101</f>
        <v>0.77679999999999993</v>
      </c>
      <c r="K102" s="2901">
        <f>1.942/K101</f>
        <v>0.77679999999999993</v>
      </c>
      <c r="L102" s="2901">
        <f>1.942/L101</f>
        <v>0.77679999999999993</v>
      </c>
      <c r="M102" s="2901">
        <f>1.942/M101</f>
        <v>0.77679999999999993</v>
      </c>
      <c r="N102" s="2901">
        <f>1.942/N101</f>
        <v>0.77679999999999993</v>
      </c>
    </row>
    <row r="103" spans="1:14">
      <c r="A103" s="3321"/>
      <c r="B103" s="2900">
        <v>2</v>
      </c>
      <c r="C103" s="2901">
        <f>1.4198/C101</f>
        <v>0.56791999999999998</v>
      </c>
      <c r="D103" s="2901">
        <f>1.4198/D101</f>
        <v>0.56791999999999998</v>
      </c>
      <c r="E103" s="2901">
        <f>1.3372/E101</f>
        <v>0.53488000000000002</v>
      </c>
      <c r="F103" s="2901">
        <f>1.3372/F101</f>
        <v>0.53488000000000002</v>
      </c>
      <c r="G103" s="2901">
        <f>1.3372/G101</f>
        <v>0.53488000000000002</v>
      </c>
      <c r="H103" s="2901">
        <f>1.3372/H101</f>
        <v>0.53488000000000002</v>
      </c>
      <c r="I103" s="2901">
        <f>1.3372/I101</f>
        <v>0.53488000000000002</v>
      </c>
      <c r="J103" s="2901">
        <f>1.2799/J101</f>
        <v>0.51195999999999997</v>
      </c>
      <c r="K103" s="2901">
        <f>1.2799/K101</f>
        <v>0.51195999999999997</v>
      </c>
      <c r="L103" s="2901">
        <f>1.2799/L101</f>
        <v>0.51195999999999997</v>
      </c>
      <c r="M103" s="2901">
        <f>1.2799/M101</f>
        <v>0.51195999999999997</v>
      </c>
      <c r="N103" s="2901">
        <f>1.2799/N101</f>
        <v>0.51195999999999997</v>
      </c>
    </row>
    <row r="104" spans="1:14">
      <c r="A104" s="3321"/>
      <c r="B104" s="2900">
        <v>3</v>
      </c>
      <c r="C104" s="2901">
        <f>1.1594/C101</f>
        <v>0.46376000000000001</v>
      </c>
      <c r="D104" s="2901">
        <f>1.1594/D101</f>
        <v>0.46376000000000001</v>
      </c>
      <c r="E104" s="2901">
        <f>1.0788/E101</f>
        <v>0.43152000000000001</v>
      </c>
      <c r="F104" s="2901">
        <f>1.0788/F101</f>
        <v>0.43152000000000001</v>
      </c>
      <c r="G104" s="2901">
        <f>1.0788/G101</f>
        <v>0.43152000000000001</v>
      </c>
      <c r="H104" s="2901">
        <f>1.0788/H101</f>
        <v>0.43152000000000001</v>
      </c>
      <c r="I104" s="2901">
        <f>1.0788/I101</f>
        <v>0.43152000000000001</v>
      </c>
      <c r="J104" s="2901">
        <f>1.0072/J101</f>
        <v>0.40288000000000002</v>
      </c>
      <c r="K104" s="2901">
        <f>1.0072/K101</f>
        <v>0.40288000000000002</v>
      </c>
      <c r="L104" s="2901">
        <f>1.0072/L101</f>
        <v>0.40288000000000002</v>
      </c>
      <c r="M104" s="2901">
        <f>1.0072/M101</f>
        <v>0.40288000000000002</v>
      </c>
      <c r="N104" s="2901">
        <f>1.0072/N101</f>
        <v>0.40288000000000002</v>
      </c>
    </row>
    <row r="105" spans="1:14">
      <c r="A105" s="3321"/>
      <c r="B105" s="2900">
        <v>4</v>
      </c>
      <c r="C105" s="2901">
        <f>0.9622/C101</f>
        <v>0.38488</v>
      </c>
      <c r="D105" s="2901">
        <f>0.9622/D101</f>
        <v>0.38488</v>
      </c>
      <c r="E105" s="2901">
        <f>0.8656/E101</f>
        <v>0.34623999999999999</v>
      </c>
      <c r="F105" s="2901">
        <f>0.8656/F101</f>
        <v>0.34623999999999999</v>
      </c>
      <c r="G105" s="2901">
        <f>0.8656/G101</f>
        <v>0.34623999999999999</v>
      </c>
      <c r="H105" s="2901">
        <f>0.8656/H101</f>
        <v>0.34623999999999999</v>
      </c>
      <c r="I105" s="2901">
        <f>0.8656/I101</f>
        <v>0.34623999999999999</v>
      </c>
      <c r="J105" s="2901">
        <f>0.7525/J101</f>
        <v>0.30099999999999999</v>
      </c>
      <c r="K105" s="2901">
        <f>0.7525/K101</f>
        <v>0.30099999999999999</v>
      </c>
      <c r="L105" s="2901">
        <f>0.7525/L101</f>
        <v>0.30099999999999999</v>
      </c>
      <c r="M105" s="2901">
        <f>0.7525/M101</f>
        <v>0.30099999999999999</v>
      </c>
      <c r="N105" s="2901">
        <f>0.7525/N101</f>
        <v>0.30099999999999999</v>
      </c>
    </row>
    <row r="106" spans="1:14">
      <c r="A106" s="3321"/>
      <c r="B106" s="2900">
        <v>5</v>
      </c>
      <c r="C106" s="2901">
        <f>0.8417/C101</f>
        <v>0.33667999999999998</v>
      </c>
      <c r="D106" s="2901">
        <f>0.8417/D101</f>
        <v>0.33667999999999998</v>
      </c>
      <c r="E106" s="2901">
        <f>0.7371/E101</f>
        <v>0.29483999999999999</v>
      </c>
      <c r="F106" s="2901">
        <f>0.7371/F101</f>
        <v>0.29483999999999999</v>
      </c>
      <c r="G106" s="2901">
        <f>0.7371/G101</f>
        <v>0.29483999999999999</v>
      </c>
      <c r="H106" s="2901">
        <f>0.7371/H101</f>
        <v>0.29483999999999999</v>
      </c>
      <c r="I106" s="2901">
        <f>0.7371/I101</f>
        <v>0.29483999999999999</v>
      </c>
      <c r="J106" s="2901">
        <f>0.5659/J101</f>
        <v>0.22635999999999998</v>
      </c>
      <c r="K106" s="2901">
        <f>0.5659/K101</f>
        <v>0.22635999999999998</v>
      </c>
      <c r="L106" s="2901">
        <f>0.5659/L101</f>
        <v>0.22635999999999998</v>
      </c>
      <c r="M106" s="2901">
        <f>0.5659/M101</f>
        <v>0.22635999999999998</v>
      </c>
      <c r="N106" s="2901">
        <f>0.5659/N101</f>
        <v>0.22635999999999998</v>
      </c>
    </row>
    <row r="107" spans="1:14">
      <c r="A107" s="3321"/>
      <c r="B107" s="2900">
        <v>6</v>
      </c>
      <c r="C107" s="2901">
        <f>0.7608/C101</f>
        <v>0.30432000000000003</v>
      </c>
      <c r="D107" s="2901">
        <f>0.7608/D101</f>
        <v>0.30432000000000003</v>
      </c>
      <c r="E107" s="2901">
        <f>0.6482/E101</f>
        <v>0.25928000000000001</v>
      </c>
      <c r="F107" s="2901">
        <f>0.6482/F101</f>
        <v>0.25928000000000001</v>
      </c>
      <c r="G107" s="2901">
        <f>0.6482/G101</f>
        <v>0.25928000000000001</v>
      </c>
      <c r="H107" s="2901">
        <f>0.6482/H101</f>
        <v>0.25928000000000001</v>
      </c>
      <c r="I107" s="2901">
        <f>0.6482/I101</f>
        <v>0.25928000000000001</v>
      </c>
      <c r="J107" s="2901">
        <f>0.4525/J101</f>
        <v>0.18099999999999999</v>
      </c>
      <c r="K107" s="2901">
        <f>0.4525/K101</f>
        <v>0.18099999999999999</v>
      </c>
      <c r="L107" s="2901">
        <f>0.4525/L101</f>
        <v>0.18099999999999999</v>
      </c>
      <c r="M107" s="2901">
        <f>0.4525/M101</f>
        <v>0.18099999999999999</v>
      </c>
      <c r="N107" s="2901">
        <f>0.4525/N101</f>
        <v>0.18099999999999999</v>
      </c>
    </row>
    <row r="108" spans="1:14">
      <c r="A108" s="3321"/>
      <c r="B108" s="3114" t="s">
        <v>2970</v>
      </c>
      <c r="C108" s="2902">
        <f>C99</f>
        <v>1</v>
      </c>
      <c r="D108" s="2902">
        <f t="shared" ref="D108:N108" si="33">D99</f>
        <v>1</v>
      </c>
      <c r="E108" s="2902">
        <f t="shared" si="33"/>
        <v>1</v>
      </c>
      <c r="F108" s="2902">
        <f t="shared" si="33"/>
        <v>1</v>
      </c>
      <c r="G108" s="2902">
        <f t="shared" si="33"/>
        <v>1</v>
      </c>
      <c r="H108" s="2902">
        <f t="shared" si="33"/>
        <v>1</v>
      </c>
      <c r="I108" s="2902">
        <f t="shared" si="33"/>
        <v>1</v>
      </c>
      <c r="J108" s="2902">
        <f t="shared" si="33"/>
        <v>1</v>
      </c>
      <c r="K108" s="2902">
        <f t="shared" si="33"/>
        <v>1</v>
      </c>
      <c r="L108" s="2902">
        <f t="shared" si="33"/>
        <v>1</v>
      </c>
      <c r="M108" s="2902">
        <f t="shared" si="33"/>
        <v>1</v>
      </c>
      <c r="N108" s="2902">
        <f t="shared" si="33"/>
        <v>1</v>
      </c>
    </row>
    <row r="109" spans="1:14">
      <c r="A109" s="3322"/>
      <c r="B109" s="3115"/>
      <c r="C109" s="2903">
        <f>(-0.163*(C108^2)-0.59*C108+7617)*(10^(-4))/C101</f>
        <v>0.30464988000000004</v>
      </c>
      <c r="D109" s="2903">
        <f>(-0.163*(D108^2)-0.59*D108+7617)*(10^(-4))/D101</f>
        <v>0.30464988000000004</v>
      </c>
      <c r="E109" s="2903">
        <f>(-0.161*(E108^2)-7.509*E108+6533)*(10^(-4))/E101</f>
        <v>0.2610132</v>
      </c>
      <c r="F109" s="2903">
        <f>(-0.161*(F108^2)-7.509*F108+6533)*(10^(-4))/F101</f>
        <v>0.2610132</v>
      </c>
      <c r="G109" s="2903">
        <f>(-0.161*(G108^2)-7.509*G108+6533)*(10^(-4))/G101</f>
        <v>0.2610132</v>
      </c>
      <c r="H109" s="2903">
        <f>(-0.161*(H108^2)-7.509*H108+6533)*(10^(-4))/H101</f>
        <v>0.2610132</v>
      </c>
      <c r="I109" s="2903">
        <f>(-0.161*(I108^2)-7.509*I108+6533)*(10^(-4))/I101</f>
        <v>0.2610132</v>
      </c>
      <c r="J109" s="2903">
        <f>(-0.214*(J108^2)-21.991*J108+4665)*(10^(-4))/J101</f>
        <v>0.18571180000000001</v>
      </c>
      <c r="K109" s="2903">
        <f>(-0.214*(K108^2)-21.991*K108+4665)*(10^(-4))/K101</f>
        <v>0.18571180000000001</v>
      </c>
      <c r="L109" s="2903">
        <f>(-0.214*(L108^2)-21.991*L108+4665)*(10^(-4))/L101</f>
        <v>0.18571180000000001</v>
      </c>
      <c r="M109" s="2903">
        <f>(-0.214*(M108^2)-21.991*M108+4665)*(10^(-4))/M101</f>
        <v>0.18571180000000001</v>
      </c>
      <c r="N109" s="2903">
        <f>(-0.214*(N108^2)-21.991*N108+4665)*(10^(-4))/N101</f>
        <v>0.18571180000000001</v>
      </c>
    </row>
    <row r="110" spans="1:14">
      <c r="A110" s="3318" t="s">
        <v>2971</v>
      </c>
      <c r="B110" s="3318"/>
      <c r="C110" s="3318"/>
      <c r="D110" s="3318"/>
      <c r="E110" s="3318"/>
      <c r="F110" s="3318"/>
      <c r="G110" s="3318"/>
      <c r="H110" s="3318"/>
      <c r="I110" s="3318"/>
      <c r="J110" s="3318"/>
      <c r="K110" s="2906"/>
      <c r="L110" s="2906"/>
      <c r="M110" s="2906"/>
      <c r="N110" s="2906"/>
    </row>
    <row r="112" spans="1:14" ht="13.5" thickBot="1"/>
    <row r="113" spans="1:13" ht="25.5" thickBot="1">
      <c r="A113" s="903" t="s">
        <v>2972</v>
      </c>
      <c r="B113" s="1290">
        <f>G3</f>
        <v>2.5</v>
      </c>
      <c r="C113" s="904" t="s">
        <v>2973</v>
      </c>
      <c r="D113" s="905">
        <f>SUMPRODUCT((A115:A118=F113)*(B114:M114=H113)*B115:M118)</f>
        <v>0.82420000000000004</v>
      </c>
      <c r="E113" s="2729" t="s">
        <v>2806</v>
      </c>
      <c r="F113" s="2908" t="str">
        <f>E2</f>
        <v>办公</v>
      </c>
      <c r="G113" s="2729" t="s">
        <v>2807</v>
      </c>
      <c r="H113" s="2908" t="str">
        <f>G2</f>
        <v>七级</v>
      </c>
      <c r="I113" s="2729"/>
      <c r="J113" s="2909"/>
      <c r="K113" s="2909"/>
      <c r="L113" s="2909"/>
      <c r="M113" s="2909"/>
    </row>
    <row r="114" spans="1:13">
      <c r="A114" s="908"/>
      <c r="B114" s="2910" t="s">
        <v>2974</v>
      </c>
      <c r="C114" s="2910" t="s">
        <v>2975</v>
      </c>
      <c r="D114" s="2910" t="s">
        <v>2976</v>
      </c>
      <c r="E114" s="2911" t="s">
        <v>2977</v>
      </c>
      <c r="F114" s="2911" t="s">
        <v>2978</v>
      </c>
      <c r="G114" s="2911" t="s">
        <v>2979</v>
      </c>
      <c r="H114" s="2912" t="s">
        <v>2980</v>
      </c>
      <c r="I114" s="2912" t="s">
        <v>2981</v>
      </c>
      <c r="J114" s="2913" t="s">
        <v>2982</v>
      </c>
      <c r="K114" s="2913" t="s">
        <v>2983</v>
      </c>
      <c r="L114" s="2913" t="s">
        <v>2984</v>
      </c>
      <c r="M114" s="2914" t="s">
        <v>2985</v>
      </c>
    </row>
    <row r="115" spans="1:13">
      <c r="A115" s="909" t="s">
        <v>2870</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2871</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2872</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2873</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30655</v>
      </c>
      <c r="C2" s="2" t="s">
        <v>133</v>
      </c>
      <c r="D2" s="243"/>
      <c r="E2" s="243"/>
      <c r="F2" s="243"/>
      <c r="G2" s="243"/>
    </row>
    <row r="3" spans="1:7" s="244" customFormat="1" ht="18" customHeight="1" thickBot="1">
      <c r="A3" s="247" t="s">
        <v>85</v>
      </c>
      <c r="B3" s="248">
        <f ca="1">ROUND(B2*10000/'数据-汇总表'!E3,0)</f>
        <v>242016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1266.6499999999999</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25</v>
      </c>
      <c r="D19" s="1039">
        <f>'数据-汇总表'!E3</f>
        <v>1266.6499999999999</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1503</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5262</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5262</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30169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402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354</v>
      </c>
      <c r="D34" s="261"/>
      <c r="E34" s="264"/>
      <c r="F34" s="301">
        <f>IF('数据-取费表'!B24=0,1,'数据-取费表'!N16)</f>
        <v>1</v>
      </c>
      <c r="G34" s="263" t="s">
        <v>116</v>
      </c>
    </row>
    <row r="35" spans="1:7" ht="13.5" customHeight="1">
      <c r="A35" s="954" t="s">
        <v>796</v>
      </c>
      <c r="B35" s="259" t="s">
        <v>60</v>
      </c>
      <c r="C35" s="264">
        <f>ROUND(C34*F35,0)</f>
        <v>18</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25</v>
      </c>
      <c r="D37" s="261">
        <f>'数据-汇总表'!E3</f>
        <v>1266.6499999999999</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14</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14</v>
      </c>
      <c r="D42" s="282"/>
      <c r="E42" s="282"/>
      <c r="F42" s="283"/>
      <c r="G42" s="3180" t="s">
        <v>121</v>
      </c>
    </row>
    <row r="43" spans="1:7" ht="13.5" customHeight="1">
      <c r="A43" s="954" t="s">
        <v>792</v>
      </c>
      <c r="B43" s="259" t="s">
        <v>1064</v>
      </c>
      <c r="C43" s="282">
        <f ca="1">ROUND(IF('数据-取费表'!B22&lt;=1,C39*F22*'数据-取费表'!B21/2,C39*(POWER((1+F22),'数据-取费表'!B21/2)-1)),0)</f>
        <v>0</v>
      </c>
      <c r="D43" s="282"/>
      <c r="E43" s="282"/>
      <c r="F43" s="283"/>
      <c r="G43" s="3181"/>
    </row>
    <row r="44" spans="1:7" ht="13.5" customHeight="1">
      <c r="A44" s="954" t="s">
        <v>793</v>
      </c>
      <c r="B44" s="259" t="s">
        <v>1066</v>
      </c>
      <c r="C44" s="282">
        <f ca="1">ROUND(IF('数据-取费表'!B22&lt;=1,C40*F22*'数据-取费表'!B21/2,C40*(POWER((1+F22),'数据-取费表'!B21/2)-1)),4)</f>
        <v>6.9999999999999999E-4</v>
      </c>
      <c r="D44" s="282"/>
      <c r="E44" s="282"/>
      <c r="F44" s="283"/>
      <c r="G44" s="3182"/>
    </row>
    <row r="45" spans="1:7" s="258" customFormat="1" ht="13.5" customHeight="1">
      <c r="A45" s="951" t="s">
        <v>786</v>
      </c>
      <c r="B45" s="288" t="s">
        <v>112</v>
      </c>
      <c r="C45" s="289">
        <f>C46</f>
        <v>103</v>
      </c>
      <c r="D45" s="279">
        <f>C47</f>
        <v>5.0000000000000001E-3</v>
      </c>
      <c r="E45" s="280" t="s">
        <v>129</v>
      </c>
      <c r="F45" s="290"/>
      <c r="G45" s="291" t="s">
        <v>1072</v>
      </c>
    </row>
    <row r="46" spans="1:7" s="258" customFormat="1" ht="13.5" customHeight="1">
      <c r="A46" s="954" t="s">
        <v>794</v>
      </c>
      <c r="B46" s="292" t="s">
        <v>1065</v>
      </c>
      <c r="C46" s="293">
        <f>ROUND((C33+C39)*F27,0)</f>
        <v>103</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572</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486</v>
      </c>
      <c r="D51" s="276"/>
      <c r="E51" s="276"/>
      <c r="F51" s="308"/>
      <c r="G51" s="278" t="s">
        <v>64</v>
      </c>
    </row>
    <row r="52" spans="1:7" s="252" customFormat="1" ht="16.5" thickBot="1">
      <c r="A52" s="309" t="s">
        <v>65</v>
      </c>
      <c r="B52" s="310"/>
      <c r="C52" s="311">
        <f ca="1">C31+C51</f>
        <v>30655</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5" t="s">
        <v>156</v>
      </c>
      <c r="B1" s="3335"/>
      <c r="C1" s="3335"/>
      <c r="D1" s="3335"/>
      <c r="E1" s="3335"/>
      <c r="F1" s="333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6" t="s">
        <v>169</v>
      </c>
      <c r="B2" s="3336"/>
      <c r="C2" s="3336"/>
      <c r="D2" s="3336"/>
      <c r="E2" s="3336"/>
      <c r="F2" s="333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5" t="s">
        <v>871</v>
      </c>
      <c r="B1" s="333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43056</v>
      </c>
      <c r="D1" s="1704" t="s">
        <v>1302</v>
      </c>
      <c r="E1" s="1699">
        <f>'数据-取费表'!B22</f>
        <v>1.5</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1643</v>
      </c>
      <c r="B2" s="3006" t="s">
        <v>1644</v>
      </c>
      <c r="C2" s="3006" t="s">
        <v>1645</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7"/>
      <c r="B3" s="3007"/>
      <c r="C3" s="3007"/>
      <c r="D3" s="1047" t="s">
        <v>1640</v>
      </c>
      <c r="E3" s="1047" t="s">
        <v>1646</v>
      </c>
      <c r="F3" s="1047" t="s">
        <v>1640</v>
      </c>
      <c r="G3" s="1047" t="s">
        <v>1641</v>
      </c>
      <c r="H3" s="1047" t="s">
        <v>1640</v>
      </c>
      <c r="I3" s="1047" t="s">
        <v>1641</v>
      </c>
    </row>
    <row r="4" spans="1:9" ht="45">
      <c r="A4" s="1977" t="str">
        <f>项目基本情况!S2</f>
        <v>北京市顺义区天竺地区小天竺路一号院1号楼101-112号办公用房房地产</v>
      </c>
      <c r="B4" s="1047">
        <f>项目基本情况!C17</f>
        <v>1266.6499999999999</v>
      </c>
      <c r="C4" s="1047">
        <f>项目基本情况!C18</f>
        <v>0</v>
      </c>
      <c r="D4" s="1047">
        <f ca="1">结果表!D118</f>
        <v>326</v>
      </c>
      <c r="E4" s="1047">
        <f ca="1">结果表!E118</f>
        <v>25927</v>
      </c>
      <c r="F4" s="1047">
        <f ca="1">结果表!F118</f>
        <v>93</v>
      </c>
      <c r="G4" s="1047">
        <f ca="1">结果表!G118</f>
        <v>7396</v>
      </c>
      <c r="H4" s="1047">
        <f ca="1">结果表!H118</f>
        <v>419</v>
      </c>
      <c r="I4" s="1047">
        <f ca="1">结果表!I118</f>
        <v>33323</v>
      </c>
    </row>
    <row r="5" spans="1:9" ht="30" customHeight="1">
      <c r="A5" s="3007" t="s">
        <v>1642</v>
      </c>
      <c r="B5" s="3007"/>
      <c r="C5" s="3007"/>
      <c r="D5" s="3008" t="str">
        <f ca="1">结果表!D119</f>
        <v>叁佰贰拾陆万元整</v>
      </c>
      <c r="E5" s="3008"/>
      <c r="F5" s="3008" t="str">
        <f ca="1">结果表!F119</f>
        <v>玖拾叁万元整</v>
      </c>
      <c r="G5" s="3008"/>
      <c r="H5" s="3008" t="str">
        <f ca="1">结果表!H119</f>
        <v>肆佰壹拾玖万元整</v>
      </c>
      <c r="I5" s="3008"/>
    </row>
    <row r="6" spans="1:9" ht="15.75">
      <c r="A6" s="3009" t="str">
        <f>结果表!A120</f>
        <v>估价师知悉的除抵押担保权以外的法定优先受偿款</v>
      </c>
      <c r="B6" s="3009"/>
      <c r="C6" s="3009"/>
      <c r="D6" s="3009">
        <f>结果表!D120</f>
        <v>0</v>
      </c>
      <c r="E6" s="3009"/>
      <c r="F6" s="3009"/>
      <c r="G6" s="3009"/>
      <c r="H6" s="3009"/>
      <c r="I6" s="3009"/>
    </row>
    <row r="7" spans="1:9" ht="15">
      <c r="A7" s="3007" t="s">
        <v>1642</v>
      </c>
      <c r="B7" s="3007"/>
      <c r="C7" s="3007"/>
      <c r="D7" s="3010" t="str">
        <f>结果表!D121</f>
        <v>零元整</v>
      </c>
      <c r="E7" s="3011"/>
      <c r="F7" s="3011"/>
      <c r="G7" s="3011"/>
      <c r="H7" s="3011"/>
      <c r="I7" s="3012"/>
    </row>
    <row r="8" spans="1:9" ht="15.75">
      <c r="A8" s="3009" t="str">
        <f>结果表!A122</f>
        <v>房地产抵押价值</v>
      </c>
      <c r="B8" s="3009"/>
      <c r="C8" s="3009"/>
      <c r="D8" s="3009">
        <f ca="1">结果表!D122</f>
        <v>419</v>
      </c>
      <c r="E8" s="3009"/>
      <c r="F8" s="3009"/>
      <c r="G8" s="3009"/>
      <c r="H8" s="3009"/>
      <c r="I8" s="3009"/>
    </row>
    <row r="9" spans="1:9" ht="15">
      <c r="A9" s="3007" t="s">
        <v>1642</v>
      </c>
      <c r="B9" s="3007"/>
      <c r="C9" s="3007"/>
      <c r="D9" s="3008" t="str">
        <f ca="1">结果表!D123</f>
        <v>肆佰壹拾玖万元整</v>
      </c>
      <c r="E9" s="3008"/>
      <c r="F9" s="3008"/>
      <c r="G9" s="3008"/>
      <c r="H9" s="3008"/>
      <c r="I9" s="3008"/>
    </row>
    <row r="10" spans="1:9" ht="15.75">
      <c r="A10" s="3009" t="str">
        <f>结果表!A124</f>
        <v/>
      </c>
      <c r="B10" s="3009"/>
      <c r="C10" s="3009"/>
      <c r="D10" s="3009" t="str">
        <f>结果表!D124</f>
        <v>——</v>
      </c>
      <c r="E10" s="3009"/>
      <c r="F10" s="3009"/>
      <c r="G10" s="3009"/>
      <c r="H10" s="3009"/>
      <c r="I10" s="3009"/>
    </row>
    <row r="11" spans="1:9" ht="15">
      <c r="A11" s="3007" t="s">
        <v>1642</v>
      </c>
      <c r="B11" s="3007"/>
      <c r="C11" s="3007"/>
      <c r="D11" s="3008" t="e">
        <f>结果表!D125</f>
        <v>#VALUE!</v>
      </c>
      <c r="E11" s="3008"/>
      <c r="F11" s="3008"/>
      <c r="G11" s="3008"/>
      <c r="H11" s="3008"/>
      <c r="I11" s="3008"/>
    </row>
    <row r="12" spans="1:9" ht="15.75">
      <c r="A12" s="3009" t="str">
        <f>结果表!A126</f>
        <v>抵押净值</v>
      </c>
      <c r="B12" s="3009"/>
      <c r="C12" s="3009"/>
      <c r="D12" s="3009">
        <f ca="1">结果表!D126</f>
        <v>-213</v>
      </c>
      <c r="E12" s="3009"/>
      <c r="F12" s="3009"/>
      <c r="G12" s="3009"/>
      <c r="H12" s="3009"/>
      <c r="I12" s="3009"/>
    </row>
    <row r="13" spans="1:9" ht="15.75" thickBot="1">
      <c r="A13" s="3013" t="s">
        <v>1642</v>
      </c>
      <c r="B13" s="3013"/>
      <c r="C13" s="3013"/>
      <c r="D13" s="3014" t="e">
        <f ca="1">结果表!D127</f>
        <v>#NUM!</v>
      </c>
      <c r="E13" s="3014"/>
      <c r="F13" s="3014"/>
      <c r="G13" s="3014"/>
      <c r="H13" s="3014"/>
      <c r="I13" s="3014"/>
    </row>
    <row r="14" spans="1:9" ht="15" thickTop="1">
      <c r="A14" s="3015" t="s">
        <v>1647</v>
      </c>
      <c r="B14" s="3015"/>
      <c r="C14" s="3015"/>
      <c r="D14" s="3015"/>
      <c r="E14" s="3015"/>
      <c r="F14" s="3015"/>
      <c r="G14" s="3015"/>
      <c r="H14" s="3015"/>
      <c r="I14" s="3015"/>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0" zoomScale="80" zoomScaleNormal="100" zoomScaleSheetLayoutView="90" zoomScalePageLayoutView="80" workbookViewId="0">
      <selection activeCell="A15" sqref="A15:D15"/>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016" t="s">
        <v>1664</v>
      </c>
      <c r="B1" s="3016"/>
      <c r="C1" s="3016"/>
      <c r="D1" s="3016"/>
    </row>
    <row r="2" spans="1:4" ht="18">
      <c r="A2" s="3017" t="s">
        <v>1648</v>
      </c>
      <c r="B2" s="3017"/>
      <c r="C2" s="3017"/>
      <c r="D2" s="3017"/>
    </row>
    <row r="3" spans="1:4" ht="18.75">
      <c r="A3" s="1981" t="s">
        <v>1649</v>
      </c>
      <c r="B3" s="1981" t="s">
        <v>1650</v>
      </c>
      <c r="C3" s="1981" t="s">
        <v>1651</v>
      </c>
      <c r="D3" s="1981" t="s">
        <v>1652</v>
      </c>
    </row>
    <row r="4" spans="1:4" ht="56.25" customHeight="1">
      <c r="A4" s="1982" t="str">
        <f>项目基本情况!B4</f>
        <v>王鹏</v>
      </c>
      <c r="B4" s="1983">
        <f ca="1">项目基本情况!C4</f>
        <v>1120050019</v>
      </c>
      <c r="C4" s="1984"/>
      <c r="D4" s="1985" t="s">
        <v>1653</v>
      </c>
    </row>
    <row r="5" spans="1:4" ht="56.25" customHeight="1">
      <c r="A5" s="1982" t="str">
        <f>项目基本情况!D4</f>
        <v>郑燚</v>
      </c>
      <c r="B5" s="1983">
        <f ca="1">项目基本情况!E4</f>
        <v>1120070131</v>
      </c>
      <c r="C5" s="1986"/>
      <c r="D5" s="1985" t="s">
        <v>1653</v>
      </c>
    </row>
    <row r="6" spans="1:4" ht="18">
      <c r="A6" s="3017" t="s">
        <v>1654</v>
      </c>
      <c r="B6" s="3017"/>
      <c r="C6" s="3017"/>
      <c r="D6" s="3017"/>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3018" t="s">
        <v>1657</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9" t="str">
        <f>IF(项目基本情况!B8="抵押","4.本次评估估价师所知悉的法定优先受偿款情况说明如下：","——")</f>
        <v>4.本次评估估价师所知悉的法定优先受偿款情况说明如下：</v>
      </c>
      <c r="B14" s="3020"/>
      <c r="C14" s="3020"/>
      <c r="D14" s="3020"/>
    </row>
    <row r="15" spans="1:4" ht="42" customHeight="1">
      <c r="A15" s="3019" t="str">
        <f>IF(项目基本情况!B8="抵押","（1）"&amp;CONCATENATE(项目基本情况!L20,项目基本情况!L21,项目基本情况!L22),"——")</f>
        <v>（1）根据估价对象《房屋所有权证》原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019"/>
      <c r="C15" s="3019"/>
      <c r="D15" s="3019"/>
    </row>
    <row r="16" spans="1:4" ht="30" customHeight="1">
      <c r="A16" s="3022" t="s">
        <v>1658</v>
      </c>
      <c r="B16" s="3022"/>
      <c r="C16" s="3022"/>
      <c r="D16" s="3022"/>
    </row>
    <row r="17" spans="1:4" ht="144" customHeight="1">
      <c r="A17" s="3022" t="s">
        <v>1659</v>
      </c>
      <c r="B17" s="3022"/>
      <c r="C17" s="3022"/>
      <c r="D17" s="3022"/>
    </row>
    <row r="18" spans="1:4" ht="15.75" customHeight="1">
      <c r="A18" s="3019" t="str">
        <f>IF(项目基本情况!B8="抵押",结果表!K120,"——")</f>
        <v>故，本次评估不存在估价师知悉的除抵押担保权以外的法定优先受偿款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9"/>
      <c r="C20" s="3019"/>
      <c r="D20" s="3019"/>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3"/>
      <c r="C21" s="3023"/>
      <c r="D21" s="3023"/>
    </row>
    <row r="22" spans="1:4" ht="18.75" customHeight="1">
      <c r="A22" s="3024" t="s">
        <v>1660</v>
      </c>
      <c r="B22" s="3024"/>
      <c r="C22" s="3024"/>
      <c r="D22" s="3024"/>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3021">
        <v>42551</v>
      </c>
      <c r="D31" s="30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3030" t="s">
        <v>1671</v>
      </c>
      <c r="B15" s="3025" t="s">
        <v>136</v>
      </c>
      <c r="C15" s="3026"/>
    </row>
    <row r="16" spans="1:7" ht="13.5">
      <c r="A16" s="3031"/>
      <c r="B16" s="3025" t="s">
        <v>69</v>
      </c>
      <c r="C16" s="3026"/>
    </row>
    <row r="17" spans="1:3" ht="13.5">
      <c r="A17" s="3031"/>
      <c r="B17" s="3028" t="s">
        <v>1672</v>
      </c>
      <c r="C17" s="2004" t="s">
        <v>1671</v>
      </c>
    </row>
    <row r="18" spans="1:3" ht="13.5">
      <c r="A18" s="3031"/>
      <c r="B18" s="3028"/>
      <c r="C18" s="2004" t="s">
        <v>1673</v>
      </c>
    </row>
    <row r="19" spans="1:3" ht="13.5">
      <c r="A19" s="3031"/>
      <c r="B19" s="3028"/>
      <c r="C19" s="2004" t="s">
        <v>1674</v>
      </c>
    </row>
    <row r="20" spans="1:3" ht="13.5">
      <c r="A20" s="3032"/>
      <c r="B20" s="3027" t="s">
        <v>1675</v>
      </c>
      <c r="C20" s="3026"/>
    </row>
    <row r="21" spans="1:3" ht="13.5">
      <c r="A21" s="2005" t="s">
        <v>1676</v>
      </c>
      <c r="B21" s="2006"/>
      <c r="C21" s="2007"/>
    </row>
    <row r="22" spans="1:3" ht="13.5">
      <c r="A22" s="3029" t="s">
        <v>1677</v>
      </c>
      <c r="B22" s="3027" t="s">
        <v>1678</v>
      </c>
      <c r="C22" s="3026"/>
    </row>
    <row r="23" spans="1:3" ht="13.5">
      <c r="A23" s="3029"/>
      <c r="B23" s="3027" t="s">
        <v>1679</v>
      </c>
      <c r="C23" s="3026"/>
    </row>
    <row r="24" spans="1:3" ht="13.5">
      <c r="A24" s="3029"/>
      <c r="B24" s="3027" t="s">
        <v>1680</v>
      </c>
      <c r="C24" s="3026"/>
    </row>
    <row r="25" spans="1:3" ht="13.5">
      <c r="A25" s="3029"/>
      <c r="B25" s="3028" t="s">
        <v>1681</v>
      </c>
      <c r="C25" s="2004" t="s">
        <v>1682</v>
      </c>
    </row>
    <row r="26" spans="1:3" ht="13.5">
      <c r="A26" s="3029"/>
      <c r="B26" s="3028"/>
      <c r="C26" s="2004" t="s">
        <v>1683</v>
      </c>
    </row>
    <row r="27" spans="1:3" ht="13.5">
      <c r="A27" s="3029"/>
      <c r="B27" s="3028"/>
      <c r="C27" s="2004" t="s">
        <v>1684</v>
      </c>
    </row>
    <row r="28" spans="1:3" ht="13.5">
      <c r="A28" s="3029"/>
      <c r="B28" s="3028"/>
      <c r="C28" s="2004" t="s">
        <v>1685</v>
      </c>
    </row>
    <row r="29" spans="1:3" ht="13.5">
      <c r="A29" s="3029"/>
      <c r="B29" s="3028"/>
      <c r="C29" s="2004" t="s">
        <v>1686</v>
      </c>
    </row>
    <row r="30" spans="1:3" ht="13.5">
      <c r="A30" s="3029"/>
      <c r="B30" s="3028"/>
      <c r="C30" s="2004" t="s">
        <v>1687</v>
      </c>
    </row>
    <row r="31" spans="1:3" ht="13.5">
      <c r="A31" s="3029"/>
      <c r="B31" s="3028"/>
      <c r="C31" s="2004" t="s">
        <v>1688</v>
      </c>
    </row>
    <row r="32" spans="1:3" ht="13.5">
      <c r="A32" s="3029"/>
      <c r="B32" s="3028"/>
      <c r="C32" s="2004" t="s">
        <v>1689</v>
      </c>
    </row>
    <row r="33" spans="1:3" ht="13.5">
      <c r="A33" s="3029"/>
      <c r="B33" s="3028"/>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43070</v>
      </c>
      <c r="C2" s="1022" t="s">
        <v>826</v>
      </c>
      <c r="D2" s="1022"/>
    </row>
    <row r="3" spans="1:6" ht="24" customHeight="1">
      <c r="A3" s="1023" t="s">
        <v>827</v>
      </c>
      <c r="B3" s="1024" t="s">
        <v>828</v>
      </c>
      <c r="C3" s="2351" t="s">
        <v>829</v>
      </c>
      <c r="D3" s="2354" t="s">
        <v>830</v>
      </c>
      <c r="E3" s="1025" t="s">
        <v>831</v>
      </c>
      <c r="F3" s="1024" t="s">
        <v>829</v>
      </c>
    </row>
    <row r="4" spans="1:6" ht="24" customHeight="1">
      <c r="A4" s="1706" t="s">
        <v>832</v>
      </c>
      <c r="B4" s="1025">
        <f ca="1">IF(C4&lt;B2,"已过期",1119970066)</f>
        <v>1119970066</v>
      </c>
      <c r="C4" s="2352">
        <v>43849</v>
      </c>
      <c r="D4" s="2355" t="s">
        <v>832</v>
      </c>
      <c r="E4" s="1025">
        <f ca="1">IF(F4&lt;B2,"已过期",96010014)</f>
        <v>96010014</v>
      </c>
      <c r="F4" s="1033">
        <v>47118</v>
      </c>
    </row>
    <row r="5" spans="1:6" ht="24" customHeight="1">
      <c r="A5" s="1706" t="s">
        <v>833</v>
      </c>
      <c r="B5" s="1025">
        <f ca="1">IF(C5&lt;B2,"已过期",1119970074)</f>
        <v>1119970074</v>
      </c>
      <c r="C5" s="2352">
        <v>43849</v>
      </c>
      <c r="D5" s="2355" t="s">
        <v>833</v>
      </c>
      <c r="E5" s="1025">
        <f ca="1">IF(F5&lt;B2,"已过期",2002110027)</f>
        <v>2002110027</v>
      </c>
      <c r="F5" s="1033">
        <v>46752</v>
      </c>
    </row>
    <row r="6" spans="1:6" ht="24" customHeight="1">
      <c r="A6" s="1706" t="s">
        <v>834</v>
      </c>
      <c r="B6" s="1025">
        <f ca="1">IF(C6&lt;B2,"已过期",1119970111)</f>
        <v>1119970111</v>
      </c>
      <c r="C6" s="2352">
        <v>43849</v>
      </c>
      <c r="D6" s="2355" t="s">
        <v>834</v>
      </c>
      <c r="E6" s="1025">
        <f ca="1">IF(F6&lt;B2,"已过期",94010078)</f>
        <v>94010078</v>
      </c>
      <c r="F6" s="1033">
        <v>46387</v>
      </c>
    </row>
    <row r="7" spans="1:6" ht="24" customHeight="1">
      <c r="A7" s="1706" t="s">
        <v>835</v>
      </c>
      <c r="B7" s="1025">
        <f ca="1">IF(C7&lt;B2,"已过期",1120050019)</f>
        <v>1120050019</v>
      </c>
      <c r="C7" s="2352">
        <v>43359</v>
      </c>
      <c r="D7" s="2355" t="s">
        <v>835</v>
      </c>
      <c r="E7" s="1025">
        <f ca="1">IF(F7&lt;B2,"已过期",2002110030)</f>
        <v>2002110030</v>
      </c>
      <c r="F7" s="1033">
        <v>46387</v>
      </c>
    </row>
    <row r="8" spans="1:6" ht="24" customHeight="1">
      <c r="A8" s="1706" t="s">
        <v>836</v>
      </c>
      <c r="B8" s="1025">
        <f ca="1">IF(C8&lt;B2,"已过期",1120000080)</f>
        <v>1120000080</v>
      </c>
      <c r="C8" s="2352">
        <v>43849</v>
      </c>
      <c r="D8" s="2355" t="s">
        <v>836</v>
      </c>
      <c r="E8" s="1025">
        <f ca="1">IF(F8&lt;B2,"已过期",2000110082)</f>
        <v>2000110082</v>
      </c>
      <c r="F8" s="1033">
        <v>46387</v>
      </c>
    </row>
    <row r="9" spans="1:6" ht="24" customHeight="1">
      <c r="A9" s="1706" t="s">
        <v>837</v>
      </c>
      <c r="B9" s="1025">
        <f ca="1">IF(C9&lt;B2,"已过期",1419970001)</f>
        <v>1419970001</v>
      </c>
      <c r="C9" s="2352">
        <v>43867</v>
      </c>
      <c r="D9" s="2355" t="s">
        <v>837</v>
      </c>
      <c r="E9" s="1025">
        <f ca="1">IF(F9&lt;B2,"已过期",2002110125)</f>
        <v>2002110125</v>
      </c>
      <c r="F9" s="1033">
        <v>47118</v>
      </c>
    </row>
    <row r="10" spans="1:6" ht="24" customHeight="1">
      <c r="A10" s="1706" t="s">
        <v>838</v>
      </c>
      <c r="B10" s="1025">
        <f ca="1">IF(C10&lt;B2,"已过期",1120060040)</f>
        <v>1120060040</v>
      </c>
      <c r="C10" s="2352">
        <v>43483</v>
      </c>
      <c r="D10" s="2355" t="s">
        <v>838</v>
      </c>
      <c r="E10" s="1025">
        <f ca="1">IF(F10&lt;B2,"已过期",2004110096)</f>
        <v>2004110096</v>
      </c>
      <c r="F10" s="1033">
        <v>47118</v>
      </c>
    </row>
    <row r="11" spans="1:6" ht="24" customHeight="1">
      <c r="A11" s="1706" t="s">
        <v>839</v>
      </c>
      <c r="B11" s="1025">
        <f ca="1">IF(C11&lt;B2,"已过期",1120100036)</f>
        <v>1120100036</v>
      </c>
      <c r="C11" s="2352">
        <v>43622</v>
      </c>
      <c r="D11" s="2355" t="s">
        <v>839</v>
      </c>
      <c r="E11" s="1025">
        <f ca="1">IF(F11&lt;B2,"已过期",2010110070)</f>
        <v>2010110070</v>
      </c>
      <c r="F11" s="1033">
        <v>47907</v>
      </c>
    </row>
    <row r="12" spans="1:6" ht="24" customHeight="1">
      <c r="A12" s="1706"/>
      <c r="B12" s="1025"/>
      <c r="C12" s="2352"/>
      <c r="D12" s="2355"/>
      <c r="E12" s="1025"/>
      <c r="F12" s="1025"/>
    </row>
    <row r="13" spans="1:6" ht="24" customHeight="1">
      <c r="A13" s="1706" t="s">
        <v>840</v>
      </c>
      <c r="B13" s="1025">
        <f ca="1">IF(C13&lt;B2,"已过期",1120070131)</f>
        <v>1120070131</v>
      </c>
      <c r="C13" s="2352">
        <v>43814</v>
      </c>
      <c r="D13" s="2355" t="s">
        <v>840</v>
      </c>
      <c r="E13" s="1025">
        <v>2014110011</v>
      </c>
      <c r="F13" s="1033">
        <v>49302</v>
      </c>
    </row>
    <row r="14" spans="1:6" ht="24" customHeight="1">
      <c r="A14" s="1706" t="s">
        <v>841</v>
      </c>
      <c r="B14" s="1025">
        <f ca="1">IF(C14&lt;B2,"已过期",1120130020)</f>
        <v>1120130020</v>
      </c>
      <c r="C14" s="2352">
        <v>43622</v>
      </c>
      <c r="D14" s="2355"/>
      <c r="E14" s="1025"/>
      <c r="F14" s="1025"/>
    </row>
    <row r="15" spans="1:6" ht="24" customHeight="1">
      <c r="A15" s="1707" t="s">
        <v>1149</v>
      </c>
      <c r="B15" s="1025">
        <v>1120070085</v>
      </c>
      <c r="C15" s="2352">
        <v>43814</v>
      </c>
      <c r="D15" s="2356" t="s">
        <v>1149</v>
      </c>
      <c r="E15" s="1025">
        <v>2004110128</v>
      </c>
      <c r="F15" s="1026">
        <v>47118</v>
      </c>
    </row>
    <row r="16" spans="1:6" ht="24" customHeight="1">
      <c r="A16" s="1706" t="s">
        <v>842</v>
      </c>
      <c r="B16" s="1025">
        <f ca="1">IF(C16&lt;B2,"已过期",1120140022)</f>
        <v>1120140022</v>
      </c>
      <c r="C16" s="2352">
        <v>44029</v>
      </c>
      <c r="D16" s="2355" t="s">
        <v>842</v>
      </c>
      <c r="E16" s="1025">
        <f ca="1">IF(F16&lt;B2,"已过期",2008110059)</f>
        <v>2008110059</v>
      </c>
      <c r="F16" s="1033">
        <v>47177</v>
      </c>
    </row>
    <row r="17" spans="1:7" ht="24" customHeight="1">
      <c r="A17" s="1706"/>
      <c r="B17" s="1025"/>
      <c r="C17" s="2352"/>
      <c r="D17" s="2355"/>
      <c r="E17" s="1025"/>
      <c r="F17" s="1033"/>
    </row>
    <row r="18" spans="1:7" ht="24" customHeight="1">
      <c r="A18" s="1706"/>
      <c r="B18" s="1025"/>
      <c r="C18" s="2352"/>
      <c r="D18" s="2355"/>
      <c r="E18" s="1025"/>
      <c r="F18" s="1033"/>
    </row>
    <row r="19" spans="1:7" ht="24" customHeight="1">
      <c r="A19" s="1706"/>
      <c r="B19" s="1025"/>
      <c r="C19" s="2352"/>
      <c r="D19" s="2355"/>
      <c r="E19" s="1025"/>
      <c r="F19" s="1025"/>
    </row>
    <row r="20" spans="1:7" ht="24" customHeight="1">
      <c r="A20" s="1706"/>
      <c r="B20" s="1025"/>
      <c r="C20" s="2352"/>
      <c r="D20" s="2355"/>
      <c r="E20" s="1025"/>
      <c r="F20" s="1025"/>
    </row>
    <row r="21" spans="1:7" ht="24" customHeight="1">
      <c r="A21" s="1706"/>
      <c r="B21" s="1025"/>
      <c r="C21" s="2352"/>
      <c r="D21" s="2355" t="s">
        <v>843</v>
      </c>
      <c r="E21" s="1025">
        <f ca="1">IF(F21&lt;B2,"已过期",2011110090)</f>
        <v>2011110090</v>
      </c>
      <c r="F21" s="1033">
        <v>48302</v>
      </c>
    </row>
    <row r="22" spans="1:7" ht="24" customHeight="1">
      <c r="A22" s="1706" t="s">
        <v>844</v>
      </c>
      <c r="B22" s="1025">
        <f ca="1">IF(C22&lt;B2,"已过期",1120020033)</f>
        <v>1120020033</v>
      </c>
      <c r="C22" s="2352">
        <v>43304</v>
      </c>
      <c r="D22" s="2355" t="s">
        <v>844</v>
      </c>
      <c r="E22" s="1025">
        <f ca="1">IF(F22&lt;B2,"已过期",2000110137)</f>
        <v>2000110137</v>
      </c>
      <c r="F22" s="1033">
        <v>46387</v>
      </c>
    </row>
    <row r="23" spans="1:7" ht="24" customHeight="1">
      <c r="A23" s="1706" t="s">
        <v>845</v>
      </c>
      <c r="B23" s="1025">
        <f ca="1">IF(C23&lt;B2,"已过期",1120130048)</f>
        <v>1120130048</v>
      </c>
      <c r="C23" s="2352">
        <v>43686</v>
      </c>
      <c r="D23" s="2355"/>
      <c r="E23" s="1025"/>
      <c r="F23" s="1025"/>
    </row>
    <row r="24" spans="1:7" s="1027" customFormat="1" ht="24" customHeight="1">
      <c r="A24" s="1707" t="s">
        <v>1334</v>
      </c>
      <c r="B24" s="1707" t="s">
        <v>1334</v>
      </c>
      <c r="C24" s="2353" t="s">
        <v>1334</v>
      </c>
      <c r="D24" s="2356" t="s">
        <v>1334</v>
      </c>
      <c r="E24" s="1707" t="s">
        <v>1334</v>
      </c>
      <c r="F24" s="1707" t="s">
        <v>1334</v>
      </c>
    </row>
    <row r="25" spans="1:7" ht="24" customHeight="1">
      <c r="A25" s="3033" t="s">
        <v>846</v>
      </c>
      <c r="B25" s="3033"/>
      <c r="C25" s="3033"/>
      <c r="D25" s="3033"/>
      <c r="E25" s="3033"/>
      <c r="F25" s="3033"/>
      <c r="G25" s="3033"/>
    </row>
    <row r="26" spans="1:7" s="1028" customFormat="1" ht="24" customHeight="1">
      <c r="A26" s="3034" t="s">
        <v>847</v>
      </c>
      <c r="B26" s="3034"/>
      <c r="C26" s="3035"/>
      <c r="D26" s="3036" t="s">
        <v>848</v>
      </c>
      <c r="E26" s="3034"/>
      <c r="F26" s="3034"/>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土增税估算</vt:lpstr>
      <vt:lpstr>基准地价修正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土增税估算!Print_Area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2017-12-01T05:24:33Z</dcterms:modified>
</cp:coreProperties>
</file>