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C:\Users\lenovo\Desktop\"/>
    </mc:Choice>
  </mc:AlternateContent>
  <xr:revisionPtr revIDLastSave="0" documentId="13_ncr:1_{545F0E82-1917-4D74-B872-745BFC8FDCFE}" xr6:coauthVersionLast="47" xr6:coauthVersionMax="47" xr10:uidLastSave="{00000000-0000-0000-0000-000000000000}"/>
  <bookViews>
    <workbookView xWindow="-120" yWindow="-120" windowWidth="20730" windowHeight="1116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3" sheetId="82" r:id="rId14"/>
    <sheet name="数据-汇总表" sheetId="6" r:id="rId15"/>
    <sheet name="数据-取费表" sheetId="1" r:id="rId16"/>
    <sheet name="Sheet1" sheetId="84" state="hidden" r:id="rId17"/>
    <sheet name="估价对象房地状况" sheetId="20" state="hidden" r:id="rId18"/>
    <sheet name="系统读取表" sheetId="74" r:id="rId19"/>
    <sheet name="结果表" sheetId="9" r:id="rId20"/>
    <sheet name="成本法" sheetId="68" state="hidden" r:id="rId21"/>
    <sheet name="成本法 (元)" sheetId="69" r:id="rId22"/>
    <sheet name="假设开发法" sheetId="12" state="hidden" r:id="rId23"/>
    <sheet name="土地比较法-住宅、综合" sheetId="39" r:id="rId24"/>
    <sheet name="土地案例" sheetId="83" r:id="rId25"/>
    <sheet name="比较法-商业" sheetId="33" r:id="rId26"/>
    <sheet name="收益法" sheetId="15" state="hidden" r:id="rId27"/>
    <sheet name="收益法 (元)" sheetId="67" r:id="rId28"/>
    <sheet name="典型户型修正" sheetId="31" r:id="rId29"/>
    <sheet name="商铺" sheetId="80" r:id="rId30"/>
    <sheet name="住宅" sheetId="81" r:id="rId31"/>
    <sheet name="收益法-酒店模型" sheetId="77" state="hidden" r:id="rId32"/>
    <sheet name="收益法（汇总）" sheetId="70" state="hidden" r:id="rId33"/>
    <sheet name="比较法-住宅" sheetId="21"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5" hidden="1">'比较法-商业'!$A$1:$L$49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5">'比较法-商业'!$A$1:$K$54,'比较法-商业'!$A$57:$M$131</definedName>
    <definedName name="_xlnm.Print_Area" localSheetId="33">'比较法-住宅'!$A$1:$K$54,'比较法-住宅'!$A$57:$M$131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2">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32">'收益法（汇总）'!$A$1:$F$13</definedName>
    <definedName name="_xlnm.Print_Area" localSheetId="14">'数据-汇总表'!$A$1:$P$32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1">[1]定义!$D$1:$D$4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1">'[1]数据-汇总表'!$C$17:$C$26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5" i="74" l="1"/>
  <c r="U6" i="1"/>
  <c r="I47" i="33"/>
  <c r="E47" i="33"/>
  <c r="G47" i="33"/>
  <c r="N6" i="1" l="1"/>
  <c r="I46" i="39" l="1"/>
  <c r="I38" i="39"/>
  <c r="I7" i="39"/>
  <c r="I5" i="39"/>
  <c r="G46" i="39"/>
  <c r="G38" i="39"/>
  <c r="G7" i="39"/>
  <c r="G5" i="39"/>
  <c r="E46" i="39"/>
  <c r="E38" i="39"/>
  <c r="E7" i="39"/>
  <c r="E5" i="39"/>
  <c r="D70" i="39"/>
  <c r="E70" i="39" s="1"/>
  <c r="F70" i="39" s="1"/>
  <c r="G70" i="39" s="1"/>
  <c r="H70" i="39" s="1"/>
  <c r="I70" i="39" s="1"/>
  <c r="J70" i="39" s="1"/>
  <c r="K70" i="39" s="1"/>
  <c r="L70" i="39" s="1"/>
  <c r="M70" i="39" s="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24" i="31"/>
  <c r="B95" i="31"/>
  <c r="B96" i="31"/>
  <c r="B44" i="31"/>
  <c r="B45" i="31"/>
  <c r="B52" i="31"/>
  <c r="B53" i="31"/>
  <c r="B60" i="31"/>
  <c r="B61" i="31"/>
  <c r="B68" i="31"/>
  <c r="B69" i="31"/>
  <c r="B76" i="31"/>
  <c r="B77" i="31"/>
  <c r="B84" i="31"/>
  <c r="B85" i="31"/>
  <c r="B92" i="31"/>
  <c r="B93" i="31"/>
  <c r="A24" i="31"/>
  <c r="W21" i="1"/>
  <c r="L52" i="67"/>
  <c r="J52" i="67"/>
  <c r="I84" i="82"/>
  <c r="H84" i="82"/>
  <c r="J78" i="82"/>
  <c r="B99" i="31" s="1"/>
  <c r="J76" i="82"/>
  <c r="B97" i="31" s="1"/>
  <c r="J83" i="82"/>
  <c r="B104" i="31" s="1"/>
  <c r="J82" i="82"/>
  <c r="B103" i="31" s="1"/>
  <c r="J81" i="82"/>
  <c r="B102" i="31" s="1"/>
  <c r="J80" i="82"/>
  <c r="B101" i="31" s="1"/>
  <c r="J79" i="82"/>
  <c r="B100" i="31" s="1"/>
  <c r="J77" i="82"/>
  <c r="B98" i="31" s="1"/>
  <c r="J75" i="82"/>
  <c r="J74" i="82"/>
  <c r="J73" i="82"/>
  <c r="B94" i="31" s="1"/>
  <c r="J72" i="82"/>
  <c r="J71" i="82"/>
  <c r="J70" i="82"/>
  <c r="B91" i="31" s="1"/>
  <c r="J69" i="82"/>
  <c r="B90" i="31" s="1"/>
  <c r="J68" i="82"/>
  <c r="B89" i="31" s="1"/>
  <c r="J67" i="82"/>
  <c r="B88" i="31" s="1"/>
  <c r="J66" i="82"/>
  <c r="B87" i="31" s="1"/>
  <c r="J65" i="82"/>
  <c r="B86" i="31" s="1"/>
  <c r="J64" i="82"/>
  <c r="J63" i="82"/>
  <c r="J62" i="82"/>
  <c r="B83" i="31" s="1"/>
  <c r="J61" i="82"/>
  <c r="B82" i="31" s="1"/>
  <c r="J60" i="82"/>
  <c r="B81" i="31" s="1"/>
  <c r="J59" i="82"/>
  <c r="B80" i="31" s="1"/>
  <c r="J58" i="82"/>
  <c r="B79" i="31" s="1"/>
  <c r="J57" i="82"/>
  <c r="B78" i="31" s="1"/>
  <c r="J56" i="82"/>
  <c r="J55" i="82"/>
  <c r="J54" i="82"/>
  <c r="B75" i="31" s="1"/>
  <c r="J53" i="82"/>
  <c r="B74" i="31" s="1"/>
  <c r="J52" i="82"/>
  <c r="B73" i="31" s="1"/>
  <c r="J51" i="82"/>
  <c r="B72" i="31" s="1"/>
  <c r="J50" i="82"/>
  <c r="B71" i="31" s="1"/>
  <c r="J49" i="82"/>
  <c r="B70" i="31" s="1"/>
  <c r="J48" i="82"/>
  <c r="J47" i="82"/>
  <c r="J46" i="82"/>
  <c r="B67" i="31" s="1"/>
  <c r="J45" i="82"/>
  <c r="B66" i="31" s="1"/>
  <c r="J44" i="82"/>
  <c r="B65" i="31" s="1"/>
  <c r="J43" i="82"/>
  <c r="B64" i="31" s="1"/>
  <c r="J42" i="82"/>
  <c r="B63" i="31" s="1"/>
  <c r="J41" i="82"/>
  <c r="B62" i="31" s="1"/>
  <c r="J40" i="82"/>
  <c r="J39" i="82"/>
  <c r="J38" i="82"/>
  <c r="B59" i="31" s="1"/>
  <c r="J37" i="82"/>
  <c r="B58" i="31" s="1"/>
  <c r="J36" i="82"/>
  <c r="B57" i="31" s="1"/>
  <c r="J35" i="82"/>
  <c r="B56" i="31" s="1"/>
  <c r="J34" i="82"/>
  <c r="B55" i="31" s="1"/>
  <c r="J33" i="82"/>
  <c r="B54" i="31" s="1"/>
  <c r="J32" i="82"/>
  <c r="J31" i="82"/>
  <c r="J30" i="82"/>
  <c r="B51" i="31" s="1"/>
  <c r="J29" i="82"/>
  <c r="B50" i="31" s="1"/>
  <c r="J28" i="82"/>
  <c r="B49" i="31" s="1"/>
  <c r="J27" i="82"/>
  <c r="B48" i="31" s="1"/>
  <c r="J26" i="82"/>
  <c r="B47" i="31" s="1"/>
  <c r="J25" i="82"/>
  <c r="B46" i="31" s="1"/>
  <c r="J24" i="82"/>
  <c r="J23" i="82"/>
  <c r="J22" i="82"/>
  <c r="B43" i="31" s="1"/>
  <c r="J19" i="82"/>
  <c r="B40" i="31" s="1"/>
  <c r="J20" i="82"/>
  <c r="B41" i="31" s="1"/>
  <c r="J21" i="82"/>
  <c r="B42" i="31" s="1"/>
  <c r="J18" i="82"/>
  <c r="B39" i="31" s="1"/>
  <c r="J17" i="82"/>
  <c r="B38" i="31" s="1"/>
  <c r="J12" i="82"/>
  <c r="B33" i="31" s="1"/>
  <c r="J13" i="82"/>
  <c r="B34" i="31" s="1"/>
  <c r="J14" i="82"/>
  <c r="B35" i="31" s="1"/>
  <c r="J15" i="82"/>
  <c r="B36" i="31" s="1"/>
  <c r="J16" i="82"/>
  <c r="B37" i="31" s="1"/>
  <c r="J11" i="82"/>
  <c r="B32" i="31" s="1"/>
  <c r="J10" i="82"/>
  <c r="B31" i="31" s="1"/>
  <c r="J9" i="82"/>
  <c r="B30" i="31" s="1"/>
  <c r="J4" i="82"/>
  <c r="B25" i="31" s="1"/>
  <c r="J5" i="82"/>
  <c r="B26" i="31" s="1"/>
  <c r="J6" i="82"/>
  <c r="B27" i="31" s="1"/>
  <c r="J7" i="82"/>
  <c r="B28" i="31" s="1"/>
  <c r="J8" i="82"/>
  <c r="J84" i="82" s="1"/>
  <c r="J3" i="82"/>
  <c r="B24" i="31" s="1"/>
  <c r="D59" i="33"/>
  <c r="E59" i="33" s="1"/>
  <c r="F59" i="33" s="1"/>
  <c r="G59" i="33" s="1"/>
  <c r="H59" i="33" s="1"/>
  <c r="I59" i="33" s="1"/>
  <c r="J59" i="33" s="1"/>
  <c r="K59" i="33" s="1"/>
  <c r="L59" i="33" s="1"/>
  <c r="M59" i="33" s="1"/>
  <c r="W20" i="1"/>
  <c r="J52" i="15"/>
  <c r="B29" i="31" l="1"/>
  <c r="I13" i="3"/>
  <c r="C33" i="33" s="1"/>
  <c r="U20" i="1"/>
  <c r="U21" i="1"/>
  <c r="X21" i="1" s="1"/>
  <c r="U19" i="1"/>
  <c r="Y6" i="1"/>
  <c r="C36" i="33" s="1"/>
  <c r="F19" i="6"/>
  <c r="D3" i="4"/>
  <c r="G14" i="73"/>
  <c r="F14" i="73"/>
  <c r="E14" i="73"/>
  <c r="X19" i="1" l="1"/>
  <c r="U22" i="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F21" i="71" s="1"/>
  <c r="P21" i="71"/>
  <c r="E21" i="71" s="1"/>
  <c r="O21" i="71"/>
  <c r="C21" i="71" s="1"/>
  <c r="C20" i="71" s="1"/>
  <c r="Q22" i="71"/>
  <c r="P22" i="71"/>
  <c r="O22" i="71"/>
  <c r="N22" i="71"/>
  <c r="A2" i="53"/>
  <c r="K59" i="67"/>
  <c r="P74" i="67" s="1"/>
  <c r="P61" i="67"/>
  <c r="K59" i="15"/>
  <c r="P74" i="15" s="1"/>
  <c r="D115" i="39"/>
  <c r="E115" i="39"/>
  <c r="F115" i="39"/>
  <c r="G115" i="39"/>
  <c r="H115" i="39"/>
  <c r="I115" i="39"/>
  <c r="J115" i="39"/>
  <c r="K115" i="39"/>
  <c r="L115" i="39"/>
  <c r="M115" i="39"/>
  <c r="C115" i="39"/>
  <c r="A21" i="62"/>
  <c r="B67" i="72" s="1"/>
  <c r="A20" i="62"/>
  <c r="A22" i="51"/>
  <c r="A21" i="51"/>
  <c r="B16" i="72" s="1"/>
  <c r="A20" i="51"/>
  <c r="A14" i="62"/>
  <c r="B60" i="72" s="1"/>
  <c r="A13" i="62"/>
  <c r="B59" i="72"/>
  <c r="A19" i="62"/>
  <c r="B65" i="72" s="1"/>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0" i="43" s="1"/>
  <c r="AH9" i="43"/>
  <c r="AG9" i="43"/>
  <c r="AG12" i="43" s="1"/>
  <c r="AF9" i="43"/>
  <c r="AE9" i="43"/>
  <c r="AE12" i="43" s="1"/>
  <c r="AD9" i="43"/>
  <c r="AC9" i="43"/>
  <c r="AC12" i="43" s="1"/>
  <c r="AB9" i="43"/>
  <c r="AA9" i="43"/>
  <c r="AA12" i="43"/>
  <c r="Z9" i="43"/>
  <c r="AA10" i="43"/>
  <c r="AC10" i="43"/>
  <c r="K49" i="9"/>
  <c r="E107" i="9"/>
  <c r="A122" i="9" s="1"/>
  <c r="A8" i="52" s="1"/>
  <c r="B54" i="72" s="1"/>
  <c r="E111" i="9"/>
  <c r="A126" i="9" s="1"/>
  <c r="E109" i="9"/>
  <c r="A124" i="9" s="1"/>
  <c r="B44" i="72"/>
  <c r="B42" i="72"/>
  <c r="B69" i="72"/>
  <c r="B68" i="72"/>
  <c r="B63" i="72"/>
  <c r="B62" i="72"/>
  <c r="B66" i="72"/>
  <c r="B10" i="72"/>
  <c r="C53" i="10"/>
  <c r="B51" i="10"/>
  <c r="B19" i="72"/>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c r="B81" i="71"/>
  <c r="B80" i="71" s="1"/>
  <c r="B79" i="71" s="1"/>
  <c r="D78" i="71"/>
  <c r="Q77" i="71"/>
  <c r="P77" i="71"/>
  <c r="O77" i="71"/>
  <c r="N77" i="71"/>
  <c r="F77" i="71"/>
  <c r="V77" i="71" s="1"/>
  <c r="E77" i="71"/>
  <c r="U77" i="71" s="1"/>
  <c r="C77" i="71"/>
  <c r="D77" i="71" s="1"/>
  <c r="B77" i="71"/>
  <c r="S77" i="71" s="1"/>
  <c r="Q76" i="71"/>
  <c r="P76" i="71"/>
  <c r="O76" i="71"/>
  <c r="N76" i="71"/>
  <c r="Q75" i="71"/>
  <c r="P75" i="71"/>
  <c r="O75" i="71"/>
  <c r="N75" i="71"/>
  <c r="Q74" i="71"/>
  <c r="P74" i="71"/>
  <c r="O74" i="71"/>
  <c r="N74" i="71"/>
  <c r="D74" i="71"/>
  <c r="Q73" i="71"/>
  <c r="P73" i="71"/>
  <c r="O73" i="71"/>
  <c r="N73" i="71"/>
  <c r="F73" i="71"/>
  <c r="V73" i="71"/>
  <c r="E73" i="71"/>
  <c r="U73" i="71" s="1"/>
  <c r="C73" i="71"/>
  <c r="B73" i="71"/>
  <c r="S73" i="71" s="1"/>
  <c r="Q72" i="71"/>
  <c r="P72" i="71"/>
  <c r="O72" i="71"/>
  <c r="N72" i="71"/>
  <c r="F72" i="71"/>
  <c r="F71" i="71" s="1"/>
  <c r="Q71" i="71"/>
  <c r="P71" i="71"/>
  <c r="O71" i="71"/>
  <c r="N71" i="71"/>
  <c r="Q70" i="71"/>
  <c r="P70" i="71"/>
  <c r="O70" i="71"/>
  <c r="N70" i="71"/>
  <c r="D70" i="71"/>
  <c r="Q69" i="71"/>
  <c r="P69" i="71"/>
  <c r="O69" i="71"/>
  <c r="N69" i="71"/>
  <c r="F69" i="71"/>
  <c r="V69" i="71"/>
  <c r="E69" i="71"/>
  <c r="U69" i="71"/>
  <c r="C69" i="71"/>
  <c r="T69" i="71" s="1"/>
  <c r="B69" i="71"/>
  <c r="S69" i="71" s="1"/>
  <c r="Q68" i="71"/>
  <c r="P68" i="71"/>
  <c r="O68" i="71"/>
  <c r="N68" i="71"/>
  <c r="F68" i="71"/>
  <c r="F67" i="71" s="1"/>
  <c r="B68" i="71"/>
  <c r="B67" i="71" s="1"/>
  <c r="Q67" i="71"/>
  <c r="P67" i="71"/>
  <c r="O67" i="71"/>
  <c r="N67" i="71"/>
  <c r="Q66" i="71"/>
  <c r="P66" i="71"/>
  <c r="O66" i="71"/>
  <c r="N66" i="71"/>
  <c r="D66" i="71"/>
  <c r="F65" i="71"/>
  <c r="E65" i="71"/>
  <c r="P65" i="71"/>
  <c r="C65" i="71"/>
  <c r="B65" i="71"/>
  <c r="S65" i="71"/>
  <c r="B64" i="71"/>
  <c r="D62" i="71"/>
  <c r="Q61" i="71"/>
  <c r="P61" i="71"/>
  <c r="O61" i="71"/>
  <c r="N61" i="71"/>
  <c r="Q60" i="71"/>
  <c r="P60" i="71"/>
  <c r="O60" i="71"/>
  <c r="N60" i="71"/>
  <c r="Q59" i="71"/>
  <c r="P59" i="71"/>
  <c r="O59" i="71"/>
  <c r="C60" i="71" s="1"/>
  <c r="N59" i="71"/>
  <c r="Q58" i="71"/>
  <c r="F59" i="71" s="1"/>
  <c r="P58" i="71"/>
  <c r="E59" i="71" s="1"/>
  <c r="E60" i="71" s="1"/>
  <c r="E61" i="71" s="1"/>
  <c r="U61" i="71" s="1"/>
  <c r="O58" i="71"/>
  <c r="C59" i="71" s="1"/>
  <c r="D59" i="71" s="1"/>
  <c r="N58" i="71"/>
  <c r="B59" i="71" s="1"/>
  <c r="B60" i="71" s="1"/>
  <c r="B61" i="71" s="1"/>
  <c r="S61" i="71" s="1"/>
  <c r="D58" i="71"/>
  <c r="Q57" i="71"/>
  <c r="P57" i="71"/>
  <c r="O57" i="71"/>
  <c r="N57" i="71"/>
  <c r="Q56" i="71"/>
  <c r="P56" i="71"/>
  <c r="O56" i="71"/>
  <c r="N56" i="71"/>
  <c r="Q55" i="71"/>
  <c r="P55" i="71"/>
  <c r="E56" i="71" s="1"/>
  <c r="E57" i="71" s="1"/>
  <c r="U57" i="71" s="1"/>
  <c r="O55" i="71"/>
  <c r="N55" i="71"/>
  <c r="Q54" i="71"/>
  <c r="F55" i="71" s="1"/>
  <c r="F56" i="71" s="1"/>
  <c r="F57" i="71" s="1"/>
  <c r="V57" i="71" s="1"/>
  <c r="P54" i="71"/>
  <c r="E55" i="71" s="1"/>
  <c r="O54" i="71"/>
  <c r="C55" i="71" s="1"/>
  <c r="N54" i="71"/>
  <c r="B55" i="71" s="1"/>
  <c r="B56" i="71" s="1"/>
  <c r="B57" i="7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D50" i="71"/>
  <c r="Q49" i="71"/>
  <c r="P49" i="71"/>
  <c r="O49" i="71"/>
  <c r="N49" i="71"/>
  <c r="Q48" i="71"/>
  <c r="P48" i="71"/>
  <c r="O48" i="71"/>
  <c r="N48" i="71"/>
  <c r="Q47" i="71"/>
  <c r="P47" i="71"/>
  <c r="O47" i="71"/>
  <c r="N47" i="71"/>
  <c r="Q46" i="71"/>
  <c r="F47" i="71" s="1"/>
  <c r="F48" i="71" s="1"/>
  <c r="F49" i="71" s="1"/>
  <c r="V49" i="71" s="1"/>
  <c r="P46" i="71"/>
  <c r="E47" i="7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D43" i="71" s="1"/>
  <c r="N42" i="71"/>
  <c r="B43" i="71" s="1"/>
  <c r="D42" i="71"/>
  <c r="Q41" i="71"/>
  <c r="P41" i="71"/>
  <c r="O41" i="71"/>
  <c r="N41" i="71"/>
  <c r="Q40" i="71"/>
  <c r="P40" i="71"/>
  <c r="O40" i="71"/>
  <c r="N40" i="71"/>
  <c r="Q39" i="71"/>
  <c r="P39" i="71"/>
  <c r="O39" i="71"/>
  <c r="N39" i="71"/>
  <c r="F41" i="71"/>
  <c r="V41" i="71" s="1"/>
  <c r="Q38" i="71"/>
  <c r="F39" i="71" s="1"/>
  <c r="F40" i="71" s="1"/>
  <c r="P38" i="71"/>
  <c r="E39" i="71"/>
  <c r="O38" i="71"/>
  <c r="C39" i="71"/>
  <c r="D39" i="71" s="1"/>
  <c r="N38" i="71"/>
  <c r="B39" i="71" s="1"/>
  <c r="B40" i="71" s="1"/>
  <c r="B41" i="71" s="1"/>
  <c r="S41" i="71" s="1"/>
  <c r="D38" i="71"/>
  <c r="Q37" i="71"/>
  <c r="P37" i="71"/>
  <c r="O37" i="71"/>
  <c r="N37" i="71"/>
  <c r="AB36" i="71"/>
  <c r="Q36" i="71"/>
  <c r="P36" i="71"/>
  <c r="O36" i="71"/>
  <c r="Y36" i="71" s="1"/>
  <c r="Z36" i="71" s="1"/>
  <c r="N36" i="71"/>
  <c r="X36" i="71" s="1"/>
  <c r="Q35" i="71"/>
  <c r="AB35" i="71" s="1"/>
  <c r="P35" i="71"/>
  <c r="O35" i="71"/>
  <c r="Y35" i="71"/>
  <c r="Z35" i="71" s="1"/>
  <c r="N35" i="71"/>
  <c r="X35" i="71" s="1"/>
  <c r="Q34" i="71"/>
  <c r="P34" i="71"/>
  <c r="O34" i="71"/>
  <c r="C35" i="71" s="1"/>
  <c r="C36" i="71" s="1"/>
  <c r="D36" i="71" s="1"/>
  <c r="N34" i="71"/>
  <c r="X34" i="71" s="1"/>
  <c r="D34" i="71"/>
  <c r="Q33" i="71"/>
  <c r="P33" i="71"/>
  <c r="AA33" i="71" s="1"/>
  <c r="O33" i="71"/>
  <c r="Y32" i="71" s="1"/>
  <c r="Z32" i="71" s="1"/>
  <c r="N33" i="71"/>
  <c r="Q32" i="71"/>
  <c r="P32" i="71"/>
  <c r="O32" i="71"/>
  <c r="N32" i="71"/>
  <c r="Q31" i="71"/>
  <c r="AB31" i="71"/>
  <c r="P31" i="71"/>
  <c r="O31" i="71"/>
  <c r="N31" i="71"/>
  <c r="X30" i="71" s="1"/>
  <c r="Q30" i="71"/>
  <c r="P30" i="71"/>
  <c r="E31" i="71" s="1"/>
  <c r="E32" i="71" s="1"/>
  <c r="E33" i="71" s="1"/>
  <c r="U33" i="71" s="1"/>
  <c r="O30" i="71"/>
  <c r="N30" i="71"/>
  <c r="D30" i="71"/>
  <c r="Q29" i="71"/>
  <c r="P29" i="71"/>
  <c r="O29" i="71"/>
  <c r="N29" i="71"/>
  <c r="Q28" i="71"/>
  <c r="P28" i="71"/>
  <c r="O28" i="71"/>
  <c r="N28" i="71"/>
  <c r="X27" i="71" s="1"/>
  <c r="Q27" i="71"/>
  <c r="P27" i="71"/>
  <c r="O27" i="71"/>
  <c r="N27" i="71"/>
  <c r="Q26" i="71"/>
  <c r="P26" i="71"/>
  <c r="E27" i="71" s="1"/>
  <c r="E28" i="71" s="1"/>
  <c r="E29" i="71" s="1"/>
  <c r="U29" i="71" s="1"/>
  <c r="O26" i="71"/>
  <c r="N26" i="71"/>
  <c r="B27" i="71" s="1"/>
  <c r="B28" i="71" s="1"/>
  <c r="B29" i="71" s="1"/>
  <c r="S29" i="71" s="1"/>
  <c r="D26" i="71"/>
  <c r="O25" i="71"/>
  <c r="N25" i="71"/>
  <c r="B31" i="71"/>
  <c r="B35" i="71"/>
  <c r="B36" i="71" s="1"/>
  <c r="B37" i="71" s="1"/>
  <c r="S37" i="71" s="1"/>
  <c r="N65" i="71"/>
  <c r="C31" i="71"/>
  <c r="X33" i="71"/>
  <c r="C25" i="71"/>
  <c r="T25" i="71" s="1"/>
  <c r="C48" i="71"/>
  <c r="D47" i="71"/>
  <c r="P25" i="71"/>
  <c r="E25" i="71" s="1"/>
  <c r="V25" i="71" s="1"/>
  <c r="U65" i="71"/>
  <c r="E64" i="71"/>
  <c r="E63" i="71" s="1"/>
  <c r="Q25" i="71"/>
  <c r="T65" i="71"/>
  <c r="O65" i="71"/>
  <c r="D65" i="71"/>
  <c r="C64" i="71"/>
  <c r="C68" i="71"/>
  <c r="D68" i="71" s="1"/>
  <c r="E68" i="71"/>
  <c r="E67" i="71" s="1"/>
  <c r="D69" i="71"/>
  <c r="E72" i="71"/>
  <c r="E71" i="71" s="1"/>
  <c r="C76" i="71"/>
  <c r="C75" i="71" s="1"/>
  <c r="D75" i="71" s="1"/>
  <c r="E76" i="71"/>
  <c r="E75" i="71"/>
  <c r="C80" i="71"/>
  <c r="D80" i="71" s="1"/>
  <c r="C84" i="71"/>
  <c r="D84" i="71" s="1"/>
  <c r="F25" i="71"/>
  <c r="F24" i="71" s="1"/>
  <c r="F23" i="71" s="1"/>
  <c r="C63" i="71"/>
  <c r="C79" i="71"/>
  <c r="D79" i="71" s="1"/>
  <c r="C83" i="71"/>
  <c r="D83" i="71" s="1"/>
  <c r="D7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c r="A13" i="70"/>
  <c r="E13" i="70" s="1"/>
  <c r="A6" i="70"/>
  <c r="Q25" i="40"/>
  <c r="Z25" i="40" s="1"/>
  <c r="D94" i="40"/>
  <c r="E94" i="40" s="1"/>
  <c r="F94" i="40" s="1"/>
  <c r="G94" i="40" s="1"/>
  <c r="F25" i="40"/>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C25" i="40" s="1"/>
  <c r="B86" i="43"/>
  <c r="C22" i="20"/>
  <c r="B66" i="43" s="1"/>
  <c r="B75" i="43"/>
  <c r="B55" i="43"/>
  <c r="C29" i="39"/>
  <c r="H25" i="40"/>
  <c r="AB25" i="40" s="1"/>
  <c r="J25" i="40"/>
  <c r="AC25" i="40" s="1"/>
  <c r="H29" i="39"/>
  <c r="AB29" i="39" s="1"/>
  <c r="J29" i="39"/>
  <c r="AC29" i="39" s="1"/>
  <c r="J18" i="36"/>
  <c r="AC18" i="36" s="1"/>
  <c r="F68" i="35"/>
  <c r="G68" i="35" s="1"/>
  <c r="H18" i="35"/>
  <c r="AB18" i="35" s="1"/>
  <c r="J18" i="35"/>
  <c r="AC18" i="35" s="1"/>
  <c r="H21" i="37"/>
  <c r="U21" i="37" s="1"/>
  <c r="F21" i="37"/>
  <c r="AA21" i="37" s="1"/>
  <c r="H21" i="34"/>
  <c r="AB21" i="34" s="1"/>
  <c r="H21" i="33"/>
  <c r="F21" i="33"/>
  <c r="E83" i="21"/>
  <c r="F83" i="21" s="1"/>
  <c r="G83" i="21" s="1"/>
  <c r="H1" i="69"/>
  <c r="W25" i="40"/>
  <c r="U25" i="40"/>
  <c r="W18" i="36"/>
  <c r="AA21" i="33"/>
  <c r="S21" i="33"/>
  <c r="U18" i="35"/>
  <c r="J21" i="37"/>
  <c r="AC21" i="37" s="1"/>
  <c r="J21" i="34"/>
  <c r="AC21" i="34" s="1"/>
  <c r="J21" i="33"/>
  <c r="AC21" i="33" s="1"/>
  <c r="H21" i="21"/>
  <c r="AB21" i="21" s="1"/>
  <c r="F38" i="69"/>
  <c r="E37" i="69"/>
  <c r="F36" i="69"/>
  <c r="F35" i="69"/>
  <c r="F21" i="69"/>
  <c r="F40" i="69" s="1"/>
  <c r="F20" i="69"/>
  <c r="F39" i="69" s="1"/>
  <c r="E10" i="69"/>
  <c r="E9" i="69"/>
  <c r="W21" i="37"/>
  <c r="W21" i="34"/>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F113" i="43"/>
  <c r="N99" i="43"/>
  <c r="D99" i="43"/>
  <c r="D100" i="43" s="1"/>
  <c r="E99" i="43"/>
  <c r="E108" i="43" s="1"/>
  <c r="F99" i="43"/>
  <c r="F108" i="43" s="1"/>
  <c r="G99" i="43"/>
  <c r="G108" i="43" s="1"/>
  <c r="H99" i="43"/>
  <c r="H108" i="43" s="1"/>
  <c r="I99" i="43"/>
  <c r="J99" i="43"/>
  <c r="J108" i="43" s="1"/>
  <c r="K99" i="43"/>
  <c r="L99" i="43"/>
  <c r="L108" i="43" s="1"/>
  <c r="M99" i="43"/>
  <c r="M108" i="43" s="1"/>
  <c r="C99" i="43"/>
  <c r="C108" i="43" s="1"/>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s="1"/>
  <c r="D77" i="43"/>
  <c r="M76" i="43"/>
  <c r="N76" i="43" s="1"/>
  <c r="K76" i="43"/>
  <c r="J76" i="43" s="1"/>
  <c r="D76" i="43"/>
  <c r="M75" i="43"/>
  <c r="N75" i="43"/>
  <c r="K75" i="43"/>
  <c r="J75" i="43" s="1"/>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67" i="43"/>
  <c r="N67" i="43"/>
  <c r="K67" i="43"/>
  <c r="J67" i="43" s="1"/>
  <c r="M66" i="43"/>
  <c r="N66" i="43" s="1"/>
  <c r="K66" i="43"/>
  <c r="J66" i="43" s="1"/>
  <c r="M65" i="43"/>
  <c r="N65" i="43"/>
  <c r="K65" i="43"/>
  <c r="J65" i="43" s="1"/>
  <c r="M64" i="43"/>
  <c r="N64" i="43" s="1"/>
  <c r="K64" i="43"/>
  <c r="J64" i="43" s="1"/>
  <c r="M63" i="43"/>
  <c r="N63" i="43"/>
  <c r="K63" i="43"/>
  <c r="J63" i="43" s="1"/>
  <c r="M62" i="43"/>
  <c r="N62" i="43" s="1"/>
  <c r="K62" i="43"/>
  <c r="J62" i="43" s="1"/>
  <c r="M61" i="43"/>
  <c r="N61" i="43"/>
  <c r="K61" i="43"/>
  <c r="J61" i="43" s="1"/>
  <c r="M60" i="43"/>
  <c r="N60" i="43" s="1"/>
  <c r="K60" i="43"/>
  <c r="J60" i="43" s="1"/>
  <c r="M59" i="43"/>
  <c r="N59" i="43"/>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A106" i="3" s="1"/>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A86" i="3" s="1"/>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K84" i="3"/>
  <c r="BJ84" i="3"/>
  <c r="BI84" i="3"/>
  <c r="BH84" i="3"/>
  <c r="BG84" i="3"/>
  <c r="BF84" i="3"/>
  <c r="BE84" i="3"/>
  <c r="BD84" i="3"/>
  <c r="BC84" i="3"/>
  <c r="BA84" i="3" s="1"/>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K82" i="3"/>
  <c r="BJ82" i="3"/>
  <c r="BI82" i="3"/>
  <c r="BH82" i="3"/>
  <c r="BG82" i="3"/>
  <c r="BF82" i="3"/>
  <c r="BE82" i="3"/>
  <c r="BD82" i="3"/>
  <c r="BC82" i="3"/>
  <c r="BA82" i="3" s="1"/>
  <c r="BB82" i="3"/>
  <c r="AX82" i="3"/>
  <c r="AW82" i="3"/>
  <c r="AV82" i="3"/>
  <c r="AC82" i="3"/>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A77" i="3" s="1"/>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L45" i="3" s="1"/>
  <c r="BO45" i="3"/>
  <c r="BN45" i="3"/>
  <c r="BM45" i="3"/>
  <c r="BK45" i="3"/>
  <c r="BJ45" i="3"/>
  <c r="BI45" i="3"/>
  <c r="BH45" i="3"/>
  <c r="BG45" i="3"/>
  <c r="BF45" i="3"/>
  <c r="BE45" i="3"/>
  <c r="BD45" i="3"/>
  <c r="BC45" i="3"/>
  <c r="BB45" i="3"/>
  <c r="AX45" i="3"/>
  <c r="AW45" i="3"/>
  <c r="AV45" i="3"/>
  <c r="AC45" i="3"/>
  <c r="H45" i="3"/>
  <c r="G45" i="3" s="1"/>
  <c r="BT44" i="3"/>
  <c r="BS44" i="3"/>
  <c r="BR44" i="3"/>
  <c r="BQ44" i="3"/>
  <c r="BP44" i="3"/>
  <c r="BL44" i="3" s="1"/>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L24" i="3" s="1"/>
  <c r="BP24" i="3"/>
  <c r="BO24" i="3"/>
  <c r="BN24" i="3"/>
  <c r="BM24" i="3"/>
  <c r="BK24" i="3"/>
  <c r="BJ24" i="3"/>
  <c r="BI24" i="3"/>
  <c r="BH24" i="3"/>
  <c r="BG24" i="3"/>
  <c r="BF24" i="3"/>
  <c r="BE24" i="3"/>
  <c r="BD24" i="3"/>
  <c r="BC24" i="3"/>
  <c r="BB24" i="3"/>
  <c r="AX24" i="3"/>
  <c r="AW24" i="3"/>
  <c r="AV24" i="3"/>
  <c r="AC24" i="3"/>
  <c r="H24" i="3"/>
  <c r="G24" i="3" s="1"/>
  <c r="BT23" i="3"/>
  <c r="BS23" i="3"/>
  <c r="BR23" i="3"/>
  <c r="BQ23" i="3"/>
  <c r="BL23" i="3" s="1"/>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L18" i="3" s="1"/>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A192" i="3" s="1"/>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A182" i="3" s="1"/>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A176" i="3" s="1"/>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A157" i="3" s="1"/>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L137" i="3" s="1"/>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L134" i="3" s="1"/>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L133" i="3" s="1"/>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L272" i="3" s="1"/>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L269" i="3" s="1"/>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L265" i="3" s="1"/>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A260" i="3" s="1"/>
  <c r="BG260" i="3"/>
  <c r="BF260" i="3"/>
  <c r="BE260" i="3"/>
  <c r="BD260" i="3"/>
  <c r="BC260" i="3"/>
  <c r="BB260" i="3"/>
  <c r="AX260" i="3"/>
  <c r="AW260" i="3"/>
  <c r="AV260" i="3"/>
  <c r="AC260" i="3"/>
  <c r="G260" i="3" s="1"/>
  <c r="H260" i="3"/>
  <c r="BT259" i="3"/>
  <c r="BS259" i="3"/>
  <c r="BR259" i="3"/>
  <c r="BL259" i="3" s="1"/>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A257" i="3" s="1"/>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A255" i="3" s="1"/>
  <c r="BD255" i="3"/>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A218" i="3" s="1"/>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A215" i="3" s="1"/>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A214" i="3" s="1"/>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L458" i="3" s="1"/>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L447" i="3" s="1"/>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A437" i="3" s="1"/>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L427" i="3" s="1"/>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A424" i="3" s="1"/>
  <c r="BG424" i="3"/>
  <c r="BF424" i="3"/>
  <c r="BE424" i="3"/>
  <c r="BD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A420" i="3" s="1"/>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A419" i="3" s="1"/>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L406" i="3" s="1"/>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L402" i="3" s="1"/>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106" i="31"/>
  <c r="R107" i="31"/>
  <c r="S107" i="31" s="1"/>
  <c r="R108" i="31"/>
  <c r="S108" i="31" s="1"/>
  <c r="R109" i="31"/>
  <c r="R110" i="31"/>
  <c r="R111" i="31"/>
  <c r="S111" i="31" s="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R127" i="31"/>
  <c r="R128" i="31"/>
  <c r="S128" i="31" s="1"/>
  <c r="R129" i="31"/>
  <c r="R130" i="31"/>
  <c r="S130" i="31" s="1"/>
  <c r="R131" i="31"/>
  <c r="R132" i="31"/>
  <c r="S132" i="31" s="1"/>
  <c r="R133" i="31"/>
  <c r="R134" i="31"/>
  <c r="R135" i="31"/>
  <c r="S135" i="31" s="1"/>
  <c r="R136" i="31"/>
  <c r="S136" i="31" s="1"/>
  <c r="R137" i="31"/>
  <c r="R138" i="31"/>
  <c r="R139" i="31"/>
  <c r="S139" i="31" s="1"/>
  <c r="R140" i="31"/>
  <c r="S140" i="31" s="1"/>
  <c r="R141" i="31"/>
  <c r="R142" i="31"/>
  <c r="R143" i="31"/>
  <c r="R144" i="31"/>
  <c r="S144" i="31" s="1"/>
  <c r="R145" i="31"/>
  <c r="R146" i="31"/>
  <c r="S146" i="31" s="1"/>
  <c r="R147" i="31"/>
  <c r="R148" i="31"/>
  <c r="S148" i="31" s="1"/>
  <c r="R149" i="31"/>
  <c r="R150" i="31"/>
  <c r="R151" i="31"/>
  <c r="S151" i="31" s="1"/>
  <c r="R152" i="31"/>
  <c r="S152" i="31" s="1"/>
  <c r="R153" i="31"/>
  <c r="R154" i="31"/>
  <c r="R155" i="31"/>
  <c r="S155" i="31" s="1"/>
  <c r="R156" i="31"/>
  <c r="S156" i="31" s="1"/>
  <c r="R157" i="31"/>
  <c r="R158" i="31"/>
  <c r="R159" i="31"/>
  <c r="R160" i="31"/>
  <c r="S160" i="31" s="1"/>
  <c r="R161" i="31"/>
  <c r="R162" i="31"/>
  <c r="S162" i="31" s="1"/>
  <c r="R163" i="31"/>
  <c r="R164" i="31"/>
  <c r="S164" i="31" s="1"/>
  <c r="R165" i="31"/>
  <c r="R166" i="31"/>
  <c r="R167" i="31"/>
  <c r="S167" i="31" s="1"/>
  <c r="R168" i="31"/>
  <c r="S168" i="31" s="1"/>
  <c r="R169" i="31"/>
  <c r="R170" i="31"/>
  <c r="R171" i="31"/>
  <c r="S171" i="31" s="1"/>
  <c r="R172" i="31"/>
  <c r="S172" i="31" s="1"/>
  <c r="R173" i="31"/>
  <c r="R174" i="31"/>
  <c r="R175" i="31"/>
  <c r="R176" i="31"/>
  <c r="S176" i="31" s="1"/>
  <c r="R177" i="31"/>
  <c r="R178" i="31"/>
  <c r="S178" i="31" s="1"/>
  <c r="R179" i="31"/>
  <c r="R180" i="31"/>
  <c r="S180" i="31" s="1"/>
  <c r="R181" i="31"/>
  <c r="R182" i="31"/>
  <c r="R183" i="31"/>
  <c r="S183" i="31" s="1"/>
  <c r="R184" i="31"/>
  <c r="S184" i="31" s="1"/>
  <c r="R185" i="31"/>
  <c r="R186" i="31"/>
  <c r="R187" i="31"/>
  <c r="S187" i="31" s="1"/>
  <c r="R188" i="31"/>
  <c r="S188" i="31" s="1"/>
  <c r="R189" i="31"/>
  <c r="R190" i="31"/>
  <c r="R191" i="31"/>
  <c r="R192" i="31"/>
  <c r="S192" i="31" s="1"/>
  <c r="R193" i="31"/>
  <c r="R194" i="31"/>
  <c r="S194" i="31" s="1"/>
  <c r="R195" i="31"/>
  <c r="R196" i="31"/>
  <c r="S196" i="31" s="1"/>
  <c r="R197" i="31"/>
  <c r="R198" i="31"/>
  <c r="R199" i="31"/>
  <c r="S199" i="31" s="1"/>
  <c r="R200" i="31"/>
  <c r="S200" i="31" s="1"/>
  <c r="R201" i="31"/>
  <c r="R202" i="31"/>
  <c r="R203" i="31"/>
  <c r="S203" i="31" s="1"/>
  <c r="R204" i="31"/>
  <c r="S204" i="31" s="1"/>
  <c r="R205" i="31"/>
  <c r="R206" i="31"/>
  <c r="R207" i="31"/>
  <c r="R208" i="31"/>
  <c r="S208" i="31" s="1"/>
  <c r="R209" i="31"/>
  <c r="R210" i="31"/>
  <c r="S210" i="31" s="1"/>
  <c r="R211" i="31"/>
  <c r="R212" i="31"/>
  <c r="S212" i="31" s="1"/>
  <c r="R213" i="31"/>
  <c r="R214" i="31"/>
  <c r="R215" i="31"/>
  <c r="S215" i="31" s="1"/>
  <c r="R216" i="31"/>
  <c r="S216" i="31" s="1"/>
  <c r="R217" i="31"/>
  <c r="R218" i="31"/>
  <c r="R219" i="31"/>
  <c r="S219" i="31" s="1"/>
  <c r="R220" i="31"/>
  <c r="S220" i="31" s="1"/>
  <c r="R221" i="31"/>
  <c r="R222" i="31"/>
  <c r="R223" i="31"/>
  <c r="R224" i="31"/>
  <c r="S224" i="31" s="1"/>
  <c r="R225" i="31"/>
  <c r="R226" i="31"/>
  <c r="R227" i="31"/>
  <c r="S227" i="31" s="1"/>
  <c r="R228" i="31"/>
  <c r="S228" i="31" s="1"/>
  <c r="R229" i="31"/>
  <c r="R230" i="31"/>
  <c r="R231" i="31"/>
  <c r="S231" i="31" s="1"/>
  <c r="R232" i="31"/>
  <c r="S232" i="31" s="1"/>
  <c r="R233" i="31"/>
  <c r="R234" i="31"/>
  <c r="R235" i="31"/>
  <c r="R236" i="31"/>
  <c r="S236" i="31" s="1"/>
  <c r="R237" i="31"/>
  <c r="R238" i="31"/>
  <c r="S238" i="31" s="1"/>
  <c r="R239" i="31"/>
  <c r="R240" i="31"/>
  <c r="S240" i="31" s="1"/>
  <c r="R241" i="31"/>
  <c r="R242" i="31"/>
  <c r="R243" i="31"/>
  <c r="S243" i="31" s="1"/>
  <c r="R244" i="31"/>
  <c r="S244" i="31" s="1"/>
  <c r="R245" i="31"/>
  <c r="R246" i="31"/>
  <c r="R247" i="31"/>
  <c r="S247" i="31" s="1"/>
  <c r="R248" i="31"/>
  <c r="S248" i="31" s="1"/>
  <c r="R249" i="31"/>
  <c r="R250" i="31"/>
  <c r="R251" i="31"/>
  <c r="R252" i="31"/>
  <c r="S252" i="31" s="1"/>
  <c r="R253" i="31"/>
  <c r="R254" i="31"/>
  <c r="S254" i="31" s="1"/>
  <c r="R255" i="31"/>
  <c r="S255" i="31" s="1"/>
  <c r="R256" i="3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S328" i="31" s="1"/>
  <c r="R329" i="31"/>
  <c r="S329" i="31" s="1"/>
  <c r="R330" i="3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S370" i="31" s="1"/>
  <c r="R371" i="31"/>
  <c r="S371" i="31" s="1"/>
  <c r="R372" i="31"/>
  <c r="R373" i="31"/>
  <c r="S373" i="31" s="1"/>
  <c r="R374" i="31"/>
  <c r="R375" i="31"/>
  <c r="S375" i="31" s="1"/>
  <c r="R376" i="31"/>
  <c r="S376" i="31" s="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S408" i="31" s="1"/>
  <c r="R409" i="31"/>
  <c r="S409" i="31" s="1"/>
  <c r="R410" i="3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R435" i="31"/>
  <c r="S435" i="31" s="1"/>
  <c r="R436" i="31"/>
  <c r="S436" i="31" s="1"/>
  <c r="R437" i="31"/>
  <c r="R438" i="31"/>
  <c r="S438" i="31" s="1"/>
  <c r="R439" i="31"/>
  <c r="R440" i="31"/>
  <c r="S440" i="31" s="1"/>
  <c r="R441" i="31"/>
  <c r="R442" i="31"/>
  <c r="S442" i="31" s="1"/>
  <c r="R443" i="31"/>
  <c r="S443" i="31" s="1"/>
  <c r="R444" i="31"/>
  <c r="S444" i="31" s="1"/>
  <c r="R445" i="31"/>
  <c r="R446" i="31"/>
  <c r="R447" i="31"/>
  <c r="S447" i="31" s="1"/>
  <c r="R448" i="31"/>
  <c r="S448" i="31" s="1"/>
  <c r="R449" i="31"/>
  <c r="R450" i="31"/>
  <c r="S450" i="31" s="1"/>
  <c r="R451" i="31"/>
  <c r="S451" i="31" s="1"/>
  <c r="R452" i="31"/>
  <c r="S452" i="31" s="1"/>
  <c r="R453" i="31"/>
  <c r="S453" i="31" s="1"/>
  <c r="R454" i="31"/>
  <c r="R455" i="31"/>
  <c r="S455" i="31" s="1"/>
  <c r="R456" i="31"/>
  <c r="S456" i="31" s="1"/>
  <c r="R457" i="31"/>
  <c r="R458" i="31"/>
  <c r="S458" i="31" s="1"/>
  <c r="R459" i="31"/>
  <c r="S459" i="31" s="1"/>
  <c r="R460" i="31"/>
  <c r="S460" i="31" s="1"/>
  <c r="R461" i="31"/>
  <c r="S461" i="31" s="1"/>
  <c r="R462" i="31"/>
  <c r="R463" i="31"/>
  <c r="S463" i="31" s="1"/>
  <c r="R464" i="31"/>
  <c r="S464" i="31" s="1"/>
  <c r="R465" i="31"/>
  <c r="R466" i="31"/>
  <c r="S466" i="31" s="1"/>
  <c r="R467" i="31"/>
  <c r="S467" i="31" s="1"/>
  <c r="R468" i="31"/>
  <c r="S468" i="31" s="1"/>
  <c r="R469" i="31"/>
  <c r="R470" i="31"/>
  <c r="R471" i="31"/>
  <c r="S471" i="31" s="1"/>
  <c r="R472" i="31"/>
  <c r="S472" i="31" s="1"/>
  <c r="R473" i="31"/>
  <c r="R474" i="31"/>
  <c r="S474" i="31" s="1"/>
  <c r="R475" i="31"/>
  <c r="S475" i="31" s="1"/>
  <c r="R476" i="31"/>
  <c r="S476" i="31" s="1"/>
  <c r="R477" i="31"/>
  <c r="R478" i="31"/>
  <c r="R479" i="31"/>
  <c r="S479" i="31" s="1"/>
  <c r="R480" i="31"/>
  <c r="S480" i="31" s="1"/>
  <c r="R481" i="31"/>
  <c r="S481" i="31" s="1"/>
  <c r="R482" i="3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R496" i="31"/>
  <c r="S496" i="31" s="1"/>
  <c r="R497" i="31"/>
  <c r="R498" i="31"/>
  <c r="S498" i="31" s="1"/>
  <c r="R499" i="31"/>
  <c r="S499" i="31" s="1"/>
  <c r="R500" i="31"/>
  <c r="R501" i="31"/>
  <c r="R502" i="31"/>
  <c r="R503" i="31"/>
  <c r="S503" i="31" s="1"/>
  <c r="R504" i="31"/>
  <c r="S504" i="31" s="1"/>
  <c r="R505" i="31"/>
  <c r="R506" i="31"/>
  <c r="S506" i="31" s="1"/>
  <c r="R507" i="31"/>
  <c r="S507" i="31" s="1"/>
  <c r="R508" i="31"/>
  <c r="S508" i="31" s="1"/>
  <c r="R509" i="31"/>
  <c r="S509" i="31" s="1"/>
  <c r="R510" i="31"/>
  <c r="S510" i="31" s="1"/>
  <c r="R511" i="31"/>
  <c r="S511" i="31" s="1"/>
  <c r="R512" i="31"/>
  <c r="S512" i="31" s="1"/>
  <c r="R513" i="31"/>
  <c r="R514" i="31"/>
  <c r="R515" i="31"/>
  <c r="S515" i="31" s="1"/>
  <c r="R516" i="31"/>
  <c r="S516" i="31" s="1"/>
  <c r="R517" i="31"/>
  <c r="R518" i="31"/>
  <c r="S518" i="31" s="1"/>
  <c r="R519" i="31"/>
  <c r="S519" i="31" s="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R105" i="31" s="1"/>
  <c r="S105" i="31" s="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2" i="31"/>
  <c r="S410" i="31"/>
  <c r="S404" i="31"/>
  <c r="S400" i="31"/>
  <c r="S396" i="31"/>
  <c r="S392" i="31"/>
  <c r="S388" i="31"/>
  <c r="S384" i="31"/>
  <c r="S380" i="31"/>
  <c r="S378" i="31"/>
  <c r="S374" i="31"/>
  <c r="S372" i="31"/>
  <c r="S366" i="31"/>
  <c r="S364" i="31"/>
  <c r="S356" i="31"/>
  <c r="S352" i="31"/>
  <c r="S350" i="31"/>
  <c r="S348" i="31"/>
  <c r="S344" i="31"/>
  <c r="S342" i="31"/>
  <c r="S340" i="31"/>
  <c r="S332" i="31"/>
  <c r="S330" i="31"/>
  <c r="S324" i="31"/>
  <c r="S322" i="31"/>
  <c r="S320" i="31"/>
  <c r="S316" i="31"/>
  <c r="S312" i="31"/>
  <c r="S310" i="31"/>
  <c r="S308" i="31"/>
  <c r="S304" i="31"/>
  <c r="S302" i="31"/>
  <c r="S300" i="31"/>
  <c r="S296" i="31"/>
  <c r="S294" i="31"/>
  <c r="S290" i="31"/>
  <c r="S286" i="31"/>
  <c r="S278" i="31"/>
  <c r="S270" i="31"/>
  <c r="S262" i="31"/>
  <c r="S256" i="31"/>
  <c r="S253" i="31"/>
  <c r="S251" i="31"/>
  <c r="S250" i="31"/>
  <c r="S249" i="31"/>
  <c r="S246" i="31"/>
  <c r="S245" i="31"/>
  <c r="S242" i="31"/>
  <c r="S241" i="31"/>
  <c r="S239" i="31"/>
  <c r="S237" i="31"/>
  <c r="S235" i="31"/>
  <c r="S234" i="31"/>
  <c r="S233" i="31"/>
  <c r="S230" i="31"/>
  <c r="S229" i="31"/>
  <c r="S226" i="31"/>
  <c r="S225" i="31"/>
  <c r="S223" i="31"/>
  <c r="S425" i="31"/>
  <c r="S222" i="31"/>
  <c r="S221" i="31"/>
  <c r="S218" i="31"/>
  <c r="S217" i="31"/>
  <c r="S214" i="31"/>
  <c r="S213" i="31"/>
  <c r="S211" i="31"/>
  <c r="S209" i="31"/>
  <c r="S207" i="31"/>
  <c r="S206" i="31"/>
  <c r="S205" i="31"/>
  <c r="S202" i="31"/>
  <c r="S201" i="31"/>
  <c r="S198" i="31"/>
  <c r="S197" i="31"/>
  <c r="S195" i="31"/>
  <c r="S193" i="31"/>
  <c r="S191" i="31"/>
  <c r="S190" i="31"/>
  <c r="S189" i="31"/>
  <c r="S186" i="31"/>
  <c r="S185" i="31"/>
  <c r="S182" i="31"/>
  <c r="S181" i="31"/>
  <c r="S179" i="31"/>
  <c r="S177" i="31"/>
  <c r="S175" i="31"/>
  <c r="S174" i="31"/>
  <c r="S173" i="31"/>
  <c r="S170" i="31"/>
  <c r="S169" i="31"/>
  <c r="S166" i="31"/>
  <c r="S165" i="31"/>
  <c r="S163" i="31"/>
  <c r="S161" i="31"/>
  <c r="S159" i="31"/>
  <c r="S158" i="31"/>
  <c r="S157" i="31"/>
  <c r="S154" i="31"/>
  <c r="S153" i="31"/>
  <c r="S150" i="31"/>
  <c r="S149" i="31"/>
  <c r="S147" i="31"/>
  <c r="S145" i="31"/>
  <c r="S143" i="31"/>
  <c r="S142" i="31"/>
  <c r="S141" i="31"/>
  <c r="S138" i="31"/>
  <c r="S137" i="31"/>
  <c r="S134" i="31"/>
  <c r="S133" i="31"/>
  <c r="S131" i="31"/>
  <c r="S129" i="31"/>
  <c r="S127" i="31"/>
  <c r="S126" i="31"/>
  <c r="S125" i="31"/>
  <c r="S497" i="31"/>
  <c r="S495" i="31"/>
  <c r="S493" i="31"/>
  <c r="S490" i="31"/>
  <c r="S489" i="31"/>
  <c r="S485" i="31"/>
  <c r="S482" i="31"/>
  <c r="S478" i="31"/>
  <c r="S477" i="31"/>
  <c r="S473" i="31"/>
  <c r="S470" i="31"/>
  <c r="S469" i="31"/>
  <c r="S441" i="31"/>
  <c r="S439" i="31"/>
  <c r="S437" i="31"/>
  <c r="S434" i="31"/>
  <c r="S433" i="31"/>
  <c r="S122" i="31"/>
  <c r="S121" i="31"/>
  <c r="S118" i="31"/>
  <c r="S117" i="31"/>
  <c r="S114" i="31"/>
  <c r="S113" i="31"/>
  <c r="S502" i="31"/>
  <c r="S500" i="31"/>
  <c r="S465" i="31"/>
  <c r="S462" i="31"/>
  <c r="S457" i="31"/>
  <c r="S454" i="31"/>
  <c r="S106" i="31"/>
  <c r="S109" i="31"/>
  <c r="S110" i="31"/>
  <c r="S445" i="31"/>
  <c r="S446" i="31"/>
  <c r="S449" i="31"/>
  <c r="S513" i="31"/>
  <c r="S514" i="31"/>
  <c r="I48" i="37"/>
  <c r="J48" i="37" s="1"/>
  <c r="G48" i="37"/>
  <c r="H48" i="37"/>
  <c r="E48" i="37"/>
  <c r="F48" i="37"/>
  <c r="I55" i="34"/>
  <c r="J55" i="34" s="1"/>
  <c r="G55" i="34"/>
  <c r="H55" i="34" s="1"/>
  <c r="E55" i="34"/>
  <c r="F55" i="34"/>
  <c r="I48" i="40"/>
  <c r="J48" i="40"/>
  <c r="G48" i="40"/>
  <c r="H48" i="40" s="1"/>
  <c r="E48" i="40"/>
  <c r="F48" i="40" s="1"/>
  <c r="I53" i="39"/>
  <c r="J53" i="39" s="1"/>
  <c r="G53" i="39"/>
  <c r="H53" i="39" s="1"/>
  <c r="E53" i="39"/>
  <c r="F53" i="39" s="1"/>
  <c r="I42" i="36"/>
  <c r="J42" i="36" s="1"/>
  <c r="G42" i="36"/>
  <c r="H42" i="36"/>
  <c r="E42" i="36"/>
  <c r="F42" i="36"/>
  <c r="I44" i="35"/>
  <c r="J44" i="35" s="1"/>
  <c r="G44" i="35"/>
  <c r="H44" i="35" s="1"/>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A551" i="3" s="1"/>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U30" i="36" s="1"/>
  <c r="F30" i="36"/>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c r="M112" i="34" s="1"/>
  <c r="F40" i="33"/>
  <c r="S40" i="33" s="1"/>
  <c r="J41" i="33"/>
  <c r="AC41" i="33" s="1"/>
  <c r="D113" i="33"/>
  <c r="F37" i="33"/>
  <c r="D111" i="33"/>
  <c r="E111" i="33" s="1"/>
  <c r="F111" i="33" s="1"/>
  <c r="G111" i="33" s="1"/>
  <c r="H111" i="33" s="1"/>
  <c r="I111" i="33" s="1"/>
  <c r="J111" i="33" s="1"/>
  <c r="K111" i="33" s="1"/>
  <c r="L111" i="33" s="1"/>
  <c r="M111" i="33" s="1"/>
  <c r="S517" i="31"/>
  <c r="S521" i="31"/>
  <c r="S522" i="31"/>
  <c r="S523"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s="1"/>
  <c r="B103" i="40"/>
  <c r="J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s="1"/>
  <c r="F84" i="40" s="1"/>
  <c r="G84" i="40" s="1"/>
  <c r="B81" i="40"/>
  <c r="J14" i="40" s="1"/>
  <c r="B79" i="40"/>
  <c r="B77" i="40"/>
  <c r="J12" i="40" s="1"/>
  <c r="W12" i="40" s="1"/>
  <c r="M74" i="40"/>
  <c r="L74" i="40"/>
  <c r="K74" i="40"/>
  <c r="J74" i="40"/>
  <c r="I74" i="40"/>
  <c r="H74" i="40"/>
  <c r="G74" i="40"/>
  <c r="F74" i="40"/>
  <c r="E74" i="40"/>
  <c r="D74" i="40"/>
  <c r="C74" i="40"/>
  <c r="P43" i="40"/>
  <c r="P42" i="40"/>
  <c r="V41" i="40"/>
  <c r="T41" i="40"/>
  <c r="R41" i="40"/>
  <c r="P41" i="40"/>
  <c r="Q40" i="40"/>
  <c r="Z40" i="40"/>
  <c r="F40" i="40"/>
  <c r="AA40" i="40" s="1"/>
  <c r="Q39" i="40"/>
  <c r="Z39" i="40" s="1"/>
  <c r="Q38" i="40"/>
  <c r="Z38" i="40"/>
  <c r="Q37" i="40"/>
  <c r="Z37" i="40"/>
  <c r="Q36" i="40"/>
  <c r="Z36" i="40" s="1"/>
  <c r="Q35" i="40"/>
  <c r="Z35" i="40" s="1"/>
  <c r="Q34" i="40"/>
  <c r="Z34" i="40"/>
  <c r="J34" i="40"/>
  <c r="AC34" i="40"/>
  <c r="H34" i="40"/>
  <c r="AB34" i="40" s="1"/>
  <c r="F34" i="40"/>
  <c r="AA34" i="40" s="1"/>
  <c r="Q33" i="40"/>
  <c r="Z33" i="40"/>
  <c r="Q32" i="40"/>
  <c r="Z32" i="40"/>
  <c r="Q31" i="40"/>
  <c r="Z31" i="40" s="1"/>
  <c r="Q30" i="40"/>
  <c r="Z30" i="40" s="1"/>
  <c r="Q28" i="40"/>
  <c r="Z28" i="40"/>
  <c r="Q27" i="40"/>
  <c r="Z27" i="40"/>
  <c r="Q23" i="40"/>
  <c r="Z23" i="40" s="1"/>
  <c r="Q21" i="40"/>
  <c r="Z21" i="40" s="1"/>
  <c r="Q19" i="40"/>
  <c r="Z19" i="40"/>
  <c r="Q17" i="40"/>
  <c r="Z17" i="40"/>
  <c r="Q15" i="40"/>
  <c r="Z15" i="40" s="1"/>
  <c r="Q14" i="40"/>
  <c r="Z14" i="40" s="1"/>
  <c r="Q13" i="40"/>
  <c r="Z13" i="40"/>
  <c r="Q12" i="40"/>
  <c r="Z12" i="40"/>
  <c r="Q11" i="40"/>
  <c r="Z11" i="40" s="1"/>
  <c r="Q10" i="40"/>
  <c r="Z10" i="40" s="1"/>
  <c r="Q9" i="40"/>
  <c r="Z9" i="40"/>
  <c r="J9" i="40"/>
  <c r="W9" i="40"/>
  <c r="H9" i="40"/>
  <c r="AB9" i="40" s="1"/>
  <c r="F9" i="40"/>
  <c r="AA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H39" i="37" s="1"/>
  <c r="AB39" i="37" s="1"/>
  <c r="B108" i="37"/>
  <c r="J38" i="37" s="1"/>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c r="F31" i="36"/>
  <c r="AA31" i="36" s="1"/>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c r="I54" i="36" s="1"/>
  <c r="C51" i="36"/>
  <c r="H9" i="36" s="1"/>
  <c r="P37" i="36"/>
  <c r="P36" i="36"/>
  <c r="V35" i="36"/>
  <c r="T35" i="36"/>
  <c r="R35" i="36"/>
  <c r="P35" i="36"/>
  <c r="Q34" i="36"/>
  <c r="Z34" i="36" s="1"/>
  <c r="Q33" i="36"/>
  <c r="Z33" i="36"/>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F32" i="34" s="1"/>
  <c r="B97" i="34"/>
  <c r="B95" i="34"/>
  <c r="B93" i="34"/>
  <c r="B75" i="34"/>
  <c r="F14" i="34" s="1"/>
  <c r="S14" i="34" s="1"/>
  <c r="B73" i="34"/>
  <c r="B71" i="34"/>
  <c r="F12" i="34" s="1"/>
  <c r="B130" i="33"/>
  <c r="B128" i="33"/>
  <c r="H45" i="33" s="1"/>
  <c r="U45" i="33" s="1"/>
  <c r="B126" i="33"/>
  <c r="B98" i="33"/>
  <c r="J31" i="33" s="1"/>
  <c r="B96" i="33"/>
  <c r="B94" i="33"/>
  <c r="H29" i="33" s="1"/>
  <c r="U29" i="33" s="1"/>
  <c r="B74" i="33"/>
  <c r="B72" i="33"/>
  <c r="F13" i="33" s="1"/>
  <c r="S13" i="33" s="1"/>
  <c r="B70" i="33"/>
  <c r="H12" i="33" s="1"/>
  <c r="U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c r="Q34" i="35"/>
  <c r="Z34" i="35"/>
  <c r="Q33" i="35"/>
  <c r="Z33" i="35" s="1"/>
  <c r="Q32" i="35"/>
  <c r="Z32" i="35" s="1"/>
  <c r="H32" i="35"/>
  <c r="AB32" i="35"/>
  <c r="F32" i="35"/>
  <c r="AA32" i="35"/>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U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s="1"/>
  <c r="Q43" i="34"/>
  <c r="Z43" i="34" s="1"/>
  <c r="Q42" i="34"/>
  <c r="Z42" i="34"/>
  <c r="Q41" i="34"/>
  <c r="Z41" i="34"/>
  <c r="Q40" i="34"/>
  <c r="Z40" i="34" s="1"/>
  <c r="Q39" i="34"/>
  <c r="Z39" i="34" s="1"/>
  <c r="H39" i="34"/>
  <c r="AB39" i="34"/>
  <c r="Q38" i="34"/>
  <c r="Z38" i="34"/>
  <c r="Q37" i="34"/>
  <c r="Z37" i="34" s="1"/>
  <c r="Q36" i="34"/>
  <c r="Z36" i="34" s="1"/>
  <c r="Q35" i="34"/>
  <c r="Z35" i="34"/>
  <c r="Q34" i="34"/>
  <c r="Z34" i="34"/>
  <c r="J34" i="34"/>
  <c r="AC34" i="34" s="1"/>
  <c r="H34" i="34"/>
  <c r="AB34" i="34" s="1"/>
  <c r="F34" i="34"/>
  <c r="AA34" i="34"/>
  <c r="Q33" i="34"/>
  <c r="Z33" i="34"/>
  <c r="Q32" i="34"/>
  <c r="Z32" i="34" s="1"/>
  <c r="Q31" i="34"/>
  <c r="Z31" i="34" s="1"/>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AC12" i="34" s="1"/>
  <c r="Q11" i="34"/>
  <c r="Z11" i="34"/>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F10" i="33" s="1"/>
  <c r="C63" i="33"/>
  <c r="J9" i="33" s="1"/>
  <c r="AC9" i="33" s="1"/>
  <c r="H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c r="Q36" i="33"/>
  <c r="Z36" i="33"/>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c r="Q27" i="33"/>
  <c r="Z27" i="33"/>
  <c r="Q26" i="33"/>
  <c r="Z26" i="33" s="1"/>
  <c r="Q25" i="33"/>
  <c r="Z25" i="33" s="1"/>
  <c r="Q23" i="33"/>
  <c r="Z23" i="33"/>
  <c r="Q19" i="33"/>
  <c r="Z19" i="33"/>
  <c r="Q17" i="33"/>
  <c r="Z17" i="33" s="1"/>
  <c r="Q15" i="33"/>
  <c r="Z15" i="33" s="1"/>
  <c r="F15" i="33"/>
  <c r="AA15" i="33"/>
  <c r="Q14" i="33"/>
  <c r="Z14" i="33"/>
  <c r="Q13" i="33"/>
  <c r="Z13" i="33" s="1"/>
  <c r="Q12" i="33"/>
  <c r="Z12" i="33" s="1"/>
  <c r="Q11" i="33"/>
  <c r="Z11" i="33"/>
  <c r="Q10" i="33"/>
  <c r="Z10" i="33"/>
  <c r="Q9" i="33"/>
  <c r="Z9" i="33" s="1"/>
  <c r="H9" i="33"/>
  <c r="AB9" i="33" s="1"/>
  <c r="J8" i="33"/>
  <c r="AC8" i="33" s="1"/>
  <c r="H8" i="33"/>
  <c r="U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25" i="39"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c r="D110" i="21"/>
  <c r="E110" i="21"/>
  <c r="F110" i="21" s="1"/>
  <c r="G110" i="21" s="1"/>
  <c r="H110" i="21" s="1"/>
  <c r="I110" i="21" s="1"/>
  <c r="J110" i="21" s="1"/>
  <c r="K110" i="2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s="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c r="J34" i="21"/>
  <c r="W34" i="21" s="1"/>
  <c r="H36" i="21"/>
  <c r="U36" i="21" s="1"/>
  <c r="F35" i="21"/>
  <c r="AA35" i="21" s="1"/>
  <c r="J10" i="21"/>
  <c r="AC10" i="21"/>
  <c r="H26" i="21"/>
  <c r="AB26" i="21" s="1"/>
  <c r="AB19" i="21"/>
  <c r="J19" i="21"/>
  <c r="W19" i="21" s="1"/>
  <c r="J12" i="21"/>
  <c r="AC12" i="21" s="1"/>
  <c r="H12" i="21"/>
  <c r="AB12" i="21" s="1"/>
  <c r="J26" i="21"/>
  <c r="W26" i="21" s="1"/>
  <c r="F26" i="21"/>
  <c r="S26" i="21" s="1"/>
  <c r="AB41" i="21"/>
  <c r="S41" i="21"/>
  <c r="AA41" i="21"/>
  <c r="F45" i="39"/>
  <c r="S45" i="39"/>
  <c r="J45" i="39"/>
  <c r="W45" i="39" s="1"/>
  <c r="F36" i="39"/>
  <c r="S36" i="39"/>
  <c r="U30" i="37"/>
  <c r="E103" i="37"/>
  <c r="F103" i="37" s="1"/>
  <c r="G103" i="37" s="1"/>
  <c r="H103" i="37" s="1"/>
  <c r="I103" i="37" s="1"/>
  <c r="J103" i="37" s="1"/>
  <c r="K103" i="37" s="1"/>
  <c r="L103" i="37" s="1"/>
  <c r="M103" i="37" s="1"/>
  <c r="F39" i="37"/>
  <c r="F29" i="36"/>
  <c r="AA29" i="36" s="1"/>
  <c r="F16" i="36"/>
  <c r="AA16" i="36" s="1"/>
  <c r="AC31" i="36"/>
  <c r="W31" i="36"/>
  <c r="U31" i="36"/>
  <c r="J33" i="36"/>
  <c r="W33" i="36" s="1"/>
  <c r="H22" i="35"/>
  <c r="AB22" i="35" s="1"/>
  <c r="AC27" i="35"/>
  <c r="U31" i="35"/>
  <c r="W22" i="35"/>
  <c r="S31" i="35"/>
  <c r="F36" i="34"/>
  <c r="J35" i="34"/>
  <c r="S34" i="34"/>
  <c r="H39" i="33"/>
  <c r="AB39" i="33" s="1"/>
  <c r="F26" i="33"/>
  <c r="S26" i="33" s="1"/>
  <c r="S27" i="35"/>
  <c r="F11" i="40"/>
  <c r="AA11" i="40"/>
  <c r="H11" i="40"/>
  <c r="AB11" i="40"/>
  <c r="W8" i="40"/>
  <c r="AC9" i="40"/>
  <c r="S34" i="40"/>
  <c r="U38" i="40"/>
  <c r="S40" i="40"/>
  <c r="F42" i="39"/>
  <c r="AA42" i="39" s="1"/>
  <c r="F41" i="39"/>
  <c r="S41" i="39" s="1"/>
  <c r="H40" i="39"/>
  <c r="AB40" i="39" s="1"/>
  <c r="H39" i="39"/>
  <c r="U39" i="39" s="1"/>
  <c r="S34" i="39"/>
  <c r="H34" i="39"/>
  <c r="U34" i="39" s="1"/>
  <c r="E100" i="39"/>
  <c r="F100" i="39" s="1"/>
  <c r="H19" i="39"/>
  <c r="AB19" i="39" s="1"/>
  <c r="F19" i="39"/>
  <c r="AA19" i="39" s="1"/>
  <c r="H17" i="39"/>
  <c r="AB17" i="39" s="1"/>
  <c r="F17" i="39"/>
  <c r="AA17" i="39" s="1"/>
  <c r="J23" i="40"/>
  <c r="AC23" i="40"/>
  <c r="F21" i="40"/>
  <c r="AA21" i="40"/>
  <c r="J21" i="40"/>
  <c r="W21" i="40" s="1"/>
  <c r="H42" i="39"/>
  <c r="AB42" i="39" s="1"/>
  <c r="J34" i="39"/>
  <c r="AC34" i="39" s="1"/>
  <c r="H27" i="39"/>
  <c r="U27" i="39" s="1"/>
  <c r="J19" i="39"/>
  <c r="AC19" i="39" s="1"/>
  <c r="J17" i="39"/>
  <c r="J27" i="39"/>
  <c r="AC27" i="39" s="1"/>
  <c r="F27" i="39"/>
  <c r="F11" i="21"/>
  <c r="S11" i="21" s="1"/>
  <c r="U34" i="21"/>
  <c r="S34" i="21"/>
  <c r="H11" i="39"/>
  <c r="AB11" i="39" s="1"/>
  <c r="S40" i="39"/>
  <c r="C15" i="39"/>
  <c r="H32" i="33"/>
  <c r="AB32" i="33" s="1"/>
  <c r="H11" i="21"/>
  <c r="U11" i="21"/>
  <c r="J11" i="21"/>
  <c r="W11" i="21" s="1"/>
  <c r="H37" i="40"/>
  <c r="U37" i="40" s="1"/>
  <c r="H36" i="40"/>
  <c r="AB36" i="40" s="1"/>
  <c r="F35" i="40"/>
  <c r="AA35" i="40"/>
  <c r="H23" i="40"/>
  <c r="H17" i="40"/>
  <c r="U17" i="40" s="1"/>
  <c r="J15" i="40"/>
  <c r="W15" i="40" s="1"/>
  <c r="J11" i="40"/>
  <c r="W11" i="40"/>
  <c r="AB8" i="39"/>
  <c r="AB12" i="33"/>
  <c r="AB12" i="36"/>
  <c r="F37" i="39"/>
  <c r="AA37" i="39"/>
  <c r="J30" i="35"/>
  <c r="W30" i="35" s="1"/>
  <c r="H30" i="35"/>
  <c r="AB30" i="35" s="1"/>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AB8" i="36"/>
  <c r="F14" i="35"/>
  <c r="AA14" i="35" s="1"/>
  <c r="F23" i="35"/>
  <c r="AA23" i="35" s="1"/>
  <c r="J32" i="35"/>
  <c r="AC32" i="35" s="1"/>
  <c r="J16" i="35"/>
  <c r="AC16" i="35" s="1"/>
  <c r="H16" i="35"/>
  <c r="U16" i="35" s="1"/>
  <c r="F16" i="35"/>
  <c r="S16" i="35" s="1"/>
  <c r="H14" i="35"/>
  <c r="AB14" i="35" s="1"/>
  <c r="J29" i="35"/>
  <c r="H33" i="35"/>
  <c r="U33" i="35" s="1"/>
  <c r="AB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H36" i="34"/>
  <c r="U36" i="34" s="1"/>
  <c r="F37" i="34"/>
  <c r="AA37" i="34" s="1"/>
  <c r="S35" i="34"/>
  <c r="F27" i="34"/>
  <c r="AA27" i="34" s="1"/>
  <c r="F25" i="34"/>
  <c r="S25" i="34" s="1"/>
  <c r="H23" i="34"/>
  <c r="J23" i="34"/>
  <c r="F19" i="34"/>
  <c r="H17" i="34"/>
  <c r="F15" i="34"/>
  <c r="AA15" i="34" s="1"/>
  <c r="J15" i="34"/>
  <c r="H15" i="34"/>
  <c r="AB15" i="34" s="1"/>
  <c r="F41" i="33"/>
  <c r="AA41" i="33" s="1"/>
  <c r="E113" i="33"/>
  <c r="F113" i="33" s="1"/>
  <c r="G113" i="33" s="1"/>
  <c r="H113" i="33" s="1"/>
  <c r="I113" i="33" s="1"/>
  <c r="J113" i="33" s="1"/>
  <c r="K113" i="33" s="1"/>
  <c r="L113" i="33" s="1"/>
  <c r="M113" i="33" s="1"/>
  <c r="F32" i="33"/>
  <c r="AA32" i="33" s="1"/>
  <c r="J19" i="33"/>
  <c r="AC19" i="33"/>
  <c r="J15" i="33"/>
  <c r="AC15" i="33"/>
  <c r="F11" i="33"/>
  <c r="AA11" i="33" s="1"/>
  <c r="F37" i="40"/>
  <c r="AA37" i="40" s="1"/>
  <c r="F36" i="40"/>
  <c r="AA36" i="40" s="1"/>
  <c r="H28" i="40"/>
  <c r="U28" i="40" s="1"/>
  <c r="F23" i="40"/>
  <c r="AA23" i="40" s="1"/>
  <c r="F17" i="40"/>
  <c r="AA17" i="40" s="1"/>
  <c r="J17" i="40"/>
  <c r="W17" i="40" s="1"/>
  <c r="F15" i="40"/>
  <c r="S15" i="40"/>
  <c r="H15" i="40"/>
  <c r="AB15" i="40" s="1"/>
  <c r="AC11" i="40"/>
  <c r="S12" i="36"/>
  <c r="AA12" i="36"/>
  <c r="AB30" i="36"/>
  <c r="AC34" i="36"/>
  <c r="F29" i="35"/>
  <c r="AA29" i="35" s="1"/>
  <c r="S29" i="35"/>
  <c r="H29" i="35"/>
  <c r="AB29" i="35"/>
  <c r="H33" i="37"/>
  <c r="AB33" i="37"/>
  <c r="F33" i="37"/>
  <c r="AA33" i="37"/>
  <c r="U34" i="37"/>
  <c r="W33" i="37"/>
  <c r="S34" i="37"/>
  <c r="AA34" i="37"/>
  <c r="J43" i="34"/>
  <c r="AB42" i="34"/>
  <c r="J40" i="34"/>
  <c r="I114" i="34"/>
  <c r="J114" i="34" s="1"/>
  <c r="K114" i="34" s="1"/>
  <c r="L114" i="34" s="1"/>
  <c r="M114" i="34" s="1"/>
  <c r="H38" i="34"/>
  <c r="AB38" i="34" s="1"/>
  <c r="J36" i="34"/>
  <c r="W36" i="34"/>
  <c r="H37" i="34"/>
  <c r="U37" i="34" s="1"/>
  <c r="H25" i="34"/>
  <c r="AB25" i="34" s="1"/>
  <c r="J25" i="34"/>
  <c r="AC25" i="34" s="1"/>
  <c r="F23" i="34"/>
  <c r="AA23" i="34" s="1"/>
  <c r="J19" i="34"/>
  <c r="AC19" i="34" s="1"/>
  <c r="F17" i="34"/>
  <c r="AA17" i="34" s="1"/>
  <c r="J17" i="34"/>
  <c r="W17" i="34" s="1"/>
  <c r="S15" i="34"/>
  <c r="S41" i="33"/>
  <c r="H37" i="33"/>
  <c r="AB37" i="33" s="1"/>
  <c r="H15" i="33"/>
  <c r="AB15" i="33" s="1"/>
  <c r="H11" i="33"/>
  <c r="AB11" i="33" s="1"/>
  <c r="F28" i="40"/>
  <c r="AA28" i="40" s="1"/>
  <c r="AA42" i="34"/>
  <c r="S42" i="34"/>
  <c r="AC38" i="34"/>
  <c r="AA38" i="34"/>
  <c r="J37" i="34"/>
  <c r="AC37" i="34" s="1"/>
  <c r="J11" i="33"/>
  <c r="W11" i="33" s="1"/>
  <c r="H123" i="21"/>
  <c r="I123" i="21" s="1"/>
  <c r="J123" i="21" s="1"/>
  <c r="K123" i="21" s="1"/>
  <c r="L123" i="21" s="1"/>
  <c r="M123" i="21" s="1"/>
  <c r="J42" i="21"/>
  <c r="AC42" i="21" s="1"/>
  <c r="H42" i="21"/>
  <c r="U42" i="21"/>
  <c r="J44" i="34"/>
  <c r="AC44" i="34" s="1"/>
  <c r="F44" i="34"/>
  <c r="AA44" i="34" s="1"/>
  <c r="J10" i="35"/>
  <c r="W10" i="35" s="1"/>
  <c r="J14" i="21"/>
  <c r="W14" i="21" s="1"/>
  <c r="F14" i="21"/>
  <c r="S14" i="21" s="1"/>
  <c r="H14" i="21"/>
  <c r="U14" i="21" s="1"/>
  <c r="H28" i="21"/>
  <c r="AB28" i="21"/>
  <c r="H30" i="21"/>
  <c r="U30" i="21" s="1"/>
  <c r="F30" i="21"/>
  <c r="S30" i="21"/>
  <c r="J30" i="21"/>
  <c r="AC30" i="21" s="1"/>
  <c r="J44" i="21"/>
  <c r="AC44" i="21" s="1"/>
  <c r="H44" i="21"/>
  <c r="U44" i="21" s="1"/>
  <c r="F44" i="21"/>
  <c r="AA44" i="21"/>
  <c r="H46" i="21"/>
  <c r="U46" i="21" s="1"/>
  <c r="J46" i="21"/>
  <c r="W46" i="21"/>
  <c r="F46" i="21"/>
  <c r="AA46" i="21" s="1"/>
  <c r="E119" i="21"/>
  <c r="F119" i="21" s="1"/>
  <c r="G119" i="21"/>
  <c r="H119" i="21" s="1"/>
  <c r="I119" i="21" s="1"/>
  <c r="J119" i="2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c r="J13" i="21"/>
  <c r="AC13" i="21" s="1"/>
  <c r="H27" i="21"/>
  <c r="AB27" i="21" s="1"/>
  <c r="F27" i="21"/>
  <c r="AA27" i="21" s="1"/>
  <c r="H29" i="21"/>
  <c r="U29" i="21"/>
  <c r="F31" i="21"/>
  <c r="S31" i="21" s="1"/>
  <c r="J13" i="33"/>
  <c r="H13" i="33"/>
  <c r="AB13" i="33" s="1"/>
  <c r="F29" i="33"/>
  <c r="S29" i="33" s="1"/>
  <c r="F31" i="33"/>
  <c r="AA31" i="33" s="1"/>
  <c r="J45" i="33"/>
  <c r="W45" i="33" s="1"/>
  <c r="F45" i="33"/>
  <c r="H14" i="34"/>
  <c r="H30" i="34"/>
  <c r="F30" i="34"/>
  <c r="S30" i="34" s="1"/>
  <c r="J30" i="34"/>
  <c r="W30" i="34"/>
  <c r="J32" i="34"/>
  <c r="W32" i="34" s="1"/>
  <c r="H46" i="34"/>
  <c r="U46" i="34" s="1"/>
  <c r="F46" i="34"/>
  <c r="J46" i="34"/>
  <c r="H11" i="35"/>
  <c r="U11" i="35" s="1"/>
  <c r="J11" i="35"/>
  <c r="F11" i="35"/>
  <c r="S11" i="35" s="1"/>
  <c r="J26" i="36"/>
  <c r="W26" i="36"/>
  <c r="H28" i="36"/>
  <c r="U28" i="36" s="1"/>
  <c r="H32" i="36"/>
  <c r="AB32" i="36" s="1"/>
  <c r="J32" i="36"/>
  <c r="W32" i="36" s="1"/>
  <c r="J11" i="36"/>
  <c r="AC11" i="36"/>
  <c r="F11" i="36"/>
  <c r="AA11" i="36" s="1"/>
  <c r="H13" i="36"/>
  <c r="AB13" i="36" s="1"/>
  <c r="J13" i="36"/>
  <c r="AC13" i="36" s="1"/>
  <c r="F13" i="36"/>
  <c r="S13" i="36" s="1"/>
  <c r="E89" i="37"/>
  <c r="F89" i="37"/>
  <c r="G89" i="37"/>
  <c r="H89" i="37" s="1"/>
  <c r="I89" i="37" s="1"/>
  <c r="J89" i="37" s="1"/>
  <c r="K89" i="37" s="1"/>
  <c r="L89" i="37" s="1"/>
  <c r="M89" i="37" s="1"/>
  <c r="J29" i="37"/>
  <c r="W29" i="37"/>
  <c r="F29" i="37"/>
  <c r="S29" i="37" s="1"/>
  <c r="F105" i="37"/>
  <c r="H36" i="37"/>
  <c r="AB36" i="37" s="1"/>
  <c r="J37" i="37"/>
  <c r="AC37" i="37" s="1"/>
  <c r="H37" i="37"/>
  <c r="U37" i="37" s="1"/>
  <c r="H40" i="37"/>
  <c r="U40" i="37" s="1"/>
  <c r="J40" i="37"/>
  <c r="AC40" i="37" s="1"/>
  <c r="F40" i="37"/>
  <c r="AA40" i="37"/>
  <c r="AC12" i="40"/>
  <c r="H14" i="33"/>
  <c r="U14" i="33" s="1"/>
  <c r="F14" i="33"/>
  <c r="J14" i="33"/>
  <c r="H30" i="33"/>
  <c r="AB30" i="33" s="1"/>
  <c r="F30" i="33"/>
  <c r="J30" i="33"/>
  <c r="H44" i="33"/>
  <c r="J44" i="33"/>
  <c r="AC44" i="33" s="1"/>
  <c r="F44" i="33"/>
  <c r="AA44" i="33" s="1"/>
  <c r="J46" i="33"/>
  <c r="AC46" i="33" s="1"/>
  <c r="F46" i="33"/>
  <c r="AA46" i="33"/>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c r="F47" i="34"/>
  <c r="S47" i="34" s="1"/>
  <c r="J47" i="34"/>
  <c r="AC47" i="34" s="1"/>
  <c r="F13" i="35"/>
  <c r="S13" i="35" s="1"/>
  <c r="J13" i="35"/>
  <c r="AC13" i="35"/>
  <c r="H13" i="35"/>
  <c r="U13" i="35" s="1"/>
  <c r="J25" i="35"/>
  <c r="W25" i="35"/>
  <c r="F25" i="35"/>
  <c r="S25" i="35" s="1"/>
  <c r="H25" i="35"/>
  <c r="AB25" i="35" s="1"/>
  <c r="J35" i="35"/>
  <c r="AC35" i="35" s="1"/>
  <c r="F35" i="35"/>
  <c r="AA35" i="35" s="1"/>
  <c r="H35" i="35"/>
  <c r="AB35" i="35" s="1"/>
  <c r="F25" i="36"/>
  <c r="S25" i="36" s="1"/>
  <c r="H13" i="37"/>
  <c r="AB13" i="37" s="1"/>
  <c r="F13" i="37"/>
  <c r="S13" i="37" s="1"/>
  <c r="J13" i="37"/>
  <c r="W13" i="37" s="1"/>
  <c r="J28" i="37"/>
  <c r="AC28" i="37" s="1"/>
  <c r="H38" i="37"/>
  <c r="AB38" i="37" s="1"/>
  <c r="AC38" i="37"/>
  <c r="F38" i="37"/>
  <c r="S38" i="37" s="1"/>
  <c r="F43" i="39"/>
  <c r="AA43" i="39" s="1"/>
  <c r="H43"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W14" i="40"/>
  <c r="F14" i="40"/>
  <c r="AA14" i="40" s="1"/>
  <c r="J14" i="37"/>
  <c r="AC14" i="37"/>
  <c r="J27" i="37"/>
  <c r="AC27" i="37" s="1"/>
  <c r="U31" i="34"/>
  <c r="J36" i="37"/>
  <c r="AC36" i="37" s="1"/>
  <c r="G105" i="37"/>
  <c r="AB11" i="35"/>
  <c r="J10" i="36"/>
  <c r="AC10" i="36" s="1"/>
  <c r="W13" i="36"/>
  <c r="S11" i="36"/>
  <c r="W11" i="36"/>
  <c r="AB46" i="34"/>
  <c r="AC30" i="34"/>
  <c r="AA14" i="34"/>
  <c r="AB45" i="33"/>
  <c r="S44" i="34"/>
  <c r="BA585" i="3"/>
  <c r="F17" i="21"/>
  <c r="AA17" i="21" s="1"/>
  <c r="H17" i="21"/>
  <c r="AB17" i="21" s="1"/>
  <c r="F15" i="21"/>
  <c r="S15" i="21" s="1"/>
  <c r="AB11" i="21"/>
  <c r="J41" i="39"/>
  <c r="W41" i="39" s="1"/>
  <c r="AC45" i="39"/>
  <c r="U36" i="39"/>
  <c r="G544" i="3"/>
  <c r="G540" i="3"/>
  <c r="G536" i="3"/>
  <c r="G535" i="3"/>
  <c r="G532" i="3"/>
  <c r="G531" i="3"/>
  <c r="G528" i="3"/>
  <c r="G527" i="3"/>
  <c r="G523" i="3"/>
  <c r="G518" i="3"/>
  <c r="G514" i="3"/>
  <c r="G510" i="3"/>
  <c r="G504" i="3"/>
  <c r="G500" i="3"/>
  <c r="G496" i="3"/>
  <c r="G580" i="3"/>
  <c r="G576" i="3"/>
  <c r="G572" i="3"/>
  <c r="G564" i="3"/>
  <c r="G560" i="3"/>
  <c r="G554" i="3"/>
  <c r="G550" i="3"/>
  <c r="BL584" i="3"/>
  <c r="AZ584" i="3" s="1"/>
  <c r="BL580" i="3"/>
  <c r="BL576" i="3"/>
  <c r="BL572" i="3"/>
  <c r="BL568" i="3"/>
  <c r="BL564" i="3"/>
  <c r="BL560" i="3"/>
  <c r="BL554" i="3"/>
  <c r="BL546" i="3"/>
  <c r="BL542" i="3"/>
  <c r="BL538" i="3"/>
  <c r="BL534" i="3"/>
  <c r="BL530" i="3"/>
  <c r="BL526" i="3"/>
  <c r="BL522" i="3"/>
  <c r="BL516" i="3"/>
  <c r="BL512" i="3"/>
  <c r="BL502" i="3"/>
  <c r="BL498" i="3"/>
  <c r="BL494" i="3"/>
  <c r="BL582" i="3"/>
  <c r="BL578" i="3"/>
  <c r="BL574" i="3"/>
  <c r="BL570" i="3"/>
  <c r="BL566" i="3"/>
  <c r="BL562" i="3"/>
  <c r="BL556" i="3"/>
  <c r="BL552" i="3"/>
  <c r="BL544" i="3"/>
  <c r="BL540" i="3"/>
  <c r="BL536" i="3"/>
  <c r="G533" i="3"/>
  <c r="BL532" i="3"/>
  <c r="AZ532" i="3" s="1"/>
  <c r="G529" i="3"/>
  <c r="BL528" i="3"/>
  <c r="G525" i="3"/>
  <c r="BL518" i="3"/>
  <c r="BL514" i="3"/>
  <c r="BL510" i="3"/>
  <c r="BL504" i="3"/>
  <c r="BL500" i="3"/>
  <c r="BL496" i="3"/>
  <c r="G493" i="3"/>
  <c r="BA584" i="3"/>
  <c r="BA582" i="3"/>
  <c r="AZ582" i="3" s="1"/>
  <c r="BA580" i="3"/>
  <c r="BA578" i="3"/>
  <c r="AZ578" i="3" s="1"/>
  <c r="BA576" i="3"/>
  <c r="BA574" i="3"/>
  <c r="AZ574" i="3" s="1"/>
  <c r="BA572" i="3"/>
  <c r="AZ572" i="3" s="1"/>
  <c r="BA570" i="3"/>
  <c r="AZ570" i="3" s="1"/>
  <c r="BA568" i="3"/>
  <c r="BA566" i="3"/>
  <c r="BA564" i="3"/>
  <c r="AZ564" i="3" s="1"/>
  <c r="BA562" i="3"/>
  <c r="BA560" i="3"/>
  <c r="BA558" i="3"/>
  <c r="AZ558" i="3" s="1"/>
  <c r="BA556" i="3"/>
  <c r="AZ556" i="3" s="1"/>
  <c r="BA554" i="3"/>
  <c r="AZ554" i="3" s="1"/>
  <c r="BA552" i="3"/>
  <c r="AZ552" i="3"/>
  <c r="BA548" i="3"/>
  <c r="BA546" i="3"/>
  <c r="AZ546" i="3" s="1"/>
  <c r="BA544" i="3"/>
  <c r="AZ544" i="3"/>
  <c r="BA542" i="3"/>
  <c r="AZ542" i="3" s="1"/>
  <c r="BA540" i="3"/>
  <c r="AZ540" i="3"/>
  <c r="BA538" i="3"/>
  <c r="AZ538" i="3"/>
  <c r="BA536" i="3"/>
  <c r="AZ536" i="3"/>
  <c r="BA534" i="3"/>
  <c r="AZ534" i="3" s="1"/>
  <c r="BA532" i="3"/>
  <c r="BA530" i="3"/>
  <c r="BA528" i="3"/>
  <c r="AZ528" i="3" s="1"/>
  <c r="BA526" i="3"/>
  <c r="AZ526" i="3" s="1"/>
  <c r="BA524" i="3"/>
  <c r="AZ524" i="3" s="1"/>
  <c r="BA522" i="3"/>
  <c r="BA518" i="3"/>
  <c r="AZ518" i="3" s="1"/>
  <c r="BA516" i="3"/>
  <c r="BA514" i="3"/>
  <c r="BA512" i="3"/>
  <c r="AZ512" i="3"/>
  <c r="BA508" i="3"/>
  <c r="BA506" i="3"/>
  <c r="BA504" i="3"/>
  <c r="AZ504" i="3" s="1"/>
  <c r="BA502" i="3"/>
  <c r="BA500" i="3"/>
  <c r="BA498" i="3"/>
  <c r="AZ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AZ541" i="3" s="1"/>
  <c r="BA539" i="3"/>
  <c r="BA537" i="3"/>
  <c r="BA535" i="3"/>
  <c r="BA533" i="3"/>
  <c r="BA531" i="3"/>
  <c r="BA529" i="3"/>
  <c r="BA527" i="3"/>
  <c r="BA525" i="3"/>
  <c r="AZ525" i="3" s="1"/>
  <c r="BA523" i="3"/>
  <c r="BA517" i="3"/>
  <c r="BA515" i="3"/>
  <c r="BA513" i="3"/>
  <c r="BA507" i="3"/>
  <c r="BA505" i="3"/>
  <c r="BA503" i="3"/>
  <c r="BA501" i="3"/>
  <c r="AZ501" i="3" s="1"/>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AZ569" i="3" s="1"/>
  <c r="BQ567" i="3"/>
  <c r="BL567" i="3"/>
  <c r="BQ565" i="3"/>
  <c r="BL565" i="3" s="1"/>
  <c r="AZ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AZ551" i="3" s="1"/>
  <c r="BQ549" i="3"/>
  <c r="BQ547" i="3"/>
  <c r="BL547" i="3" s="1"/>
  <c r="AZ547" i="3" s="1"/>
  <c r="BQ545" i="3"/>
  <c r="BL545" i="3" s="1"/>
  <c r="AZ545" i="3" s="1"/>
  <c r="BQ543" i="3"/>
  <c r="BL543" i="3" s="1"/>
  <c r="AZ543" i="3" s="1"/>
  <c r="BQ541" i="3"/>
  <c r="BL541" i="3"/>
  <c r="BQ539" i="3"/>
  <c r="BL539" i="3" s="1"/>
  <c r="BQ537" i="3"/>
  <c r="BL537" i="3" s="1"/>
  <c r="AZ537" i="3" s="1"/>
  <c r="BQ535" i="3"/>
  <c r="BL535" i="3" s="1"/>
  <c r="AZ535" i="3" s="1"/>
  <c r="BQ533" i="3"/>
  <c r="BL533" i="3" s="1"/>
  <c r="BQ531" i="3"/>
  <c r="BL531" i="3" s="1"/>
  <c r="AZ531" i="3" s="1"/>
  <c r="BQ529" i="3"/>
  <c r="BL529" i="3" s="1"/>
  <c r="AZ529" i="3" s="1"/>
  <c r="BQ527" i="3"/>
  <c r="BL527" i="3" s="1"/>
  <c r="AZ527" i="3" s="1"/>
  <c r="BQ525" i="3"/>
  <c r="BL525" i="3"/>
  <c r="BQ523" i="3"/>
  <c r="BL523" i="3" s="1"/>
  <c r="AC521" i="3"/>
  <c r="G521" i="3" s="1"/>
  <c r="BQ521" i="3"/>
  <c r="BL521" i="3" s="1"/>
  <c r="BL520" i="3"/>
  <c r="G519" i="3"/>
  <c r="G517" i="3"/>
  <c r="G515" i="3"/>
  <c r="G513" i="3"/>
  <c r="G511" i="3"/>
  <c r="BQ519" i="3"/>
  <c r="BL519" i="3" s="1"/>
  <c r="BQ517" i="3"/>
  <c r="BL517" i="3"/>
  <c r="BQ515" i="3"/>
  <c r="BQ513" i="3"/>
  <c r="BL513" i="3" s="1"/>
  <c r="BQ511" i="3"/>
  <c r="BL511" i="3" s="1"/>
  <c r="BA509" i="3"/>
  <c r="AC509" i="3"/>
  <c r="BQ509" i="3"/>
  <c r="BL509" i="3"/>
  <c r="AZ509" i="3" s="1"/>
  <c r="BL508" i="3"/>
  <c r="AZ508" i="3"/>
  <c r="G507" i="3"/>
  <c r="G505" i="3"/>
  <c r="G503" i="3"/>
  <c r="G501" i="3"/>
  <c r="G499" i="3"/>
  <c r="G497" i="3"/>
  <c r="G495" i="3"/>
  <c r="BQ507" i="3"/>
  <c r="BL507" i="3" s="1"/>
  <c r="AZ507" i="3" s="1"/>
  <c r="BQ505" i="3"/>
  <c r="BL505" i="3" s="1"/>
  <c r="AZ505" i="3" s="1"/>
  <c r="BQ503" i="3"/>
  <c r="BL503" i="3" s="1"/>
  <c r="BQ501" i="3"/>
  <c r="BL501" i="3" s="1"/>
  <c r="BQ499" i="3"/>
  <c r="BL499" i="3" s="1"/>
  <c r="AZ499" i="3" s="1"/>
  <c r="BQ497" i="3"/>
  <c r="BL497" i="3" s="1"/>
  <c r="AZ497" i="3" s="1"/>
  <c r="BQ495" i="3"/>
  <c r="BL495" i="3" s="1"/>
  <c r="BQ493" i="3"/>
  <c r="S505" i="31"/>
  <c r="S501"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14" i="40"/>
  <c r="AC33" i="36"/>
  <c r="W23" i="35"/>
  <c r="W14" i="37"/>
  <c r="U33" i="37"/>
  <c r="U39" i="37"/>
  <c r="AC8" i="37"/>
  <c r="U26" i="37"/>
  <c r="AB13" i="34"/>
  <c r="W37" i="34"/>
  <c r="AB37" i="34"/>
  <c r="AC36" i="34"/>
  <c r="AA13"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c r="J9" i="37"/>
  <c r="W9" i="37"/>
  <c r="H9" i="37"/>
  <c r="AB9" i="37" s="1"/>
  <c r="F9" i="37"/>
  <c r="S9" i="37" s="1"/>
  <c r="J12" i="37"/>
  <c r="W12" i="37"/>
  <c r="H12" i="37"/>
  <c r="AB12" i="37"/>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U12" i="37"/>
  <c r="AT6" i="3"/>
  <c r="H5" i="3"/>
  <c r="C12" i="43"/>
  <c r="H19" i="40"/>
  <c r="U19" i="40"/>
  <c r="F88" i="40"/>
  <c r="G88" i="40"/>
  <c r="F19" i="40"/>
  <c r="S19" i="40" s="1"/>
  <c r="S14"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W8" i="39"/>
  <c r="J19" i="40"/>
  <c r="AC19" i="40" s="1"/>
  <c r="H103" i="9"/>
  <c r="D8" i="53" s="1"/>
  <c r="B16" i="53"/>
  <c r="B33" i="72" s="1"/>
  <c r="C7" i="37"/>
  <c r="C7" i="34"/>
  <c r="C7" i="36"/>
  <c r="A118" i="9"/>
  <c r="A4" i="52"/>
  <c r="B41" i="72" s="1"/>
  <c r="J11" i="39"/>
  <c r="W11" i="39" s="1"/>
  <c r="F11" i="39"/>
  <c r="S11" i="39" s="1"/>
  <c r="A12" i="52"/>
  <c r="B56" i="72" s="1"/>
  <c r="G4" i="4"/>
  <c r="I4" i="4"/>
  <c r="A2" i="9"/>
  <c r="F59" i="43"/>
  <c r="H62" i="43" s="1"/>
  <c r="BL549" i="3"/>
  <c r="AZ549" i="3" s="1"/>
  <c r="AZ494" i="3"/>
  <c r="AZ502" i="3"/>
  <c r="AZ514"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G113" i="3"/>
  <c r="BA115" i="3"/>
  <c r="BL116" i="3"/>
  <c r="AZ116" i="3" s="1"/>
  <c r="G117" i="3"/>
  <c r="BA119" i="3"/>
  <c r="BL120" i="3"/>
  <c r="G121" i="3"/>
  <c r="BA123" i="3"/>
  <c r="BL124" i="3"/>
  <c r="G125" i="3"/>
  <c r="BA127" i="3"/>
  <c r="AZ127" i="3" s="1"/>
  <c r="BL128" i="3"/>
  <c r="G129" i="3"/>
  <c r="BA131" i="3"/>
  <c r="BL132" i="3"/>
  <c r="G133" i="3"/>
  <c r="BA135" i="3"/>
  <c r="BL136" i="3"/>
  <c r="AZ136" i="3" s="1"/>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AZ176" i="3" s="1"/>
  <c r="G177" i="3"/>
  <c r="BA179" i="3"/>
  <c r="BL180" i="3"/>
  <c r="G181" i="3"/>
  <c r="BA183" i="3"/>
  <c r="BL184" i="3"/>
  <c r="AZ184" i="3" s="1"/>
  <c r="G185" i="3"/>
  <c r="BA187" i="3"/>
  <c r="AZ187" i="3" s="1"/>
  <c r="BL188" i="3"/>
  <c r="G189" i="3"/>
  <c r="BA191" i="3"/>
  <c r="BL192" i="3"/>
  <c r="G193" i="3"/>
  <c r="BA195" i="3"/>
  <c r="BL196" i="3"/>
  <c r="G197" i="3"/>
  <c r="BA199" i="3"/>
  <c r="BL200" i="3"/>
  <c r="G201" i="3"/>
  <c r="BA203" i="3"/>
  <c r="BL204" i="3"/>
  <c r="AZ192" i="3"/>
  <c r="AZ20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AZ321" i="3" s="1"/>
  <c r="BL321" i="3"/>
  <c r="G322" i="3"/>
  <c r="G325" i="3"/>
  <c r="BL326" i="3"/>
  <c r="BA328" i="3"/>
  <c r="BA329" i="3"/>
  <c r="AZ329" i="3" s="1"/>
  <c r="BL329" i="3"/>
  <c r="G330" i="3"/>
  <c r="G333" i="3"/>
  <c r="BL334" i="3"/>
  <c r="BA336" i="3"/>
  <c r="BA337" i="3"/>
  <c r="AZ337" i="3"/>
  <c r="BL337" i="3"/>
  <c r="G338" i="3"/>
  <c r="G341" i="3"/>
  <c r="BA342" i="3"/>
  <c r="AZ342" i="3" s="1"/>
  <c r="BL342" i="3"/>
  <c r="BA344" i="3"/>
  <c r="AZ344" i="3" s="1"/>
  <c r="BL344" i="3"/>
  <c r="BA346" i="3"/>
  <c r="BA347" i="3"/>
  <c r="AZ347" i="3" s="1"/>
  <c r="BL347" i="3"/>
  <c r="G350" i="3"/>
  <c r="BA351" i="3"/>
  <c r="AZ351" i="3" s="1"/>
  <c r="BL351" i="3"/>
  <c r="G352" i="3"/>
  <c r="G354" i="3"/>
  <c r="BA355" i="3"/>
  <c r="AZ355" i="3" s="1"/>
  <c r="BA356" i="3"/>
  <c r="BL356" i="3"/>
  <c r="G357" i="3"/>
  <c r="G360" i="3"/>
  <c r="BL361" i="3"/>
  <c r="BA363" i="3"/>
  <c r="BA364" i="3"/>
  <c r="AZ364" i="3" s="1"/>
  <c r="BL364" i="3"/>
  <c r="G365" i="3"/>
  <c r="G368" i="3"/>
  <c r="BL369" i="3"/>
  <c r="AZ369" i="3" s="1"/>
  <c r="BA371" i="3"/>
  <c r="AZ371" i="3"/>
  <c r="BA372" i="3"/>
  <c r="AZ372" i="3"/>
  <c r="BL372" i="3"/>
  <c r="G373" i="3"/>
  <c r="G376" i="3"/>
  <c r="BL377" i="3"/>
  <c r="BL379" i="3"/>
  <c r="BA381" i="3"/>
  <c r="BA382" i="3"/>
  <c r="AZ382" i="3" s="1"/>
  <c r="BL382" i="3"/>
  <c r="G383" i="3"/>
  <c r="G386" i="3"/>
  <c r="BL387" i="3"/>
  <c r="BA389" i="3"/>
  <c r="AZ389" i="3" s="1"/>
  <c r="BA390" i="3"/>
  <c r="BL390" i="3"/>
  <c r="G391" i="3"/>
  <c r="G394" i="3"/>
  <c r="AZ500" i="3"/>
  <c r="BA16" i="3"/>
  <c r="BL303" i="3"/>
  <c r="AZ303" i="3" s="1"/>
  <c r="G304" i="3"/>
  <c r="BA306" i="3"/>
  <c r="AZ306" i="3" s="1"/>
  <c r="BL307" i="3"/>
  <c r="G308" i="3"/>
  <c r="BA310" i="3"/>
  <c r="BL311" i="3"/>
  <c r="AZ311" i="3"/>
  <c r="G312" i="3"/>
  <c r="BA314" i="3"/>
  <c r="BL315" i="3"/>
  <c r="G316" i="3"/>
  <c r="BA318" i="3"/>
  <c r="AZ318" i="3"/>
  <c r="BL319" i="3"/>
  <c r="AZ319" i="3" s="1"/>
  <c r="G320" i="3"/>
  <c r="BA322" i="3"/>
  <c r="AZ322" i="3" s="1"/>
  <c r="BL323" i="3"/>
  <c r="G324" i="3"/>
  <c r="BA326" i="3"/>
  <c r="AZ326" i="3" s="1"/>
  <c r="BL327" i="3"/>
  <c r="G328" i="3"/>
  <c r="BA330" i="3"/>
  <c r="AZ330" i="3" s="1"/>
  <c r="BL331" i="3"/>
  <c r="G332" i="3"/>
  <c r="BA334" i="3"/>
  <c r="AZ334" i="3" s="1"/>
  <c r="BL335" i="3"/>
  <c r="G336" i="3"/>
  <c r="BA338" i="3"/>
  <c r="BL339" i="3"/>
  <c r="G340" i="3"/>
  <c r="BL343" i="3"/>
  <c r="G344" i="3"/>
  <c r="G348" i="3"/>
  <c r="G355" i="3"/>
  <c r="G342" i="3"/>
  <c r="BL345" i="3"/>
  <c r="AZ345" i="3" s="1"/>
  <c r="G346" i="3"/>
  <c r="BL349" i="3"/>
  <c r="AZ349" i="3" s="1"/>
  <c r="BL352" i="3"/>
  <c r="G353" i="3"/>
  <c r="BA357" i="3"/>
  <c r="AZ357" i="3" s="1"/>
  <c r="BL358" i="3"/>
  <c r="AZ358" i="3" s="1"/>
  <c r="G359" i="3"/>
  <c r="BA361" i="3"/>
  <c r="BL362" i="3"/>
  <c r="AZ362" i="3" s="1"/>
  <c r="G363" i="3"/>
  <c r="BA365" i="3"/>
  <c r="BL366" i="3"/>
  <c r="G367" i="3"/>
  <c r="BA369" i="3"/>
  <c r="BL370" i="3"/>
  <c r="G371" i="3"/>
  <c r="BA373" i="3"/>
  <c r="AZ373" i="3"/>
  <c r="BL374" i="3"/>
  <c r="G375" i="3"/>
  <c r="BA377" i="3"/>
  <c r="BA379" i="3"/>
  <c r="AZ379" i="3" s="1"/>
  <c r="BL380" i="3"/>
  <c r="G381" i="3"/>
  <c r="BA383" i="3"/>
  <c r="BL384" i="3"/>
  <c r="G385" i="3"/>
  <c r="BA387" i="3"/>
  <c r="AZ387" i="3" s="1"/>
  <c r="BL388" i="3"/>
  <c r="G389" i="3"/>
  <c r="BA391" i="3"/>
  <c r="BL392" i="3"/>
  <c r="G393" i="3"/>
  <c r="AZ283" i="3"/>
  <c r="BO5" i="3"/>
  <c r="BM5" i="3"/>
  <c r="BJ5" i="3"/>
  <c r="BH5" i="3"/>
  <c r="BF5" i="3"/>
  <c r="BD5" i="3"/>
  <c r="AZ341" i="3"/>
  <c r="AC5" i="3"/>
  <c r="AZ496" i="3"/>
  <c r="G548" i="3"/>
  <c r="G538" i="3"/>
  <c r="G520" i="3"/>
  <c r="G502" i="3"/>
  <c r="BS5" i="3"/>
  <c r="BP5" i="3"/>
  <c r="BN5" i="3"/>
  <c r="BK5" i="3"/>
  <c r="BI5" i="3"/>
  <c r="BG5" i="3"/>
  <c r="BE5" i="3"/>
  <c r="BC5" i="3"/>
  <c r="G17" i="3"/>
  <c r="BA17" i="3"/>
  <c r="BT5" i="3"/>
  <c r="AZ356" i="3"/>
  <c r="BA15" i="3"/>
  <c r="BB5" i="3"/>
  <c r="BR5" i="3"/>
  <c r="G28" i="6" s="1"/>
  <c r="AZ384" i="3"/>
  <c r="AZ388" i="3"/>
  <c r="E8" i="6"/>
  <c r="F27" i="6" s="1"/>
  <c r="G509" i="3"/>
  <c r="BL493" i="3"/>
  <c r="AZ493" i="3" s="1"/>
  <c r="U36" i="40"/>
  <c r="F36" i="43"/>
  <c r="F81" i="43"/>
  <c r="H87" i="43" s="1"/>
  <c r="H113" i="43"/>
  <c r="F48" i="43"/>
  <c r="H52" i="43" s="1"/>
  <c r="F70" i="43"/>
  <c r="H73" i="43" s="1"/>
  <c r="M11" i="43"/>
  <c r="D17" i="43"/>
  <c r="F39" i="43"/>
  <c r="I17" i="43"/>
  <c r="F35" i="43"/>
  <c r="J17" i="43"/>
  <c r="F6" i="1"/>
  <c r="G6" i="1" s="1"/>
  <c r="U17" i="39"/>
  <c r="S14" i="35"/>
  <c r="U43" i="21"/>
  <c r="U35" i="21"/>
  <c r="AC35" i="21"/>
  <c r="U10" i="21"/>
  <c r="G10" i="1"/>
  <c r="W37" i="37"/>
  <c r="W44" i="34"/>
  <c r="S15" i="37"/>
  <c r="U13" i="37"/>
  <c r="U12" i="40"/>
  <c r="AA12" i="40"/>
  <c r="J37" i="33"/>
  <c r="W37" i="33" s="1"/>
  <c r="AC17" i="34"/>
  <c r="J34" i="33"/>
  <c r="W34" i="33" s="1"/>
  <c r="F33" i="34"/>
  <c r="S33" i="34"/>
  <c r="W12" i="36"/>
  <c r="AC12" i="36"/>
  <c r="H20" i="36"/>
  <c r="U20" i="36" s="1"/>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I20" i="43"/>
  <c r="F23" i="39"/>
  <c r="AA23" i="39" s="1"/>
  <c r="H27" i="36"/>
  <c r="AB27" i="36" s="1"/>
  <c r="U27" i="36"/>
  <c r="F27" i="36"/>
  <c r="AA27" i="36" s="1"/>
  <c r="H33" i="34"/>
  <c r="U33" i="34" s="1"/>
  <c r="F32" i="37"/>
  <c r="AA32" i="37" s="1"/>
  <c r="F20" i="36"/>
  <c r="AA20" i="36" s="1"/>
  <c r="J33" i="34"/>
  <c r="AC33" i="34" s="1"/>
  <c r="H23" i="39"/>
  <c r="U23" i="39" s="1"/>
  <c r="D48" i="9"/>
  <c r="M52" i="9" s="1"/>
  <c r="K9" i="1"/>
  <c r="M9" i="1" s="1"/>
  <c r="AE9" i="1"/>
  <c r="D93" i="9"/>
  <c r="W27" i="34"/>
  <c r="AC27" i="34"/>
  <c r="AC12" i="39"/>
  <c r="W12" i="39"/>
  <c r="AA32" i="36"/>
  <c r="S32" i="36"/>
  <c r="AA39" i="34"/>
  <c r="BL14" i="3"/>
  <c r="U30" i="33"/>
  <c r="AC13" i="34"/>
  <c r="AA47" i="34"/>
  <c r="W28" i="37"/>
  <c r="S19" i="39"/>
  <c r="F12" i="33"/>
  <c r="H12" i="39"/>
  <c r="AB12" i="39" s="1"/>
  <c r="F39" i="40"/>
  <c r="BA14" i="3"/>
  <c r="AZ14" i="3" s="1"/>
  <c r="S12" i="1"/>
  <c r="T12" i="1" s="1"/>
  <c r="R12" i="1"/>
  <c r="B12" i="1"/>
  <c r="E12" i="1" s="1"/>
  <c r="S10" i="1"/>
  <c r="AQ10" i="1" s="1"/>
  <c r="R10" i="1"/>
  <c r="B10" i="1"/>
  <c r="E10" i="1" s="1"/>
  <c r="K12" i="1"/>
  <c r="M12" i="1" s="1"/>
  <c r="S13" i="1"/>
  <c r="AR13" i="1" s="1"/>
  <c r="R13" i="1"/>
  <c r="S11" i="1"/>
  <c r="AQ11" i="1" s="1"/>
  <c r="R11" i="1"/>
  <c r="S9" i="1"/>
  <c r="AR9" i="1" s="1"/>
  <c r="R9" i="1"/>
  <c r="J51" i="67"/>
  <c r="C42" i="1"/>
  <c r="H100" i="43"/>
  <c r="B41" i="1"/>
  <c r="F48" i="9" s="1"/>
  <c r="O52" i="9" s="1"/>
  <c r="J100" i="43"/>
  <c r="AB37" i="40"/>
  <c r="S35" i="40"/>
  <c r="AC36" i="40"/>
  <c r="AA32" i="40"/>
  <c r="S17" i="40"/>
  <c r="S23" i="40"/>
  <c r="AC17" i="40"/>
  <c r="AC15" i="40"/>
  <c r="AB27" i="40"/>
  <c r="S30" i="40"/>
  <c r="AA19" i="40"/>
  <c r="S28" i="40"/>
  <c r="U21" i="40"/>
  <c r="AB19" i="40"/>
  <c r="S43" i="39"/>
  <c r="S37"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U13" i="36"/>
  <c r="U26" i="36"/>
  <c r="S33"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AB9" i="35" s="1"/>
  <c r="F26" i="35"/>
  <c r="AA26" i="35" s="1"/>
  <c r="J26" i="35"/>
  <c r="H26" i="35"/>
  <c r="AB40" i="37"/>
  <c r="S25" i="37"/>
  <c r="W27" i="37"/>
  <c r="AC9" i="37"/>
  <c r="AC29" i="37"/>
  <c r="U29" i="37"/>
  <c r="S32" i="37"/>
  <c r="AB31" i="37"/>
  <c r="W30" i="37"/>
  <c r="S36" i="37"/>
  <c r="AA38"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G63" i="37" s="1"/>
  <c r="H63" i="37" s="1"/>
  <c r="I63" i="37" s="1"/>
  <c r="J63" i="37" s="1"/>
  <c r="K63" i="37" s="1"/>
  <c r="L63" i="37" s="1"/>
  <c r="M63" i="37" s="1"/>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AA29" i="33"/>
  <c r="AB29" i="33"/>
  <c r="H41" i="33"/>
  <c r="AB41" i="33" s="1"/>
  <c r="F36" i="33"/>
  <c r="S36" i="33" s="1"/>
  <c r="J35" i="33"/>
  <c r="AC35" i="33" s="1"/>
  <c r="S37" i="33"/>
  <c r="AA37" i="33"/>
  <c r="S39" i="33"/>
  <c r="F101" i="33"/>
  <c r="G101" i="33" s="1"/>
  <c r="H101" i="33" s="1"/>
  <c r="I101" i="33" s="1"/>
  <c r="J101" i="33" s="1"/>
  <c r="K101" i="33" s="1"/>
  <c r="L101" i="33" s="1"/>
  <c r="M101" i="33" s="1"/>
  <c r="J32" i="33"/>
  <c r="AC32" i="33" s="1"/>
  <c r="S46" i="33"/>
  <c r="W43" i="33"/>
  <c r="F87" i="33"/>
  <c r="G87" i="33" s="1"/>
  <c r="H87" i="33" s="1"/>
  <c r="I87" i="33" s="1"/>
  <c r="J87" i="33" s="1"/>
  <c r="K87" i="33" s="1"/>
  <c r="L87" i="33" s="1"/>
  <c r="M87" i="33" s="1"/>
  <c r="H25" i="33"/>
  <c r="U25" i="33" s="1"/>
  <c r="F25" i="33"/>
  <c r="S25" i="33" s="1"/>
  <c r="J23" i="33"/>
  <c r="F85" i="33"/>
  <c r="H23" i="33"/>
  <c r="AB23" i="33" s="1"/>
  <c r="F81" i="33"/>
  <c r="F19" i="33"/>
  <c r="S19" i="33" s="1"/>
  <c r="W19" i="33"/>
  <c r="J17" i="33"/>
  <c r="AC17" i="33" s="1"/>
  <c r="F79" i="33"/>
  <c r="S15" i="33"/>
  <c r="W15" i="33"/>
  <c r="U9" i="33"/>
  <c r="J10" i="33"/>
  <c r="H10" i="33"/>
  <c r="U10" i="33" s="1"/>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BL17" i="3"/>
  <c r="BL13" i="3"/>
  <c r="J56" i="9"/>
  <c r="J57" i="9" s="1"/>
  <c r="J59" i="9" s="1"/>
  <c r="J61" i="9" s="1"/>
  <c r="A24" i="51"/>
  <c r="B18" i="72" s="1"/>
  <c r="U29" i="34"/>
  <c r="E5" i="6"/>
  <c r="D9" i="11" s="1"/>
  <c r="C9" i="11" s="1"/>
  <c r="E32" i="6"/>
  <c r="L19" i="6"/>
  <c r="G1" i="68"/>
  <c r="AQ12" i="1"/>
  <c r="E19" i="69"/>
  <c r="E19" i="68"/>
  <c r="E19" i="11"/>
  <c r="E1" i="73"/>
  <c r="G22" i="69"/>
  <c r="G22" i="68"/>
  <c r="G26" i="12"/>
  <c r="G22" i="11"/>
  <c r="C100" i="43"/>
  <c r="E81" i="43"/>
  <c r="B79" i="43" s="1"/>
  <c r="E48" i="43"/>
  <c r="B46" i="43" s="1"/>
  <c r="E70" i="43"/>
  <c r="B68" i="43" s="1"/>
  <c r="F100" i="43"/>
  <c r="H17" i="43"/>
  <c r="H85" i="43"/>
  <c r="H88" i="43"/>
  <c r="H53" i="43"/>
  <c r="H78" i="43"/>
  <c r="H71" i="43"/>
  <c r="C17" i="43"/>
  <c r="F33" i="43"/>
  <c r="K17" i="43"/>
  <c r="F34" i="43"/>
  <c r="N6" i="43"/>
  <c r="C6" i="43"/>
  <c r="N3" i="43"/>
  <c r="F38" i="43"/>
  <c r="F37" i="43"/>
  <c r="M9" i="43"/>
  <c r="N5" i="43"/>
  <c r="M12" i="43"/>
  <c r="B19" i="53"/>
  <c r="B37" i="72" s="1"/>
  <c r="C7" i="39"/>
  <c r="C67" i="39" s="1"/>
  <c r="C69" i="39" s="1"/>
  <c r="C7" i="35"/>
  <c r="C48" i="35" s="1"/>
  <c r="D48" i="35" s="1"/>
  <c r="C7" i="33"/>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S8" i="1"/>
  <c r="AR8" i="1" s="1"/>
  <c r="K11" i="1"/>
  <c r="M11" i="1" s="1"/>
  <c r="AP6" i="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W25" i="39"/>
  <c r="AC25" i="39"/>
  <c r="U13" i="39"/>
  <c r="AB13" i="39"/>
  <c r="AA13" i="39"/>
  <c r="S13" i="39"/>
  <c r="U43" i="39"/>
  <c r="AB43" i="39"/>
  <c r="U11" i="39"/>
  <c r="AA27" i="39"/>
  <c r="S27" i="39"/>
  <c r="W17" i="39"/>
  <c r="AC17" i="39"/>
  <c r="S23" i="39"/>
  <c r="AA45" i="39"/>
  <c r="AB39" i="39"/>
  <c r="W34" i="39"/>
  <c r="U38" i="39"/>
  <c r="S8" i="39"/>
  <c r="S28" i="36"/>
  <c r="U32" i="36"/>
  <c r="W29" i="36"/>
  <c r="AC20" i="36"/>
  <c r="AB28" i="36"/>
  <c r="AA13" i="36"/>
  <c r="W9" i="36"/>
  <c r="W22" i="36"/>
  <c r="W23" i="36"/>
  <c r="S9" i="36"/>
  <c r="AB20" i="35"/>
  <c r="AC25" i="35"/>
  <c r="U25" i="35"/>
  <c r="S24" i="35"/>
  <c r="W33" i="35"/>
  <c r="AA30" i="35"/>
  <c r="U24" i="35"/>
  <c r="S35" i="35"/>
  <c r="W35" i="35"/>
  <c r="AA16" i="35"/>
  <c r="AA35" i="37"/>
  <c r="W36" i="37"/>
  <c r="S27" i="37"/>
  <c r="W32" i="37"/>
  <c r="U36" i="37"/>
  <c r="S40" i="37"/>
  <c r="U38" i="37"/>
  <c r="AB37" i="37"/>
  <c r="S33" i="37"/>
  <c r="AC34" i="37"/>
  <c r="AB35" i="37"/>
  <c r="AA11" i="37"/>
  <c r="U19" i="37"/>
  <c r="AA29" i="37"/>
  <c r="AA8"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14" i="34"/>
  <c r="AB14" i="34"/>
  <c r="AC43" i="34"/>
  <c r="W43" i="34"/>
  <c r="W23" i="34"/>
  <c r="AC23" i="34"/>
  <c r="AC35" i="34"/>
  <c r="W35" i="34"/>
  <c r="W46" i="33"/>
  <c r="U39" i="33"/>
  <c r="U38" i="33"/>
  <c r="U44" i="33"/>
  <c r="AB44" i="33"/>
  <c r="S30" i="33"/>
  <c r="AA30" i="33"/>
  <c r="AC14" i="33"/>
  <c r="W14" i="33"/>
  <c r="AC30" i="33"/>
  <c r="W30" i="33"/>
  <c r="S31" i="33"/>
  <c r="W13" i="33"/>
  <c r="AC13" i="33"/>
  <c r="U15" i="33"/>
  <c r="S11" i="33"/>
  <c r="W9" i="33"/>
  <c r="S44" i="21"/>
  <c r="AB42" i="21"/>
  <c r="U28" i="21"/>
  <c r="AA11" i="21"/>
  <c r="I101" i="21"/>
  <c r="J101" i="21" s="1"/>
  <c r="K101" i="21" s="1"/>
  <c r="L101" i="21" s="1"/>
  <c r="M101" i="21" s="1"/>
  <c r="F33" i="21"/>
  <c r="S33" i="21" s="1"/>
  <c r="J33" i="21"/>
  <c r="H33" i="21"/>
  <c r="AB33" i="21"/>
  <c r="F37" i="21"/>
  <c r="AA37" i="21"/>
  <c r="AA26" i="21"/>
  <c r="AB14" i="21"/>
  <c r="AB46" i="21"/>
  <c r="U40" i="21"/>
  <c r="U13" i="21"/>
  <c r="AB13" i="21"/>
  <c r="W8" i="21"/>
  <c r="S35" i="21"/>
  <c r="AB37" i="21"/>
  <c r="J37" i="21"/>
  <c r="W37" i="21" s="1"/>
  <c r="H15" i="21"/>
  <c r="U15" i="21" s="1"/>
  <c r="J17" i="21"/>
  <c r="AC17" i="21" s="1"/>
  <c r="AC19" i="21"/>
  <c r="W39" i="21"/>
  <c r="AC14" i="21"/>
  <c r="W30" i="21"/>
  <c r="S46" i="21"/>
  <c r="H45" i="21"/>
  <c r="U45" i="21" s="1"/>
  <c r="F29" i="21"/>
  <c r="S29" i="21"/>
  <c r="F13" i="21"/>
  <c r="AA13" i="21" s="1"/>
  <c r="AC38" i="21"/>
  <c r="H32" i="21"/>
  <c r="AB32" i="21" s="1"/>
  <c r="H9" i="21"/>
  <c r="AB9" i="21" s="1"/>
  <c r="J9" i="21"/>
  <c r="W9" i="21" s="1"/>
  <c r="J32" i="21"/>
  <c r="W32" i="21" s="1"/>
  <c r="F32" i="21"/>
  <c r="AA31" i="21"/>
  <c r="U17" i="21"/>
  <c r="W29" i="21"/>
  <c r="S19" i="21"/>
  <c r="S9" i="21"/>
  <c r="AA9" i="21"/>
  <c r="K141" i="21"/>
  <c r="K144" i="21"/>
  <c r="K143" i="21"/>
  <c r="U27" i="21"/>
  <c r="AB25" i="21"/>
  <c r="AB44" i="21"/>
  <c r="AA30"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E4" i="4"/>
  <c r="B5" i="62" s="1"/>
  <c r="B73" i="72" s="1"/>
  <c r="C4" i="4"/>
  <c r="M18" i="67"/>
  <c r="S7" i="1"/>
  <c r="AR7" i="1" s="1"/>
  <c r="E7" i="70"/>
  <c r="AA39" i="40"/>
  <c r="S39" i="40"/>
  <c r="S12" i="33"/>
  <c r="AA12" i="33"/>
  <c r="J32" i="39"/>
  <c r="W32" i="39" s="1"/>
  <c r="H32" i="39"/>
  <c r="AB32" i="39" s="1"/>
  <c r="S32" i="39"/>
  <c r="AB21" i="39"/>
  <c r="U21" i="39"/>
  <c r="AA21" i="39"/>
  <c r="S21" i="39"/>
  <c r="S26" i="35"/>
  <c r="U9" i="35"/>
  <c r="AA9" i="35"/>
  <c r="S9" i="35"/>
  <c r="AC26" i="35"/>
  <c r="W26" i="35"/>
  <c r="AB26" i="35"/>
  <c r="U26" i="35"/>
  <c r="AC17" i="37"/>
  <c r="J19" i="37"/>
  <c r="W19" i="37" s="1"/>
  <c r="G75" i="37"/>
  <c r="S19" i="37"/>
  <c r="AA19" i="37"/>
  <c r="J23" i="37"/>
  <c r="AC23" i="37" s="1"/>
  <c r="G79" i="37"/>
  <c r="J10" i="37"/>
  <c r="I60" i="37"/>
  <c r="H11" i="37"/>
  <c r="AB11" i="37" s="1"/>
  <c r="AB10" i="37"/>
  <c r="U10" i="37"/>
  <c r="G70" i="34"/>
  <c r="H70" i="34" s="1"/>
  <c r="I70" i="34" s="1"/>
  <c r="H11" i="34"/>
  <c r="AB10" i="34"/>
  <c r="U10" i="34"/>
  <c r="J10" i="34"/>
  <c r="AC10" i="34" s="1"/>
  <c r="I67" i="34"/>
  <c r="J36" i="33"/>
  <c r="W36" i="33" s="1"/>
  <c r="H36" i="33"/>
  <c r="U36" i="33" s="1"/>
  <c r="J25" i="33"/>
  <c r="W25" i="33" s="1"/>
  <c r="U23" i="33"/>
  <c r="F23" i="33"/>
  <c r="AA23" i="33" s="1"/>
  <c r="G85" i="33"/>
  <c r="AC23" i="33"/>
  <c r="W23" i="33"/>
  <c r="AA19" i="33"/>
  <c r="H19" i="33"/>
  <c r="U19" i="33" s="1"/>
  <c r="G81" i="33"/>
  <c r="G79" i="33"/>
  <c r="H17" i="33"/>
  <c r="AB17" i="33" s="1"/>
  <c r="F17" i="33"/>
  <c r="AA17" i="33" s="1"/>
  <c r="W17" i="33"/>
  <c r="AC10" i="33"/>
  <c r="W10" i="33"/>
  <c r="U33" i="21"/>
  <c r="S37" i="21"/>
  <c r="AA23" i="21"/>
  <c r="AB15" i="21"/>
  <c r="J23" i="21"/>
  <c r="AC23" i="21" s="1"/>
  <c r="F85" i="21"/>
  <c r="G85" i="21" s="1"/>
  <c r="H23" i="21"/>
  <c r="U23" i="21" s="1"/>
  <c r="S13" i="21"/>
  <c r="D6" i="52"/>
  <c r="AP7" i="1"/>
  <c r="AB45" i="21"/>
  <c r="AC33" i="21"/>
  <c r="W33" i="21"/>
  <c r="AC32" i="21"/>
  <c r="U9" i="21"/>
  <c r="AA32" i="21"/>
  <c r="S32" i="21"/>
  <c r="U32" i="21"/>
  <c r="AA10" i="21"/>
  <c r="S10" i="21"/>
  <c r="U32" i="39"/>
  <c r="AC32" i="39"/>
  <c r="J11" i="37"/>
  <c r="W10" i="37"/>
  <c r="AC10" i="37"/>
  <c r="U11" i="34"/>
  <c r="AB11" i="34"/>
  <c r="W10" i="34"/>
  <c r="J70" i="34"/>
  <c r="K70" i="34" s="1"/>
  <c r="L70" i="34" s="1"/>
  <c r="M70" i="34" s="1"/>
  <c r="J11" i="34"/>
  <c r="W23" i="21"/>
  <c r="AC11" i="37"/>
  <c r="W11" i="37"/>
  <c r="W11" i="34"/>
  <c r="AC11" i="34"/>
  <c r="R7" i="1"/>
  <c r="F34" i="68"/>
  <c r="R8" i="1"/>
  <c r="AE7" i="1"/>
  <c r="AE8" i="1"/>
  <c r="AG6" i="1"/>
  <c r="H109" i="9"/>
  <c r="H110" i="9" s="1"/>
  <c r="D18" i="53" s="1"/>
  <c r="B35" i="72" s="1"/>
  <c r="H112" i="9"/>
  <c r="D21" i="53" s="1"/>
  <c r="B39" i="72" s="1"/>
  <c r="H111" i="9"/>
  <c r="D19" i="53" s="1"/>
  <c r="D126" i="9"/>
  <c r="I14" i="74" s="1"/>
  <c r="B8" i="74"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9" i="71"/>
  <c r="D19" i="71" s="1"/>
  <c r="D20" i="71"/>
  <c r="D21" i="71"/>
  <c r="U21" i="71" s="1"/>
  <c r="S21" i="71"/>
  <c r="T21" i="71"/>
  <c r="AB19" i="71"/>
  <c r="X17" i="71"/>
  <c r="X16" i="71"/>
  <c r="AA17" i="71"/>
  <c r="AA16" i="71"/>
  <c r="X20" i="71"/>
  <c r="Y16" i="71"/>
  <c r="Z16" i="71" s="1"/>
  <c r="AB17" i="71"/>
  <c r="AB16" i="71"/>
  <c r="S17" i="71"/>
  <c r="Y17" i="71"/>
  <c r="Z17" i="71" s="1"/>
  <c r="X3" i="71"/>
  <c r="G20" i="43"/>
  <c r="D2" i="37"/>
  <c r="F6" i="73"/>
  <c r="F5" i="73"/>
  <c r="D3" i="73"/>
  <c r="D6" i="73"/>
  <c r="E2" i="69"/>
  <c r="AO9" i="1"/>
  <c r="F7" i="73"/>
  <c r="B13" i="76"/>
  <c r="F3" i="73"/>
  <c r="B9" i="76"/>
  <c r="D2" i="33"/>
  <c r="AO12" i="1"/>
  <c r="F4" i="73"/>
  <c r="D34" i="9"/>
  <c r="D2" i="36"/>
  <c r="E13" i="76"/>
  <c r="D2" i="21"/>
  <c r="D35" i="9"/>
  <c r="AO8" i="1"/>
  <c r="B11" i="76"/>
  <c r="B10" i="76"/>
  <c r="D2" i="35"/>
  <c r="AO13" i="1"/>
  <c r="E9" i="76"/>
  <c r="D5" i="73"/>
  <c r="B7" i="76"/>
  <c r="AO11" i="1"/>
  <c r="E7" i="76"/>
  <c r="E8" i="76"/>
  <c r="D4" i="73"/>
  <c r="D7" i="73"/>
  <c r="E11" i="76"/>
  <c r="B12" i="76"/>
  <c r="E10" i="76"/>
  <c r="F20" i="31"/>
  <c r="E12" i="76"/>
  <c r="AO10" i="1"/>
  <c r="AO7" i="1"/>
  <c r="B8" i="76"/>
  <c r="E2" i="68"/>
  <c r="D2" i="34"/>
  <c r="AA36" i="33" l="1"/>
  <c r="U17" i="33"/>
  <c r="S17" i="33"/>
  <c r="U11" i="37"/>
  <c r="AZ115" i="3"/>
  <c r="U17" i="34"/>
  <c r="AB17" i="34"/>
  <c r="AB19" i="33"/>
  <c r="W23" i="37"/>
  <c r="AC37" i="21"/>
  <c r="S17" i="37"/>
  <c r="W17" i="21"/>
  <c r="AA31" i="37"/>
  <c r="H81" i="43"/>
  <c r="AB20" i="36"/>
  <c r="AC34" i="33"/>
  <c r="H50" i="43"/>
  <c r="BQ5" i="3"/>
  <c r="F28" i="6" s="1"/>
  <c r="AZ327" i="3"/>
  <c r="AZ539" i="3"/>
  <c r="AZ579" i="3"/>
  <c r="AZ560" i="3"/>
  <c r="AZ576" i="3"/>
  <c r="U13" i="33"/>
  <c r="W31" i="34"/>
  <c r="S20" i="36"/>
  <c r="AA27" i="40"/>
  <c r="H75" i="43"/>
  <c r="AZ394" i="3"/>
  <c r="AZ380" i="3"/>
  <c r="AC13" i="40"/>
  <c r="W47" i="34"/>
  <c r="AZ581" i="3"/>
  <c r="AZ562" i="3"/>
  <c r="AB30" i="21"/>
  <c r="AB23" i="21"/>
  <c r="S23" i="33"/>
  <c r="AC19" i="37"/>
  <c r="AC9" i="21"/>
  <c r="AA33" i="21"/>
  <c r="AC15" i="21"/>
  <c r="AZ17" i="3"/>
  <c r="AC27" i="36"/>
  <c r="H86" i="43"/>
  <c r="AZ361" i="3"/>
  <c r="AZ338" i="3"/>
  <c r="AZ325" i="3"/>
  <c r="AZ304" i="3"/>
  <c r="W35" i="40"/>
  <c r="AZ553" i="3"/>
  <c r="AZ573" i="3"/>
  <c r="AZ567" i="3"/>
  <c r="AZ516" i="3"/>
  <c r="AZ580" i="3"/>
  <c r="AB23" i="34"/>
  <c r="U23" i="34"/>
  <c r="J28" i="21"/>
  <c r="F28" i="21"/>
  <c r="AZ407" i="3"/>
  <c r="C18" i="71"/>
  <c r="C17" i="71" s="1"/>
  <c r="AA23" i="37"/>
  <c r="AA11" i="34"/>
  <c r="AC11" i="39"/>
  <c r="AZ377" i="3"/>
  <c r="AZ513" i="3"/>
  <c r="AZ533" i="3"/>
  <c r="AZ566" i="3"/>
  <c r="C58" i="33"/>
  <c r="I7" i="33"/>
  <c r="G7" i="33"/>
  <c r="E7" i="33"/>
  <c r="AZ335" i="3"/>
  <c r="AZ390" i="3"/>
  <c r="AZ310" i="3"/>
  <c r="AZ378" i="3"/>
  <c r="AZ523" i="3"/>
  <c r="AZ495" i="3"/>
  <c r="AZ571" i="3"/>
  <c r="U23" i="40"/>
  <c r="AB23" i="40"/>
  <c r="AA39" i="37"/>
  <c r="S39" i="37"/>
  <c r="U44" i="34"/>
  <c r="AZ391" i="3"/>
  <c r="AZ577" i="3"/>
  <c r="AZ517" i="3"/>
  <c r="S27" i="36"/>
  <c r="U37" i="39"/>
  <c r="AZ144" i="3"/>
  <c r="AZ336" i="3"/>
  <c r="AA41" i="34"/>
  <c r="AZ575" i="3"/>
  <c r="U30" i="35"/>
  <c r="U34" i="40"/>
  <c r="BL15" i="3"/>
  <c r="AZ15" i="3" s="1"/>
  <c r="AZ404" i="3"/>
  <c r="AZ427" i="3"/>
  <c r="AZ466" i="3"/>
  <c r="BL586" i="3"/>
  <c r="F9" i="34"/>
  <c r="S9" i="34" s="1"/>
  <c r="J12" i="33"/>
  <c r="G574" i="3"/>
  <c r="BL548" i="3"/>
  <c r="AZ548" i="3" s="1"/>
  <c r="BA398" i="3"/>
  <c r="BA401" i="3"/>
  <c r="BL405" i="3"/>
  <c r="BA423" i="3"/>
  <c r="AZ423" i="3" s="1"/>
  <c r="AZ449" i="3"/>
  <c r="U34" i="34"/>
  <c r="W8" i="36"/>
  <c r="J36" i="39"/>
  <c r="H66" i="33"/>
  <c r="I66" i="33" s="1"/>
  <c r="H12" i="34"/>
  <c r="J39" i="37"/>
  <c r="S9" i="40"/>
  <c r="G558" i="3"/>
  <c r="G542" i="3"/>
  <c r="BL403" i="3"/>
  <c r="AZ403" i="3" s="1"/>
  <c r="G406" i="3"/>
  <c r="BA422" i="3"/>
  <c r="BA425" i="3"/>
  <c r="BA426" i="3"/>
  <c r="G430" i="3"/>
  <c r="AZ520" i="3"/>
  <c r="BL515" i="3"/>
  <c r="AZ515" i="3" s="1"/>
  <c r="BA511" i="3"/>
  <c r="AZ506" i="3"/>
  <c r="G399" i="3"/>
  <c r="G402" i="3"/>
  <c r="BL404" i="3"/>
  <c r="BA416" i="3"/>
  <c r="AZ416" i="3" s="1"/>
  <c r="BA417" i="3"/>
  <c r="BA421" i="3"/>
  <c r="AZ421" i="3" s="1"/>
  <c r="BL428" i="3"/>
  <c r="AZ428" i="3" s="1"/>
  <c r="BL440" i="3"/>
  <c r="BA473" i="3"/>
  <c r="AZ473" i="3" s="1"/>
  <c r="BL484" i="3"/>
  <c r="BA335" i="3"/>
  <c r="AZ126" i="3"/>
  <c r="U9" i="40"/>
  <c r="F12" i="35"/>
  <c r="G578" i="3"/>
  <c r="I4" i="6"/>
  <c r="G3" i="43" s="1"/>
  <c r="M101" i="43" s="1"/>
  <c r="BL424" i="3"/>
  <c r="AZ424" i="3" s="1"/>
  <c r="AZ443" i="3"/>
  <c r="AZ458" i="3"/>
  <c r="BA489" i="3"/>
  <c r="BL550" i="3"/>
  <c r="BA412" i="3"/>
  <c r="AZ412" i="3" s="1"/>
  <c r="BA414" i="3"/>
  <c r="AZ414" i="3" s="1"/>
  <c r="BA415" i="3"/>
  <c r="BL420" i="3"/>
  <c r="AZ420" i="3" s="1"/>
  <c r="G423" i="3"/>
  <c r="BL451" i="3"/>
  <c r="BA469" i="3"/>
  <c r="AZ469" i="3" s="1"/>
  <c r="BL308" i="3"/>
  <c r="AZ308" i="3" s="1"/>
  <c r="BL324" i="3"/>
  <c r="AZ324" i="3" s="1"/>
  <c r="G582" i="3"/>
  <c r="C36" i="11"/>
  <c r="BA409" i="3"/>
  <c r="AZ409" i="3" s="1"/>
  <c r="BA411" i="3"/>
  <c r="AZ411" i="3" s="1"/>
  <c r="BL434" i="3"/>
  <c r="AZ452" i="3"/>
  <c r="AZ568" i="3"/>
  <c r="S8" i="36"/>
  <c r="W39" i="33"/>
  <c r="H24" i="36"/>
  <c r="J25" i="37"/>
  <c r="J40" i="40"/>
  <c r="G568" i="3"/>
  <c r="BA521" i="3"/>
  <c r="AZ521" i="3" s="1"/>
  <c r="BA519" i="3"/>
  <c r="BA510" i="3"/>
  <c r="AZ510" i="3" s="1"/>
  <c r="G508" i="3"/>
  <c r="BL16" i="3"/>
  <c r="AZ16" i="3" s="1"/>
  <c r="BA431" i="3"/>
  <c r="AZ431" i="3" s="1"/>
  <c r="AZ30" i="3"/>
  <c r="BA441" i="3"/>
  <c r="BA445" i="3"/>
  <c r="BL456" i="3"/>
  <c r="AZ456" i="3" s="1"/>
  <c r="BL457" i="3"/>
  <c r="AZ457" i="3" s="1"/>
  <c r="BL459" i="3"/>
  <c r="G462" i="3"/>
  <c r="BL463" i="3"/>
  <c r="AZ463" i="3" s="1"/>
  <c r="BL466" i="3"/>
  <c r="G469" i="3"/>
  <c r="BL470" i="3"/>
  <c r="AZ470" i="3" s="1"/>
  <c r="G473" i="3"/>
  <c r="BL474" i="3"/>
  <c r="BA316" i="3"/>
  <c r="BL348" i="3"/>
  <c r="BL223" i="3"/>
  <c r="BA245" i="3"/>
  <c r="BL275" i="3"/>
  <c r="BL277" i="3"/>
  <c r="BL287" i="3"/>
  <c r="BL122" i="3"/>
  <c r="AZ62" i="3"/>
  <c r="G427" i="3"/>
  <c r="BL442" i="3"/>
  <c r="AZ442" i="3" s="1"/>
  <c r="BL446" i="3"/>
  <c r="BL448" i="3"/>
  <c r="G451" i="3"/>
  <c r="BL452" i="3"/>
  <c r="G455" i="3"/>
  <c r="G458" i="3"/>
  <c r="BL460" i="3"/>
  <c r="BL464" i="3"/>
  <c r="BL467" i="3"/>
  <c r="BL471" i="3"/>
  <c r="BL317" i="3"/>
  <c r="AZ317" i="3" s="1"/>
  <c r="G318" i="3"/>
  <c r="BL328" i="3"/>
  <c r="AZ328" i="3" s="1"/>
  <c r="G329" i="3"/>
  <c r="BA367" i="3"/>
  <c r="AZ367" i="3" s="1"/>
  <c r="G369" i="3"/>
  <c r="BA385" i="3"/>
  <c r="AZ385" i="3" s="1"/>
  <c r="BA220" i="3"/>
  <c r="G222" i="3"/>
  <c r="BL222" i="3"/>
  <c r="BL246" i="3"/>
  <c r="AZ246" i="3" s="1"/>
  <c r="G248" i="3"/>
  <c r="BL248" i="3"/>
  <c r="BL249" i="3"/>
  <c r="BA270" i="3"/>
  <c r="AZ270" i="3" s="1"/>
  <c r="BA271" i="3"/>
  <c r="BA272" i="3"/>
  <c r="AZ272" i="3" s="1"/>
  <c r="G275" i="3"/>
  <c r="BA281" i="3"/>
  <c r="BA292" i="3"/>
  <c r="G297" i="3"/>
  <c r="BA130" i="3"/>
  <c r="BA134" i="3"/>
  <c r="AZ134" i="3" s="1"/>
  <c r="BA137" i="3"/>
  <c r="AZ137" i="3" s="1"/>
  <c r="BL139" i="3"/>
  <c r="AZ139" i="3" s="1"/>
  <c r="BA146" i="3"/>
  <c r="BL158" i="3"/>
  <c r="BL165" i="3"/>
  <c r="BL166" i="3"/>
  <c r="AZ166" i="3" s="1"/>
  <c r="BL167" i="3"/>
  <c r="AZ167" i="3" s="1"/>
  <c r="BL193" i="3"/>
  <c r="BL30" i="3"/>
  <c r="BL31" i="3"/>
  <c r="G34" i="3"/>
  <c r="BL49" i="3"/>
  <c r="AZ49" i="3" s="1"/>
  <c r="BL50" i="3"/>
  <c r="BL52" i="3"/>
  <c r="BA111" i="3"/>
  <c r="AZ111" i="3" s="1"/>
  <c r="BA112" i="3"/>
  <c r="BL425" i="3"/>
  <c r="BA439" i="3"/>
  <c r="G443" i="3"/>
  <c r="BL444" i="3"/>
  <c r="G447" i="3"/>
  <c r="BL449" i="3"/>
  <c r="BL453" i="3"/>
  <c r="AZ453" i="3" s="1"/>
  <c r="BA481" i="3"/>
  <c r="BA482" i="3"/>
  <c r="BA484" i="3"/>
  <c r="AZ484" i="3" s="1"/>
  <c r="BA486" i="3"/>
  <c r="BA333" i="3"/>
  <c r="AZ333" i="3" s="1"/>
  <c r="BA354" i="3"/>
  <c r="BA366" i="3"/>
  <c r="AZ366" i="3" s="1"/>
  <c r="BL375" i="3"/>
  <c r="AZ375" i="3" s="1"/>
  <c r="G387" i="3"/>
  <c r="BA209" i="3"/>
  <c r="BA212" i="3"/>
  <c r="BA213" i="3"/>
  <c r="BA217" i="3"/>
  <c r="BL221" i="3"/>
  <c r="AZ221" i="3" s="1"/>
  <c r="BA242" i="3"/>
  <c r="AZ242" i="3" s="1"/>
  <c r="BA243" i="3"/>
  <c r="BA244" i="3"/>
  <c r="BA268" i="3"/>
  <c r="BA269" i="3"/>
  <c r="AZ269" i="3" s="1"/>
  <c r="BL285" i="3"/>
  <c r="BA291" i="3"/>
  <c r="AZ291" i="3" s="1"/>
  <c r="G295" i="3"/>
  <c r="BA302" i="3"/>
  <c r="BA113" i="3"/>
  <c r="BA114" i="3"/>
  <c r="AZ114" i="3" s="1"/>
  <c r="BL117" i="3"/>
  <c r="AZ117" i="3" s="1"/>
  <c r="BL119" i="3"/>
  <c r="AZ119" i="3" s="1"/>
  <c r="BL131" i="3"/>
  <c r="AZ131" i="3" s="1"/>
  <c r="BA145" i="3"/>
  <c r="BA181" i="3"/>
  <c r="AZ27" i="3"/>
  <c r="G33" i="3"/>
  <c r="BA46" i="3"/>
  <c r="BA47" i="3"/>
  <c r="BL79" i="3"/>
  <c r="BL105" i="3"/>
  <c r="BL417" i="3"/>
  <c r="BL421" i="3"/>
  <c r="BA430" i="3"/>
  <c r="AZ430" i="3" s="1"/>
  <c r="BA433" i="3"/>
  <c r="AZ433" i="3" s="1"/>
  <c r="BA434" i="3"/>
  <c r="AZ434" i="3" s="1"/>
  <c r="BA436" i="3"/>
  <c r="BA438" i="3"/>
  <c r="BL439" i="3"/>
  <c r="BL441" i="3"/>
  <c r="BL445" i="3"/>
  <c r="BA477" i="3"/>
  <c r="BA478" i="3"/>
  <c r="BA479" i="3"/>
  <c r="AZ479" i="3" s="1"/>
  <c r="BA480" i="3"/>
  <c r="AZ480" i="3" s="1"/>
  <c r="G484" i="3"/>
  <c r="BA487" i="3"/>
  <c r="AZ487" i="3" s="1"/>
  <c r="BA488" i="3"/>
  <c r="AZ488" i="3" s="1"/>
  <c r="BA492" i="3"/>
  <c r="BA315" i="3"/>
  <c r="AZ315" i="3" s="1"/>
  <c r="BA323" i="3"/>
  <c r="AZ323" i="3" s="1"/>
  <c r="BA332" i="3"/>
  <c r="AZ332" i="3" s="1"/>
  <c r="BA353" i="3"/>
  <c r="AZ353" i="3" s="1"/>
  <c r="BL365" i="3"/>
  <c r="AZ365" i="3" s="1"/>
  <c r="G366" i="3"/>
  <c r="BL368" i="3"/>
  <c r="AZ368" i="3" s="1"/>
  <c r="BA374" i="3"/>
  <c r="AZ374" i="3" s="1"/>
  <c r="BL383" i="3"/>
  <c r="AZ383" i="3" s="1"/>
  <c r="BA395" i="3"/>
  <c r="BA397" i="3"/>
  <c r="AZ397" i="3" s="1"/>
  <c r="BA208" i="3"/>
  <c r="BL212" i="3"/>
  <c r="BL215" i="3"/>
  <c r="AZ215" i="3" s="1"/>
  <c r="G220" i="3"/>
  <c r="G221" i="3"/>
  <c r="BA230" i="3"/>
  <c r="AZ230" i="3" s="1"/>
  <c r="BA237" i="3"/>
  <c r="AZ237" i="3" s="1"/>
  <c r="BA238" i="3"/>
  <c r="BA239" i="3"/>
  <c r="BA241" i="3"/>
  <c r="BA252" i="3"/>
  <c r="AZ252" i="3" s="1"/>
  <c r="BA263" i="3"/>
  <c r="BL267" i="3"/>
  <c r="BL270" i="3"/>
  <c r="G274" i="3"/>
  <c r="BL274" i="3"/>
  <c r="BL113" i="3"/>
  <c r="BL115" i="3"/>
  <c r="G119" i="3"/>
  <c r="BA129" i="3"/>
  <c r="BA144" i="3"/>
  <c r="BA153" i="3"/>
  <c r="BA156" i="3"/>
  <c r="AZ156" i="3" s="1"/>
  <c r="BA170" i="3"/>
  <c r="BL206" i="3"/>
  <c r="BL29" i="3"/>
  <c r="BA58" i="3"/>
  <c r="BA67" i="3"/>
  <c r="BL69" i="3"/>
  <c r="BA92" i="3"/>
  <c r="BA93" i="3"/>
  <c r="BL95" i="3"/>
  <c r="G104" i="3"/>
  <c r="BL407" i="3"/>
  <c r="G410" i="3"/>
  <c r="BL410" i="3"/>
  <c r="AZ410" i="3" s="1"/>
  <c r="G412" i="3"/>
  <c r="G413" i="3"/>
  <c r="BL413" i="3"/>
  <c r="AZ413" i="3" s="1"/>
  <c r="G415" i="3"/>
  <c r="G416" i="3"/>
  <c r="BA432" i="3"/>
  <c r="AZ432" i="3" s="1"/>
  <c r="BA435" i="3"/>
  <c r="BL436" i="3"/>
  <c r="BL437" i="3"/>
  <c r="AZ437" i="3" s="1"/>
  <c r="G439" i="3"/>
  <c r="G440" i="3"/>
  <c r="G480" i="3"/>
  <c r="BL481" i="3"/>
  <c r="BL482" i="3"/>
  <c r="G483" i="3"/>
  <c r="BL485" i="3"/>
  <c r="AZ485" i="3" s="1"/>
  <c r="G487" i="3"/>
  <c r="BL314" i="3"/>
  <c r="AZ314" i="3" s="1"/>
  <c r="G315" i="3"/>
  <c r="BL316" i="3"/>
  <c r="BL333" i="3"/>
  <c r="G334" i="3"/>
  <c r="G345" i="3"/>
  <c r="BL346" i="3"/>
  <c r="AZ346" i="3" s="1"/>
  <c r="BA352" i="3"/>
  <c r="AZ352" i="3" s="1"/>
  <c r="BL354" i="3"/>
  <c r="G374" i="3"/>
  <c r="G382" i="3"/>
  <c r="G210" i="3"/>
  <c r="G212" i="3"/>
  <c r="G217" i="3"/>
  <c r="BA224" i="3"/>
  <c r="AZ224" i="3" s="1"/>
  <c r="BA236" i="3"/>
  <c r="BL240" i="3"/>
  <c r="AZ240" i="3" s="1"/>
  <c r="BA253" i="3"/>
  <c r="BA254" i="3"/>
  <c r="AZ254" i="3" s="1"/>
  <c r="BA256" i="3"/>
  <c r="AZ256" i="3" s="1"/>
  <c r="BA261" i="3"/>
  <c r="AZ261" i="3" s="1"/>
  <c r="BA262" i="3"/>
  <c r="AZ262" i="3" s="1"/>
  <c r="BL271" i="3"/>
  <c r="G273" i="3"/>
  <c r="BL280" i="3"/>
  <c r="BL282" i="3"/>
  <c r="BA288" i="3"/>
  <c r="AZ288" i="3" s="1"/>
  <c r="G292" i="3"/>
  <c r="BA299" i="3"/>
  <c r="BA300" i="3"/>
  <c r="BL302" i="3"/>
  <c r="G115" i="3"/>
  <c r="BL135" i="3"/>
  <c r="AZ135" i="3" s="1"/>
  <c r="BL154" i="3"/>
  <c r="G155" i="3"/>
  <c r="BL190" i="3"/>
  <c r="BL205" i="3"/>
  <c r="G206" i="3"/>
  <c r="BA43" i="3"/>
  <c r="BA57" i="3"/>
  <c r="BL58" i="3"/>
  <c r="BL59" i="3"/>
  <c r="BL102" i="3"/>
  <c r="BA103" i="3"/>
  <c r="BL110" i="3"/>
  <c r="BL438" i="3"/>
  <c r="BA455" i="3"/>
  <c r="AZ455" i="3" s="1"/>
  <c r="BA465" i="3"/>
  <c r="AZ465" i="3" s="1"/>
  <c r="BA474" i="3"/>
  <c r="AZ474" i="3" s="1"/>
  <c r="BA475" i="3"/>
  <c r="AZ475" i="3" s="1"/>
  <c r="BL477" i="3"/>
  <c r="BL483" i="3"/>
  <c r="BL487" i="3"/>
  <c r="BL489" i="3"/>
  <c r="BL491" i="3"/>
  <c r="AZ491" i="3" s="1"/>
  <c r="BL492" i="3"/>
  <c r="BL363" i="3"/>
  <c r="AZ363" i="3" s="1"/>
  <c r="BA370" i="3"/>
  <c r="AZ370" i="3" s="1"/>
  <c r="BL381" i="3"/>
  <c r="AZ381" i="3" s="1"/>
  <c r="BA392" i="3"/>
  <c r="AZ392" i="3" s="1"/>
  <c r="BL396" i="3"/>
  <c r="AZ396" i="3" s="1"/>
  <c r="BL397" i="3"/>
  <c r="BL209" i="3"/>
  <c r="BA223" i="3"/>
  <c r="AZ223" i="3" s="1"/>
  <c r="BA228" i="3"/>
  <c r="BA232" i="3"/>
  <c r="AZ232" i="3" s="1"/>
  <c r="BA234" i="3"/>
  <c r="BL243" i="3"/>
  <c r="BL252" i="3"/>
  <c r="BA258" i="3"/>
  <c r="BA259" i="3"/>
  <c r="AZ259" i="3" s="1"/>
  <c r="BA276" i="3"/>
  <c r="BL278" i="3"/>
  <c r="BL289" i="3"/>
  <c r="BL291" i="3"/>
  <c r="BL300" i="3"/>
  <c r="BL114" i="3"/>
  <c r="BA121" i="3"/>
  <c r="BA122" i="3"/>
  <c r="AZ122" i="3" s="1"/>
  <c r="BL126" i="3"/>
  <c r="BA128" i="3"/>
  <c r="AZ128" i="3" s="1"/>
  <c r="BA142" i="3"/>
  <c r="AZ142" i="3" s="1"/>
  <c r="BA168" i="3"/>
  <c r="AZ168" i="3" s="1"/>
  <c r="BA186" i="3"/>
  <c r="BA202" i="3"/>
  <c r="BA20" i="3"/>
  <c r="BL25" i="3"/>
  <c r="BL27" i="3"/>
  <c r="BA54" i="3"/>
  <c r="AZ54" i="3" s="1"/>
  <c r="BA65" i="3"/>
  <c r="AZ65" i="3" s="1"/>
  <c r="BL68" i="3"/>
  <c r="BA88" i="3"/>
  <c r="AZ88" i="3" s="1"/>
  <c r="BA89" i="3"/>
  <c r="BA90" i="3"/>
  <c r="B13" i="1"/>
  <c r="E13" i="1" s="1"/>
  <c r="K13" i="1"/>
  <c r="M13" i="1" s="1"/>
  <c r="O13" i="1" s="1"/>
  <c r="BL431" i="3"/>
  <c r="G433" i="3"/>
  <c r="G434" i="3"/>
  <c r="BL435" i="3"/>
  <c r="BA454" i="3"/>
  <c r="BA459" i="3"/>
  <c r="BA460" i="3"/>
  <c r="BA461" i="3"/>
  <c r="BA464" i="3"/>
  <c r="BA467" i="3"/>
  <c r="BA468" i="3"/>
  <c r="BA471" i="3"/>
  <c r="BA472" i="3"/>
  <c r="BL475" i="3"/>
  <c r="G477" i="3"/>
  <c r="BL478" i="3"/>
  <c r="BL479" i="3"/>
  <c r="BL312" i="3"/>
  <c r="AZ312" i="3" s="1"/>
  <c r="G313" i="3"/>
  <c r="BA331" i="3"/>
  <c r="AZ331" i="3" s="1"/>
  <c r="BA339" i="3"/>
  <c r="AZ339" i="3" s="1"/>
  <c r="G343" i="3"/>
  <c r="BA348" i="3"/>
  <c r="AZ348" i="3" s="1"/>
  <c r="BA350" i="3"/>
  <c r="AZ350" i="3" s="1"/>
  <c r="G380" i="3"/>
  <c r="BL395" i="3"/>
  <c r="BL208" i="3"/>
  <c r="BA222" i="3"/>
  <c r="AZ222" i="3" s="1"/>
  <c r="G225" i="3"/>
  <c r="BL225" i="3"/>
  <c r="AZ225" i="3" s="1"/>
  <c r="G231" i="3"/>
  <c r="BL231" i="3"/>
  <c r="AZ231" i="3" s="1"/>
  <c r="BL232" i="3"/>
  <c r="BL233" i="3"/>
  <c r="AZ233" i="3" s="1"/>
  <c r="BL234" i="3"/>
  <c r="BL235" i="3"/>
  <c r="AZ235" i="3" s="1"/>
  <c r="G237" i="3"/>
  <c r="G238" i="3"/>
  <c r="BL238" i="3"/>
  <c r="BA248" i="3"/>
  <c r="AZ248" i="3" s="1"/>
  <c r="G252" i="3"/>
  <c r="BL255" i="3"/>
  <c r="BL257" i="3"/>
  <c r="AZ257" i="3" s="1"/>
  <c r="G279" i="3"/>
  <c r="BA141" i="3"/>
  <c r="BL143" i="3"/>
  <c r="AZ143" i="3" s="1"/>
  <c r="BL151" i="3"/>
  <c r="AZ151" i="3" s="1"/>
  <c r="BL169" i="3"/>
  <c r="BA185" i="3"/>
  <c r="G205" i="3"/>
  <c r="BA33" i="3"/>
  <c r="BL35" i="3"/>
  <c r="G36" i="3"/>
  <c r="BL54" i="3"/>
  <c r="BL55" i="3"/>
  <c r="BA72" i="3"/>
  <c r="AZ72" i="3" s="1"/>
  <c r="BL74" i="3"/>
  <c r="BA97" i="3"/>
  <c r="AZ97" i="3" s="1"/>
  <c r="BL100" i="3"/>
  <c r="C52" i="71"/>
  <c r="D51" i="71"/>
  <c r="BL149" i="3"/>
  <c r="BA180" i="3"/>
  <c r="AZ180" i="3" s="1"/>
  <c r="BL183" i="3"/>
  <c r="AZ183" i="3" s="1"/>
  <c r="BA197" i="3"/>
  <c r="AZ197" i="3" s="1"/>
  <c r="BA198" i="3"/>
  <c r="BA19" i="3"/>
  <c r="G27" i="3"/>
  <c r="BA38" i="3"/>
  <c r="BA41" i="3"/>
  <c r="AZ41" i="3" s="1"/>
  <c r="BA42" i="3"/>
  <c r="BL46" i="3"/>
  <c r="BL48" i="3"/>
  <c r="AZ48" i="3" s="1"/>
  <c r="G52" i="3"/>
  <c r="BA78" i="3"/>
  <c r="AZ78" i="3" s="1"/>
  <c r="BL81" i="3"/>
  <c r="BL82" i="3"/>
  <c r="AZ82" i="3" s="1"/>
  <c r="BL83" i="3"/>
  <c r="AZ83" i="3" s="1"/>
  <c r="BL84" i="3"/>
  <c r="AZ84" i="3" s="1"/>
  <c r="BL85" i="3"/>
  <c r="AZ85" i="3" s="1"/>
  <c r="BL86" i="3"/>
  <c r="AZ86" i="3" s="1"/>
  <c r="BL89" i="3"/>
  <c r="BA109" i="3"/>
  <c r="AZ109" i="3" s="1"/>
  <c r="E59" i="43"/>
  <c r="B57" i="43" s="1"/>
  <c r="E100" i="43"/>
  <c r="W21" i="33"/>
  <c r="AB21" i="37"/>
  <c r="S21" i="34"/>
  <c r="C37" i="71"/>
  <c r="T37" i="71" s="1"/>
  <c r="AB25" i="71"/>
  <c r="AG10" i="43"/>
  <c r="K56" i="9"/>
  <c r="Y21" i="71"/>
  <c r="Z21" i="71" s="1"/>
  <c r="Y18" i="71"/>
  <c r="Z18" i="71" s="1"/>
  <c r="BL244" i="3"/>
  <c r="G245" i="3"/>
  <c r="BL245" i="3"/>
  <c r="BA273" i="3"/>
  <c r="G289" i="3"/>
  <c r="G120" i="3"/>
  <c r="BL142" i="3"/>
  <c r="BL145" i="3"/>
  <c r="BL174" i="3"/>
  <c r="AZ174" i="3" s="1"/>
  <c r="BA177" i="3"/>
  <c r="AZ177" i="3" s="1"/>
  <c r="BL179" i="3"/>
  <c r="AZ179" i="3" s="1"/>
  <c r="G182" i="3"/>
  <c r="G183" i="3"/>
  <c r="BA196" i="3"/>
  <c r="AZ196" i="3" s="1"/>
  <c r="BL197" i="3"/>
  <c r="BL199" i="3"/>
  <c r="AZ199" i="3" s="1"/>
  <c r="BA18" i="3"/>
  <c r="AZ18" i="3" s="1"/>
  <c r="G21" i="3"/>
  <c r="BL21" i="3"/>
  <c r="G23" i="3"/>
  <c r="G40" i="3"/>
  <c r="BL40" i="3"/>
  <c r="AZ40" i="3" s="1"/>
  <c r="BL41" i="3"/>
  <c r="G46" i="3"/>
  <c r="G48" i="3"/>
  <c r="BA64" i="3"/>
  <c r="AZ64" i="3" s="1"/>
  <c r="BA69" i="3"/>
  <c r="AZ69" i="3" s="1"/>
  <c r="BA74" i="3"/>
  <c r="AZ74" i="3" s="1"/>
  <c r="BA75" i="3"/>
  <c r="BA76" i="3"/>
  <c r="G81" i="3"/>
  <c r="G82" i="3"/>
  <c r="G84" i="3"/>
  <c r="G86" i="3"/>
  <c r="BL87" i="3"/>
  <c r="BA101" i="3"/>
  <c r="BA104" i="3"/>
  <c r="AZ104" i="3" s="1"/>
  <c r="G112" i="3"/>
  <c r="L100" i="43"/>
  <c r="W18" i="35"/>
  <c r="S18" i="36"/>
  <c r="P64" i="71"/>
  <c r="C40" i="71"/>
  <c r="AA31" i="71"/>
  <c r="B76" i="71"/>
  <c r="B75" i="71" s="1"/>
  <c r="T77" i="71"/>
  <c r="AE10" i="43"/>
  <c r="AI12" i="43"/>
  <c r="BA152" i="3"/>
  <c r="AZ152" i="3" s="1"/>
  <c r="BL161" i="3"/>
  <c r="BL173" i="3"/>
  <c r="AZ173" i="3" s="1"/>
  <c r="BA190" i="3"/>
  <c r="AZ190" i="3" s="1"/>
  <c r="BL195" i="3"/>
  <c r="AZ195" i="3" s="1"/>
  <c r="BA204" i="3"/>
  <c r="AZ204" i="3" s="1"/>
  <c r="BA207" i="3"/>
  <c r="BL20" i="3"/>
  <c r="BA29" i="3"/>
  <c r="AZ29" i="3" s="1"/>
  <c r="BA36" i="3"/>
  <c r="BA37" i="3"/>
  <c r="BL39" i="3"/>
  <c r="AZ39" i="3" s="1"/>
  <c r="BA61" i="3"/>
  <c r="AZ61" i="3" s="1"/>
  <c r="BA68" i="3"/>
  <c r="BA73" i="3"/>
  <c r="BL77" i="3"/>
  <c r="AZ77" i="3" s="1"/>
  <c r="BL80" i="3"/>
  <c r="AZ80" i="3" s="1"/>
  <c r="BA107" i="3"/>
  <c r="BL111" i="3"/>
  <c r="J51" i="15"/>
  <c r="W29" i="39"/>
  <c r="AB24" i="71"/>
  <c r="E40" i="71"/>
  <c r="E41" i="71" s="1"/>
  <c r="U41" i="71" s="1"/>
  <c r="BA150" i="3"/>
  <c r="G158" i="3"/>
  <c r="G159" i="3"/>
  <c r="G172" i="3"/>
  <c r="BA189" i="3"/>
  <c r="G194" i="3"/>
  <c r="G195" i="3"/>
  <c r="BL207" i="3"/>
  <c r="G19" i="3"/>
  <c r="BL19" i="3"/>
  <c r="BA28" i="3"/>
  <c r="AZ28" i="3" s="1"/>
  <c r="BA31" i="3"/>
  <c r="AZ31" i="3" s="1"/>
  <c r="BA32" i="3"/>
  <c r="BL36" i="3"/>
  <c r="BL38" i="3"/>
  <c r="BA53" i="3"/>
  <c r="BA56" i="3"/>
  <c r="BA60" i="3"/>
  <c r="BA63" i="3"/>
  <c r="BA66" i="3"/>
  <c r="AZ66" i="3" s="1"/>
  <c r="BA71" i="3"/>
  <c r="AZ71" i="3" s="1"/>
  <c r="G76" i="3"/>
  <c r="G77" i="3"/>
  <c r="BL78" i="3"/>
  <c r="BA91" i="3"/>
  <c r="AZ91" i="3" s="1"/>
  <c r="BA98" i="3"/>
  <c r="AZ98" i="3" s="1"/>
  <c r="BA99" i="3"/>
  <c r="G102" i="3"/>
  <c r="G103" i="3"/>
  <c r="BL103" i="3"/>
  <c r="G105" i="3"/>
  <c r="G106" i="3"/>
  <c r="BL106" i="3"/>
  <c r="BL107" i="3"/>
  <c r="G109" i="3"/>
  <c r="BL109" i="3"/>
  <c r="U29" i="39"/>
  <c r="C67" i="71"/>
  <c r="D67" i="71" s="1"/>
  <c r="B44" i="71"/>
  <c r="B45" i="71" s="1"/>
  <c r="S45" i="71" s="1"/>
  <c r="B52" i="71"/>
  <c r="B53" i="71" s="1"/>
  <c r="S53" i="71" s="1"/>
  <c r="F76" i="71"/>
  <c r="F75" i="71" s="1"/>
  <c r="BA52" i="3"/>
  <c r="BA55" i="3"/>
  <c r="BA59" i="3"/>
  <c r="G62" i="3"/>
  <c r="BL62" i="3"/>
  <c r="G65" i="3"/>
  <c r="BL65" i="3"/>
  <c r="BL66" i="3"/>
  <c r="BL67" i="3"/>
  <c r="G69" i="3"/>
  <c r="G70" i="3"/>
  <c r="BL70" i="3"/>
  <c r="AZ70" i="3" s="1"/>
  <c r="BL71" i="3"/>
  <c r="BL72" i="3"/>
  <c r="G74" i="3"/>
  <c r="G75" i="3"/>
  <c r="BL75" i="3"/>
  <c r="BA95" i="3"/>
  <c r="AZ95" i="3" s="1"/>
  <c r="BA96" i="3"/>
  <c r="BL99" i="3"/>
  <c r="G101" i="3"/>
  <c r="BL101" i="3"/>
  <c r="BL104" i="3"/>
  <c r="F3" i="35"/>
  <c r="Y11" i="71"/>
  <c r="Z11" i="71" s="1"/>
  <c r="BL260" i="3"/>
  <c r="AZ260" i="3" s="1"/>
  <c r="G264" i="3"/>
  <c r="BL264" i="3"/>
  <c r="BA278" i="3"/>
  <c r="BA289" i="3"/>
  <c r="AZ289" i="3" s="1"/>
  <c r="BL292" i="3"/>
  <c r="BL294" i="3"/>
  <c r="BL296" i="3"/>
  <c r="AZ296" i="3" s="1"/>
  <c r="BL297" i="3"/>
  <c r="AZ297" i="3" s="1"/>
  <c r="BA120" i="3"/>
  <c r="AZ120" i="3" s="1"/>
  <c r="G124" i="3"/>
  <c r="G128" i="3"/>
  <c r="BL129" i="3"/>
  <c r="BL163" i="3"/>
  <c r="AZ163" i="3" s="1"/>
  <c r="G167" i="3"/>
  <c r="BL186" i="3"/>
  <c r="BL189" i="3"/>
  <c r="BL203" i="3"/>
  <c r="AZ203" i="3" s="1"/>
  <c r="BA21" i="3"/>
  <c r="AZ21" i="3" s="1"/>
  <c r="BA25" i="3"/>
  <c r="BA26" i="3"/>
  <c r="G28" i="3"/>
  <c r="BL28" i="3"/>
  <c r="BA50" i="3"/>
  <c r="AZ50" i="3" s="1"/>
  <c r="BA51" i="3"/>
  <c r="G53" i="3"/>
  <c r="BL53" i="3"/>
  <c r="BL56" i="3"/>
  <c r="G58" i="3"/>
  <c r="BL60" i="3"/>
  <c r="BA87" i="3"/>
  <c r="G92" i="3"/>
  <c r="BL92" i="3"/>
  <c r="BL94" i="3"/>
  <c r="AZ94" i="3" s="1"/>
  <c r="G96" i="3"/>
  <c r="G97" i="3"/>
  <c r="BL98" i="3"/>
  <c r="D108" i="43"/>
  <c r="AC21" i="21"/>
  <c r="C21" i="69"/>
  <c r="U21" i="34"/>
  <c r="AA18" i="35"/>
  <c r="P27" i="6"/>
  <c r="Y24" i="71"/>
  <c r="Z24" i="71" s="1"/>
  <c r="F60" i="71"/>
  <c r="F61" i="71" s="1"/>
  <c r="V61" i="71" s="1"/>
  <c r="X32" i="71"/>
  <c r="C5" i="11"/>
  <c r="U42" i="39"/>
  <c r="S42" i="39"/>
  <c r="U41" i="39"/>
  <c r="AC41" i="39"/>
  <c r="AA41" i="39"/>
  <c r="W40" i="39"/>
  <c r="S38" i="39"/>
  <c r="AA11" i="39"/>
  <c r="W9" i="39"/>
  <c r="U9" i="39"/>
  <c r="K101" i="43"/>
  <c r="F22" i="43"/>
  <c r="E22" i="43"/>
  <c r="H22" i="43"/>
  <c r="S2" i="43"/>
  <c r="AF11" i="43"/>
  <c r="Z7" i="43"/>
  <c r="AE11" i="43"/>
  <c r="AE13" i="43" s="1"/>
  <c r="S3" i="43"/>
  <c r="B113" i="43"/>
  <c r="B116" i="43" s="1"/>
  <c r="C116" i="43" s="1"/>
  <c r="C101" i="43"/>
  <c r="C104" i="43" s="1"/>
  <c r="I101" i="43"/>
  <c r="I105" i="43" s="1"/>
  <c r="AD11" i="43"/>
  <c r="S5" i="43"/>
  <c r="AC11" i="43"/>
  <c r="AC13" i="43" s="1"/>
  <c r="S6" i="43"/>
  <c r="S7" i="43"/>
  <c r="F101" i="43"/>
  <c r="H101" i="43"/>
  <c r="H102" i="43" s="1"/>
  <c r="E101" i="43"/>
  <c r="E109" i="43" s="1"/>
  <c r="AJ11" i="43"/>
  <c r="AB11" i="43"/>
  <c r="AI11" i="43"/>
  <c r="AI13" i="43" s="1"/>
  <c r="AA11" i="43"/>
  <c r="AA13" i="43" s="1"/>
  <c r="C23" i="43"/>
  <c r="C21" i="43" s="1"/>
  <c r="N101" i="43"/>
  <c r="N107" i="43" s="1"/>
  <c r="N104" i="46"/>
  <c r="D101" i="43"/>
  <c r="D102" i="43" s="1"/>
  <c r="G22" i="43"/>
  <c r="AH11" i="43"/>
  <c r="Z11" i="43"/>
  <c r="AG11" i="43"/>
  <c r="AG13" i="43" s="1"/>
  <c r="S4" i="43"/>
  <c r="E51" i="40"/>
  <c r="E56" i="39"/>
  <c r="F11" i="12"/>
  <c r="C23" i="12" s="1"/>
  <c r="D22" i="15"/>
  <c r="D23" i="15"/>
  <c r="H27" i="33"/>
  <c r="U27" i="33" s="1"/>
  <c r="J27" i="33"/>
  <c r="F27" i="33"/>
  <c r="AA27" i="33" s="1"/>
  <c r="F91" i="33"/>
  <c r="G91" i="33" s="1"/>
  <c r="H91" i="33" s="1"/>
  <c r="I91" i="33" s="1"/>
  <c r="J91" i="33" s="1"/>
  <c r="K91" i="33" s="1"/>
  <c r="L91" i="33" s="1"/>
  <c r="M91" i="33" s="1"/>
  <c r="C36" i="69"/>
  <c r="S33" i="33"/>
  <c r="U33" i="33"/>
  <c r="W33" i="33"/>
  <c r="G123" i="33"/>
  <c r="H123" i="33" s="1"/>
  <c r="I123" i="33" s="1"/>
  <c r="J123" i="33" s="1"/>
  <c r="K123" i="33" s="1"/>
  <c r="L123" i="33" s="1"/>
  <c r="M123" i="33" s="1"/>
  <c r="H42" i="33"/>
  <c r="AB42" i="33" s="1"/>
  <c r="F42" i="33"/>
  <c r="AA42" i="33" s="1"/>
  <c r="J42" i="33"/>
  <c r="AC42" i="33" s="1"/>
  <c r="W31" i="33"/>
  <c r="AC31" i="33"/>
  <c r="H31" i="33"/>
  <c r="S38" i="33"/>
  <c r="W38" i="33"/>
  <c r="U46" i="33"/>
  <c r="AB28" i="33"/>
  <c r="S43" i="33"/>
  <c r="U43" i="33"/>
  <c r="AB36" i="33"/>
  <c r="U41" i="33"/>
  <c r="AC37" i="33"/>
  <c r="U37" i="33"/>
  <c r="AC36" i="33"/>
  <c r="AB34" i="33"/>
  <c r="AA34" i="33"/>
  <c r="S32" i="33"/>
  <c r="U32" i="33"/>
  <c r="W40" i="33"/>
  <c r="U40" i="33"/>
  <c r="AA40" i="33"/>
  <c r="W35" i="33"/>
  <c r="AA35" i="33"/>
  <c r="U35" i="33"/>
  <c r="W32" i="33"/>
  <c r="S28" i="33"/>
  <c r="AC28" i="33"/>
  <c r="W26" i="33"/>
  <c r="U26" i="33"/>
  <c r="AB25" i="33"/>
  <c r="AC25" i="33"/>
  <c r="AA25" i="33"/>
  <c r="S10" i="33"/>
  <c r="AA10" i="33"/>
  <c r="U11" i="33"/>
  <c r="AB10" i="33"/>
  <c r="AB8" i="33"/>
  <c r="S8" i="33"/>
  <c r="W8" i="33"/>
  <c r="C92" i="9"/>
  <c r="M18" i="15"/>
  <c r="F30" i="11"/>
  <c r="C48" i="11" s="1"/>
  <c r="F32" i="67"/>
  <c r="F60" i="67" s="1"/>
  <c r="F52" i="9"/>
  <c r="F54" i="9"/>
  <c r="F32" i="15"/>
  <c r="F60" i="15" s="1"/>
  <c r="F28" i="67"/>
  <c r="C28" i="67" s="1"/>
  <c r="C30" i="11"/>
  <c r="F53" i="9"/>
  <c r="D68" i="9"/>
  <c r="F28" i="15"/>
  <c r="C28" i="15" s="1"/>
  <c r="F30" i="69"/>
  <c r="F31" i="12"/>
  <c r="F30" i="68"/>
  <c r="C40" i="69"/>
  <c r="D22" i="67"/>
  <c r="C107" i="43"/>
  <c r="T13" i="1"/>
  <c r="L27" i="6"/>
  <c r="I116" i="43"/>
  <c r="J116" i="43" s="1"/>
  <c r="K116" i="43" s="1"/>
  <c r="L116" i="43" s="1"/>
  <c r="M116" i="43" s="1"/>
  <c r="G118" i="43"/>
  <c r="H118" i="43" s="1"/>
  <c r="B117" i="43"/>
  <c r="C117" i="43" s="1"/>
  <c r="D118" i="43"/>
  <c r="E118" i="43" s="1"/>
  <c r="F118" i="43" s="1"/>
  <c r="G1" i="67"/>
  <c r="B6" i="1"/>
  <c r="E6" i="1" s="1"/>
  <c r="AR12" i="1"/>
  <c r="K1" i="12"/>
  <c r="K6" i="1"/>
  <c r="Q16" i="1" s="1"/>
  <c r="AQ8" i="1"/>
  <c r="T8" i="1"/>
  <c r="T9" i="1"/>
  <c r="AQ13" i="1"/>
  <c r="G1" i="15"/>
  <c r="K103" i="43"/>
  <c r="K104" i="43"/>
  <c r="K105" i="43"/>
  <c r="K107" i="43"/>
  <c r="K102" i="43"/>
  <c r="K106" i="43"/>
  <c r="D19" i="12"/>
  <c r="C19" i="12" s="1"/>
  <c r="D9" i="69"/>
  <c r="C9" i="69" s="1"/>
  <c r="G101" i="43"/>
  <c r="H105" i="43"/>
  <c r="E104" i="43"/>
  <c r="AQ9" i="1"/>
  <c r="B118" i="43"/>
  <c r="C118" i="43" s="1"/>
  <c r="D116" i="43"/>
  <c r="E116" i="43" s="1"/>
  <c r="F116" i="43" s="1"/>
  <c r="G116" i="43" s="1"/>
  <c r="H116" i="43" s="1"/>
  <c r="D22" i="43"/>
  <c r="AZ13" i="3"/>
  <c r="E11" i="6"/>
  <c r="E60" i="39" s="1"/>
  <c r="T7" i="1"/>
  <c r="T10" i="1"/>
  <c r="I104" i="43"/>
  <c r="C109" i="43"/>
  <c r="C105" i="43"/>
  <c r="N106" i="43"/>
  <c r="AR10" i="1"/>
  <c r="N103" i="43"/>
  <c r="I107" i="43"/>
  <c r="C102" i="43"/>
  <c r="E28" i="6"/>
  <c r="K14" i="1" s="1"/>
  <c r="M14" i="1" s="1"/>
  <c r="E15" i="6"/>
  <c r="E60" i="40" s="1"/>
  <c r="G29" i="6"/>
  <c r="G30" i="6" s="1"/>
  <c r="G31" i="6" s="1"/>
  <c r="M7" i="1"/>
  <c r="AQ7" i="1"/>
  <c r="D107" i="43"/>
  <c r="D103" i="43"/>
  <c r="H106" i="43"/>
  <c r="D9" i="68"/>
  <c r="C9" i="68" s="1"/>
  <c r="AR11" i="1"/>
  <c r="T11" i="1"/>
  <c r="F29" i="6"/>
  <c r="E29" i="6" s="1"/>
  <c r="A15" i="62"/>
  <c r="B61" i="72" s="1"/>
  <c r="J50" i="40"/>
  <c r="G9" i="1"/>
  <c r="G12" i="1"/>
  <c r="G8" i="1"/>
  <c r="C20" i="43"/>
  <c r="D124" i="9"/>
  <c r="D67" i="39"/>
  <c r="D69" i="39" s="1"/>
  <c r="B38" i="72"/>
  <c r="D20" i="53"/>
  <c r="B40" i="72" s="1"/>
  <c r="C16" i="71"/>
  <c r="T17" i="71"/>
  <c r="D17" i="71"/>
  <c r="D127" i="9"/>
  <c r="D13" i="52" s="1"/>
  <c r="E41" i="43"/>
  <c r="C41" i="43" s="1"/>
  <c r="D18" i="71"/>
  <c r="D12" i="52"/>
  <c r="D16" i="53"/>
  <c r="O11" i="1"/>
  <c r="P11" i="1" s="1"/>
  <c r="O12" i="1"/>
  <c r="P12" i="1" s="1"/>
  <c r="AZ503" i="3"/>
  <c r="AZ519" i="3"/>
  <c r="AZ511" i="3"/>
  <c r="AZ557" i="3"/>
  <c r="AZ559" i="3"/>
  <c r="U12" i="39"/>
  <c r="U35" i="40"/>
  <c r="N102" i="43"/>
  <c r="E13" i="6"/>
  <c r="E12" i="6"/>
  <c r="O9" i="1"/>
  <c r="P9" i="1" s="1"/>
  <c r="H82" i="43"/>
  <c r="H83" i="43"/>
  <c r="K5" i="4"/>
  <c r="B47" i="48" s="1"/>
  <c r="AA25" i="21"/>
  <c r="AC32" i="36"/>
  <c r="AA14" i="37"/>
  <c r="S44" i="33"/>
  <c r="S14" i="33"/>
  <c r="AA14" i="33"/>
  <c r="W8" i="34"/>
  <c r="H31" i="21"/>
  <c r="J31" i="21"/>
  <c r="S12" i="34"/>
  <c r="AA12" i="34"/>
  <c r="F14" i="39"/>
  <c r="H14" i="39"/>
  <c r="H84" i="43"/>
  <c r="E14" i="6"/>
  <c r="E10" i="6"/>
  <c r="U35" i="35"/>
  <c r="AA13" i="35"/>
  <c r="BA586" i="3"/>
  <c r="AZ586" i="3" s="1"/>
  <c r="J45" i="21"/>
  <c r="F45" i="21"/>
  <c r="AC28" i="36"/>
  <c r="W28" i="36"/>
  <c r="J25" i="36"/>
  <c r="H25" i="36"/>
  <c r="AB14" i="37"/>
  <c r="U14" i="37"/>
  <c r="C31" i="12"/>
  <c r="W11" i="35"/>
  <c r="AC11" i="35"/>
  <c r="AA45" i="33"/>
  <c r="S45" i="33"/>
  <c r="AA30" i="36"/>
  <c r="S30" i="36"/>
  <c r="F35" i="39"/>
  <c r="H35" i="39"/>
  <c r="J35" i="39"/>
  <c r="H32" i="34"/>
  <c r="J14" i="34"/>
  <c r="J29" i="33"/>
  <c r="F31" i="39"/>
  <c r="BL585" i="3"/>
  <c r="AZ585" i="3" s="1"/>
  <c r="AA40" i="21"/>
  <c r="S40" i="21"/>
  <c r="B74" i="43"/>
  <c r="C27" i="39"/>
  <c r="F28" i="34"/>
  <c r="J28" i="34"/>
  <c r="J12" i="35"/>
  <c r="F23" i="36"/>
  <c r="AA10" i="37"/>
  <c r="S10" i="37"/>
  <c r="J26" i="37"/>
  <c r="F26" i="37"/>
  <c r="AC31" i="40"/>
  <c r="W31" i="40"/>
  <c r="U40" i="40"/>
  <c r="AB40" i="40"/>
  <c r="O8" i="1"/>
  <c r="P8" i="1" s="1"/>
  <c r="U11" i="36"/>
  <c r="AB11" i="36"/>
  <c r="J31" i="39"/>
  <c r="B71" i="43"/>
  <c r="C21" i="39"/>
  <c r="AC34" i="35"/>
  <c r="W34" i="35"/>
  <c r="AB9" i="36"/>
  <c r="U9" i="36"/>
  <c r="W32" i="40"/>
  <c r="AC32" i="40"/>
  <c r="G566" i="3"/>
  <c r="BA550" i="3"/>
  <c r="AZ550" i="3" s="1"/>
  <c r="W8" i="35"/>
  <c r="AC8" i="35"/>
  <c r="U12" i="35"/>
  <c r="AB12" i="35"/>
  <c r="F28" i="37"/>
  <c r="H28" i="37"/>
  <c r="J39" i="40"/>
  <c r="H39" i="40"/>
  <c r="W31" i="35"/>
  <c r="AC31" i="35"/>
  <c r="AA26" i="33"/>
  <c r="W28" i="35"/>
  <c r="B77" i="43"/>
  <c r="AA9" i="34"/>
  <c r="J9" i="34"/>
  <c r="W12" i="34"/>
  <c r="AB8" i="35"/>
  <c r="H34" i="35"/>
  <c r="J36" i="35"/>
  <c r="H34" i="36"/>
  <c r="H33" i="36"/>
  <c r="AC31" i="37"/>
  <c r="J38" i="40"/>
  <c r="F38" i="40"/>
  <c r="BL401" i="3"/>
  <c r="AZ401" i="3" s="1"/>
  <c r="AZ406" i="3"/>
  <c r="BL408" i="3"/>
  <c r="AZ408" i="3" s="1"/>
  <c r="BL415" i="3"/>
  <c r="AZ415" i="3" s="1"/>
  <c r="BL418" i="3"/>
  <c r="AZ425" i="3"/>
  <c r="BL429" i="3"/>
  <c r="AZ429" i="3" s="1"/>
  <c r="BA440" i="3"/>
  <c r="AZ440" i="3" s="1"/>
  <c r="AZ444" i="3"/>
  <c r="BA446" i="3"/>
  <c r="AZ446" i="3" s="1"/>
  <c r="BL450" i="3"/>
  <c r="AZ459" i="3"/>
  <c r="AZ460" i="3"/>
  <c r="AZ464" i="3"/>
  <c r="AZ467" i="3"/>
  <c r="AZ471" i="3"/>
  <c r="AZ489" i="3"/>
  <c r="P13" i="1"/>
  <c r="BA399" i="3"/>
  <c r="AZ399" i="3" s="1"/>
  <c r="AZ402" i="3"/>
  <c r="BA418" i="3"/>
  <c r="AZ419" i="3"/>
  <c r="BL422" i="3"/>
  <c r="AZ422" i="3" s="1"/>
  <c r="BL426" i="3"/>
  <c r="AZ426" i="3" s="1"/>
  <c r="AZ439" i="3"/>
  <c r="AZ445" i="3"/>
  <c r="BA447" i="3"/>
  <c r="AZ447" i="3" s="1"/>
  <c r="AZ448" i="3"/>
  <c r="BA450" i="3"/>
  <c r="AZ451" i="3"/>
  <c r="BL454" i="3"/>
  <c r="AZ454" i="3" s="1"/>
  <c r="BL461" i="3"/>
  <c r="AZ461" i="3" s="1"/>
  <c r="BL468" i="3"/>
  <c r="AZ468" i="3" s="1"/>
  <c r="BL472" i="3"/>
  <c r="AZ472" i="3" s="1"/>
  <c r="BA483" i="3"/>
  <c r="AZ483" i="3" s="1"/>
  <c r="BL486" i="3"/>
  <c r="AZ486" i="3" s="1"/>
  <c r="G488" i="3"/>
  <c r="BA490" i="3"/>
  <c r="AZ490" i="3" s="1"/>
  <c r="AZ492" i="3"/>
  <c r="AZ395" i="3"/>
  <c r="AZ208" i="3"/>
  <c r="J44" i="39"/>
  <c r="F9" i="33"/>
  <c r="F34" i="35"/>
  <c r="F44" i="39"/>
  <c r="AZ398" i="3"/>
  <c r="AZ405" i="3"/>
  <c r="AZ436" i="3"/>
  <c r="BA476" i="3"/>
  <c r="AZ476" i="3" s="1"/>
  <c r="AZ477" i="3"/>
  <c r="AZ481" i="3"/>
  <c r="AZ482" i="3"/>
  <c r="BA307" i="3"/>
  <c r="AZ307" i="3" s="1"/>
  <c r="AB12" i="43"/>
  <c r="AB13" i="43" s="1"/>
  <c r="AB10" i="43"/>
  <c r="AJ12" i="43"/>
  <c r="AJ13" i="43" s="1"/>
  <c r="AJ10" i="43"/>
  <c r="BL220" i="3"/>
  <c r="AZ220" i="3" s="1"/>
  <c r="BL228" i="3"/>
  <c r="AZ228" i="3" s="1"/>
  <c r="AZ236" i="3"/>
  <c r="BL239" i="3"/>
  <c r="AZ239" i="3" s="1"/>
  <c r="BL241" i="3"/>
  <c r="AZ241" i="3" s="1"/>
  <c r="BA250" i="3"/>
  <c r="AZ250" i="3" s="1"/>
  <c r="AZ255" i="3"/>
  <c r="BL266" i="3"/>
  <c r="AZ267" i="3"/>
  <c r="BA280" i="3"/>
  <c r="AZ280" i="3" s="1"/>
  <c r="BL293" i="3"/>
  <c r="AZ294" i="3"/>
  <c r="BL298" i="3"/>
  <c r="AZ300" i="3"/>
  <c r="AZ129" i="3"/>
  <c r="AZ145" i="3"/>
  <c r="BA386" i="3"/>
  <c r="AZ386" i="3" s="1"/>
  <c r="BA211" i="3"/>
  <c r="AZ211" i="3" s="1"/>
  <c r="BL213" i="3"/>
  <c r="AZ213" i="3" s="1"/>
  <c r="BL217" i="3"/>
  <c r="AZ217" i="3" s="1"/>
  <c r="BA219" i="3"/>
  <c r="AZ219" i="3" s="1"/>
  <c r="BA226" i="3"/>
  <c r="AZ226" i="3" s="1"/>
  <c r="BA227" i="3"/>
  <c r="AZ227" i="3" s="1"/>
  <c r="BL229" i="3"/>
  <c r="AZ229" i="3" s="1"/>
  <c r="BA265" i="3"/>
  <c r="AZ265" i="3" s="1"/>
  <c r="BA275" i="3"/>
  <c r="AZ275" i="3" s="1"/>
  <c r="AZ278" i="3"/>
  <c r="BA286" i="3"/>
  <c r="AZ286" i="3" s="1"/>
  <c r="AZ292" i="3"/>
  <c r="BA295" i="3"/>
  <c r="BA118" i="3"/>
  <c r="BA124" i="3"/>
  <c r="AZ124" i="3" s="1"/>
  <c r="G384" i="3"/>
  <c r="G396" i="3"/>
  <c r="BL210" i="3"/>
  <c r="AZ210" i="3" s="1"/>
  <c r="BL214" i="3"/>
  <c r="AZ214" i="3" s="1"/>
  <c r="BA216" i="3"/>
  <c r="AZ216" i="3" s="1"/>
  <c r="BL218" i="3"/>
  <c r="AZ218" i="3" s="1"/>
  <c r="AZ244" i="3"/>
  <c r="BL247" i="3"/>
  <c r="BL290" i="3"/>
  <c r="BL299" i="3"/>
  <c r="AZ299" i="3" s="1"/>
  <c r="BL301" i="3"/>
  <c r="BA249" i="3"/>
  <c r="AZ249" i="3" s="1"/>
  <c r="BL253" i="3"/>
  <c r="AZ253" i="3" s="1"/>
  <c r="BL258" i="3"/>
  <c r="AZ258" i="3" s="1"/>
  <c r="BA264" i="3"/>
  <c r="AZ264" i="3" s="1"/>
  <c r="BL268" i="3"/>
  <c r="AZ268" i="3" s="1"/>
  <c r="BA274" i="3"/>
  <c r="AZ274" i="3" s="1"/>
  <c r="BA277" i="3"/>
  <c r="AZ277" i="3" s="1"/>
  <c r="BA282" i="3"/>
  <c r="AZ282" i="3" s="1"/>
  <c r="BA285" i="3"/>
  <c r="AZ285" i="3" s="1"/>
  <c r="BL295" i="3"/>
  <c r="BL118" i="3"/>
  <c r="BA133" i="3"/>
  <c r="AZ133" i="3" s="1"/>
  <c r="BL138" i="3"/>
  <c r="BA154" i="3"/>
  <c r="AZ154" i="3" s="1"/>
  <c r="AZ38" i="3"/>
  <c r="AZ56" i="3"/>
  <c r="AZ60" i="3"/>
  <c r="BL263" i="3"/>
  <c r="AZ263" i="3" s="1"/>
  <c r="BL273" i="3"/>
  <c r="AZ273" i="3" s="1"/>
  <c r="BL276" i="3"/>
  <c r="AZ276" i="3" s="1"/>
  <c r="BL281" i="3"/>
  <c r="AZ281" i="3" s="1"/>
  <c r="BL284" i="3"/>
  <c r="AZ284" i="3" s="1"/>
  <c r="G294" i="3"/>
  <c r="G299" i="3"/>
  <c r="G302" i="3"/>
  <c r="BL121" i="3"/>
  <c r="AZ121" i="3" s="1"/>
  <c r="BA125" i="3"/>
  <c r="AZ125" i="3" s="1"/>
  <c r="BA132" i="3"/>
  <c r="AZ132" i="3" s="1"/>
  <c r="BA140" i="3"/>
  <c r="AZ140" i="3" s="1"/>
  <c r="BL147" i="3"/>
  <c r="AZ147" i="3" s="1"/>
  <c r="G150" i="3"/>
  <c r="BL150" i="3"/>
  <c r="AZ150" i="3" s="1"/>
  <c r="BA160" i="3"/>
  <c r="AZ160" i="3" s="1"/>
  <c r="BL162" i="3"/>
  <c r="AZ162" i="3" s="1"/>
  <c r="BA165" i="3"/>
  <c r="AZ165" i="3" s="1"/>
  <c r="BA169" i="3"/>
  <c r="AZ169" i="3" s="1"/>
  <c r="G174" i="3"/>
  <c r="AZ25" i="3"/>
  <c r="AZ52" i="3"/>
  <c r="BA247" i="3"/>
  <c r="BA251" i="3"/>
  <c r="AZ251" i="3" s="1"/>
  <c r="G257" i="3"/>
  <c r="G262" i="3"/>
  <c r="BA266" i="3"/>
  <c r="G272" i="3"/>
  <c r="BL279" i="3"/>
  <c r="AZ279" i="3" s="1"/>
  <c r="BA287" i="3"/>
  <c r="AZ287" i="3" s="1"/>
  <c r="BA290" i="3"/>
  <c r="BA293" i="3"/>
  <c r="AZ293" i="3" s="1"/>
  <c r="BA298" i="3"/>
  <c r="AZ298" i="3" s="1"/>
  <c r="BA301" i="3"/>
  <c r="G116" i="3"/>
  <c r="BL123" i="3"/>
  <c r="AZ123" i="3" s="1"/>
  <c r="BL130" i="3"/>
  <c r="AZ130" i="3" s="1"/>
  <c r="G136" i="3"/>
  <c r="BA138" i="3"/>
  <c r="BL141" i="3"/>
  <c r="AZ141" i="3" s="1"/>
  <c r="G142" i="3"/>
  <c r="BL146" i="3"/>
  <c r="AZ146" i="3" s="1"/>
  <c r="G147" i="3"/>
  <c r="BA149" i="3"/>
  <c r="AZ149" i="3" s="1"/>
  <c r="BL153" i="3"/>
  <c r="AZ153" i="3" s="1"/>
  <c r="BL155" i="3"/>
  <c r="AZ155" i="3" s="1"/>
  <c r="BL157" i="3"/>
  <c r="AZ157" i="3" s="1"/>
  <c r="BL159" i="3"/>
  <c r="AZ159" i="3" s="1"/>
  <c r="BA164" i="3"/>
  <c r="AZ164" i="3" s="1"/>
  <c r="G168" i="3"/>
  <c r="BL171" i="3"/>
  <c r="AZ171" i="3" s="1"/>
  <c r="AZ36" i="3"/>
  <c r="AZ90" i="3"/>
  <c r="N108" i="43"/>
  <c r="N109" i="43" s="1"/>
  <c r="N100" i="43"/>
  <c r="X21" i="71"/>
  <c r="X22" i="71"/>
  <c r="X23" i="71"/>
  <c r="X24" i="71"/>
  <c r="BA158" i="3"/>
  <c r="AZ158" i="3" s="1"/>
  <c r="G162" i="3"/>
  <c r="BA172" i="3"/>
  <c r="AZ172" i="3" s="1"/>
  <c r="G179" i="3"/>
  <c r="BL181" i="3"/>
  <c r="AZ181" i="3" s="1"/>
  <c r="BA188" i="3"/>
  <c r="AZ188" i="3" s="1"/>
  <c r="BA193" i="3"/>
  <c r="AZ193" i="3" s="1"/>
  <c r="BA194" i="3"/>
  <c r="AZ194" i="3" s="1"/>
  <c r="BL198" i="3"/>
  <c r="AZ198" i="3" s="1"/>
  <c r="BL201" i="3"/>
  <c r="AZ201" i="3" s="1"/>
  <c r="BA205" i="3"/>
  <c r="AZ205" i="3" s="1"/>
  <c r="BA206" i="3"/>
  <c r="AZ206" i="3" s="1"/>
  <c r="BA23" i="3"/>
  <c r="BA24" i="3"/>
  <c r="AZ24" i="3" s="1"/>
  <c r="BL26" i="3"/>
  <c r="AZ26" i="3" s="1"/>
  <c r="BL32" i="3"/>
  <c r="AZ32" i="3" s="1"/>
  <c r="BA34" i="3"/>
  <c r="AZ34" i="3" s="1"/>
  <c r="BA35" i="3"/>
  <c r="AZ35" i="3" s="1"/>
  <c r="BL37" i="3"/>
  <c r="AZ37" i="3" s="1"/>
  <c r="BL42" i="3"/>
  <c r="AZ42" i="3" s="1"/>
  <c r="BA44" i="3"/>
  <c r="AZ44" i="3" s="1"/>
  <c r="BA45" i="3"/>
  <c r="AZ45" i="3" s="1"/>
  <c r="BL47" i="3"/>
  <c r="AZ47" i="3" s="1"/>
  <c r="BL51" i="3"/>
  <c r="AZ51" i="3" s="1"/>
  <c r="AZ68" i="3"/>
  <c r="AZ73" i="3"/>
  <c r="BL76" i="3"/>
  <c r="AZ76" i="3" s="1"/>
  <c r="AZ87" i="3"/>
  <c r="BL90" i="3"/>
  <c r="BL96" i="3"/>
  <c r="AZ96" i="3" s="1"/>
  <c r="BA102" i="3"/>
  <c r="AZ102" i="3" s="1"/>
  <c r="AZ103" i="3"/>
  <c r="BA105" i="3"/>
  <c r="AZ105" i="3" s="1"/>
  <c r="AZ106" i="3"/>
  <c r="BA110" i="3"/>
  <c r="AZ110" i="3" s="1"/>
  <c r="AZ112" i="3"/>
  <c r="F40" i="68"/>
  <c r="C21" i="68"/>
  <c r="C40" i="68"/>
  <c r="C61" i="71"/>
  <c r="D60" i="71"/>
  <c r="N64" i="71"/>
  <c r="B63" i="71"/>
  <c r="T73" i="71"/>
  <c r="D73" i="71"/>
  <c r="C72" i="71"/>
  <c r="G156" i="3"/>
  <c r="BA161" i="3"/>
  <c r="AZ161" i="3" s="1"/>
  <c r="BL170" i="3"/>
  <c r="AZ170" i="3" s="1"/>
  <c r="BA178" i="3"/>
  <c r="AZ178" i="3" s="1"/>
  <c r="BL182" i="3"/>
  <c r="AZ182" i="3" s="1"/>
  <c r="BL185" i="3"/>
  <c r="AZ185" i="3" s="1"/>
  <c r="BL191" i="3"/>
  <c r="AZ191" i="3" s="1"/>
  <c r="BL202" i="3"/>
  <c r="AZ202" i="3" s="1"/>
  <c r="BL22" i="3"/>
  <c r="AZ22" i="3" s="1"/>
  <c r="BL33" i="3"/>
  <c r="AZ33" i="3" s="1"/>
  <c r="BL43" i="3"/>
  <c r="AZ43" i="3" s="1"/>
  <c r="BL57" i="3"/>
  <c r="AZ57" i="3" s="1"/>
  <c r="BL63" i="3"/>
  <c r="AZ63" i="3" s="1"/>
  <c r="BA79" i="3"/>
  <c r="AZ79" i="3" s="1"/>
  <c r="AZ81" i="3"/>
  <c r="BL93" i="3"/>
  <c r="AZ93" i="3" s="1"/>
  <c r="BA100" i="3"/>
  <c r="AZ100" i="3" s="1"/>
  <c r="BA108" i="3"/>
  <c r="AZ108" i="3" s="1"/>
  <c r="BL112" i="3"/>
  <c r="K108" i="43"/>
  <c r="K109" i="43" s="1"/>
  <c r="K100" i="43"/>
  <c r="U21" i="33"/>
  <c r="AB21" i="33"/>
  <c r="AA25" i="40"/>
  <c r="S25" i="40"/>
  <c r="AA7" i="71"/>
  <c r="AA36" i="71"/>
  <c r="AA6" i="71"/>
  <c r="AA35" i="71"/>
  <c r="AA32" i="71"/>
  <c r="AA24" i="71"/>
  <c r="AA26" i="71"/>
  <c r="AA30" i="71"/>
  <c r="AZ99" i="3"/>
  <c r="AB5" i="71"/>
  <c r="X5" i="71"/>
  <c r="Y5" i="71"/>
  <c r="Z5" i="71" s="1"/>
  <c r="AA5" i="71"/>
  <c r="D48" i="71"/>
  <c r="C49" i="71"/>
  <c r="Y29" i="71"/>
  <c r="Z29" i="71" s="1"/>
  <c r="Y28" i="71"/>
  <c r="Z28" i="71" s="1"/>
  <c r="Y27" i="71"/>
  <c r="Z27" i="71" s="1"/>
  <c r="B32" i="71"/>
  <c r="B33" i="71" s="1"/>
  <c r="S33" i="71" s="1"/>
  <c r="X31" i="71"/>
  <c r="S21" i="37"/>
  <c r="AA21" i="21"/>
  <c r="S21" i="21"/>
  <c r="D37" i="71"/>
  <c r="AA27" i="71"/>
  <c r="AA28" i="71"/>
  <c r="AA22" i="71"/>
  <c r="AB32" i="71"/>
  <c r="X7" i="71"/>
  <c r="D63" i="71"/>
  <c r="O62" i="71"/>
  <c r="O64" i="71"/>
  <c r="D64" i="71"/>
  <c r="AA3" i="71"/>
  <c r="C41" i="71"/>
  <c r="D40" i="71"/>
  <c r="C24" i="71"/>
  <c r="D25" i="71"/>
  <c r="U25" i="71" s="1"/>
  <c r="X25" i="71"/>
  <c r="B25" i="71"/>
  <c r="Y26" i="71"/>
  <c r="Z26" i="71" s="1"/>
  <c r="C27" i="71"/>
  <c r="Y22" i="71"/>
  <c r="Z22" i="71" s="1"/>
  <c r="AB27" i="71"/>
  <c r="AB22" i="71"/>
  <c r="F35" i="71"/>
  <c r="F36" i="71" s="1"/>
  <c r="F37" i="71" s="1"/>
  <c r="V37" i="71" s="1"/>
  <c r="AB33" i="71"/>
  <c r="AB34" i="71"/>
  <c r="C56" i="71"/>
  <c r="D55" i="71"/>
  <c r="V65" i="71"/>
  <c r="Q65" i="71"/>
  <c r="F64" i="71"/>
  <c r="G100" i="43"/>
  <c r="I108" i="43"/>
  <c r="I109" i="43" s="1"/>
  <c r="I100" i="43"/>
  <c r="U21" i="21"/>
  <c r="O63" i="71"/>
  <c r="P62" i="71"/>
  <c r="P63" i="71"/>
  <c r="C32" i="71"/>
  <c r="D31" i="71"/>
  <c r="X28" i="71"/>
  <c r="F31" i="71"/>
  <c r="F32" i="71" s="1"/>
  <c r="F33" i="71" s="1"/>
  <c r="V33" i="71" s="1"/>
  <c r="AB29" i="71"/>
  <c r="AB30" i="71"/>
  <c r="Y33" i="71"/>
  <c r="Z33" i="71" s="1"/>
  <c r="Y30" i="71"/>
  <c r="Z30" i="71" s="1"/>
  <c r="AB18" i="36"/>
  <c r="AA23" i="71"/>
  <c r="E24" i="71"/>
  <c r="E23" i="71" s="1"/>
  <c r="AB23" i="71"/>
  <c r="D35" i="71"/>
  <c r="X29" i="71"/>
  <c r="AB26" i="71"/>
  <c r="Y23" i="71"/>
  <c r="Z23" i="71" s="1"/>
  <c r="Y25" i="71"/>
  <c r="Z25" i="71" s="1"/>
  <c r="F27" i="71"/>
  <c r="F28" i="71" s="1"/>
  <c r="F29" i="71" s="1"/>
  <c r="V29" i="71" s="1"/>
  <c r="X26" i="71"/>
  <c r="AB28" i="71"/>
  <c r="AA29" i="71"/>
  <c r="AB6" i="71"/>
  <c r="Z10" i="43"/>
  <c r="Z12" i="43"/>
  <c r="AH10" i="43"/>
  <c r="AH12" i="43"/>
  <c r="AH13" i="43" s="1"/>
  <c r="Y19" i="71"/>
  <c r="Z19" i="71" s="1"/>
  <c r="AB18" i="71"/>
  <c r="Y14" i="71"/>
  <c r="Z14" i="71" s="1"/>
  <c r="AB14" i="71"/>
  <c r="Y31" i="71"/>
  <c r="Z31" i="71" s="1"/>
  <c r="E48" i="71"/>
  <c r="E49" i="71" s="1"/>
  <c r="U49" i="71" s="1"/>
  <c r="AF10" i="43"/>
  <c r="AF12" i="43"/>
  <c r="AF13" i="43" s="1"/>
  <c r="AB21" i="71"/>
  <c r="AA19" i="71"/>
  <c r="AB9" i="71"/>
  <c r="AA25" i="71"/>
  <c r="Y34" i="71"/>
  <c r="Z34" i="71" s="1"/>
  <c r="E35" i="71"/>
  <c r="E36" i="71" s="1"/>
  <c r="E37" i="71" s="1"/>
  <c r="U37" i="71" s="1"/>
  <c r="AA34" i="71"/>
  <c r="Y7" i="71"/>
  <c r="Z7" i="71" s="1"/>
  <c r="Y6" i="71"/>
  <c r="Z6" i="71" s="1"/>
  <c r="C44" i="71"/>
  <c r="D44" i="71" s="1"/>
  <c r="B72" i="71"/>
  <c r="B71" i="71" s="1"/>
  <c r="AD12" i="43"/>
  <c r="AD13" i="43" s="1"/>
  <c r="AD10" i="43"/>
  <c r="E20" i="71"/>
  <c r="E19" i="71" s="1"/>
  <c r="E18" i="71" s="1"/>
  <c r="E17" i="71" s="1"/>
  <c r="V21" i="71"/>
  <c r="AB20" i="71"/>
  <c r="X18" i="71"/>
  <c r="X15" i="71"/>
  <c r="AA15" i="71"/>
  <c r="X9" i="71"/>
  <c r="N56" i="9"/>
  <c r="AA21" i="71"/>
  <c r="Y20" i="71"/>
  <c r="Z20" i="71" s="1"/>
  <c r="AA20" i="71"/>
  <c r="X19" i="71"/>
  <c r="AA18" i="71"/>
  <c r="Y15" i="71"/>
  <c r="Z15" i="71" s="1"/>
  <c r="X14" i="71"/>
  <c r="AA14" i="71"/>
  <c r="AB15" i="71"/>
  <c r="AB7" i="71"/>
  <c r="AA10" i="71"/>
  <c r="AA11" i="71"/>
  <c r="X10" i="71"/>
  <c r="AA12" i="71"/>
  <c r="AB10" i="71"/>
  <c r="AA9" i="71"/>
  <c r="X11" i="71"/>
  <c r="Y10" i="71"/>
  <c r="Z10" i="71" s="1"/>
  <c r="P61" i="15"/>
  <c r="F20" i="71"/>
  <c r="F19" i="71" s="1"/>
  <c r="F18" i="71" s="1"/>
  <c r="F17" i="71" s="1"/>
  <c r="F16" i="71" s="1"/>
  <c r="F15" i="71" s="1"/>
  <c r="F14" i="71" s="1"/>
  <c r="AB12" i="71"/>
  <c r="AB8" i="71"/>
  <c r="AB11" i="71"/>
  <c r="Y9" i="71"/>
  <c r="Z9" i="71" s="1"/>
  <c r="X6" i="71"/>
  <c r="X12" i="71"/>
  <c r="AA8" i="71"/>
  <c r="X8" i="71"/>
  <c r="Y8" i="71"/>
  <c r="Z8" i="71"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F7" i="34"/>
  <c r="J7" i="34"/>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K1" i="73"/>
  <c r="I1" i="73"/>
  <c r="B39" i="1" s="1"/>
  <c r="B12" i="70"/>
  <c r="B7" i="70"/>
  <c r="B11" i="70"/>
  <c r="B8" i="70"/>
  <c r="B9" i="70"/>
  <c r="B13" i="70"/>
  <c r="F6" i="15"/>
  <c r="M29" i="67"/>
  <c r="M23" i="67"/>
  <c r="M28" i="67"/>
  <c r="F37" i="67"/>
  <c r="F43" i="67"/>
  <c r="M6" i="15"/>
  <c r="F7" i="67"/>
  <c r="M26" i="67"/>
  <c r="F40" i="15"/>
  <c r="C76" i="67"/>
  <c r="F26" i="67"/>
  <c r="F42" i="67"/>
  <c r="F9" i="15"/>
  <c r="F36" i="15"/>
  <c r="M24" i="67"/>
  <c r="M9" i="67"/>
  <c r="F36" i="67"/>
  <c r="F40" i="67"/>
  <c r="J15" i="15"/>
  <c r="G1" i="73"/>
  <c r="M6" i="67"/>
  <c r="F9" i="67"/>
  <c r="F6" i="67"/>
  <c r="L47" i="67"/>
  <c r="F38" i="67"/>
  <c r="M27" i="67"/>
  <c r="F38" i="15"/>
  <c r="M22" i="15"/>
  <c r="F8" i="67"/>
  <c r="M22" i="67"/>
  <c r="M8" i="67"/>
  <c r="L48" i="67"/>
  <c r="J15" i="67"/>
  <c r="F13" i="67"/>
  <c r="F16" i="67"/>
  <c r="M105" i="43" l="1"/>
  <c r="M102" i="43"/>
  <c r="M103" i="43"/>
  <c r="M104" i="43"/>
  <c r="M107" i="43"/>
  <c r="E102" i="43"/>
  <c r="D52" i="71"/>
  <c r="C53" i="71"/>
  <c r="AZ186" i="3"/>
  <c r="AZ209" i="3"/>
  <c r="AZ271" i="3"/>
  <c r="AC40" i="40"/>
  <c r="W40" i="40"/>
  <c r="H7" i="36"/>
  <c r="AZ138" i="3"/>
  <c r="AZ247" i="3"/>
  <c r="E107" i="43"/>
  <c r="H109" i="43"/>
  <c r="S27" i="33"/>
  <c r="AZ75" i="3"/>
  <c r="AZ19" i="3"/>
  <c r="AZ234" i="3"/>
  <c r="AZ238" i="3"/>
  <c r="AZ46" i="3"/>
  <c r="AC25" i="37"/>
  <c r="W25" i="37"/>
  <c r="AC36" i="39"/>
  <c r="W36" i="39"/>
  <c r="D106" i="43"/>
  <c r="AZ189" i="3"/>
  <c r="AZ101" i="3"/>
  <c r="AZ478" i="3"/>
  <c r="AZ113" i="3"/>
  <c r="AZ243" i="3"/>
  <c r="AZ441" i="3"/>
  <c r="AB24" i="36"/>
  <c r="U24" i="36"/>
  <c r="AA28" i="21"/>
  <c r="S28" i="21"/>
  <c r="H7" i="34"/>
  <c r="C103" i="43"/>
  <c r="D115" i="43"/>
  <c r="E115" i="43" s="1"/>
  <c r="F115" i="43" s="1"/>
  <c r="G115" i="43" s="1"/>
  <c r="H115" i="43" s="1"/>
  <c r="D117" i="43"/>
  <c r="E117" i="43" s="1"/>
  <c r="F117" i="43" s="1"/>
  <c r="G117" i="43" s="1"/>
  <c r="H117" i="43" s="1"/>
  <c r="AZ59" i="3"/>
  <c r="AZ92" i="3"/>
  <c r="AZ302" i="3"/>
  <c r="AZ245" i="3"/>
  <c r="S12" i="35"/>
  <c r="AA12" i="35"/>
  <c r="AC28" i="21"/>
  <c r="W28" i="21"/>
  <c r="C7" i="43"/>
  <c r="AZ55" i="3"/>
  <c r="AZ107" i="3"/>
  <c r="AZ354" i="3"/>
  <c r="AZ417" i="3"/>
  <c r="W12" i="33"/>
  <c r="AC12" i="33"/>
  <c r="AZ67" i="3"/>
  <c r="F7" i="36"/>
  <c r="AZ20" i="3"/>
  <c r="AZ435" i="3"/>
  <c r="AZ58" i="3"/>
  <c r="AZ316" i="3"/>
  <c r="AC39" i="37"/>
  <c r="W39" i="37"/>
  <c r="J7" i="36"/>
  <c r="AC7" i="36" s="1"/>
  <c r="V36" i="36" s="1"/>
  <c r="I36" i="36" s="1"/>
  <c r="AZ295" i="3"/>
  <c r="Y11" i="43"/>
  <c r="Y13" i="43" s="1"/>
  <c r="J22" i="43"/>
  <c r="J101" i="43"/>
  <c r="J107" i="43" s="1"/>
  <c r="L101" i="43"/>
  <c r="L105" i="43" s="1"/>
  <c r="AZ53" i="3"/>
  <c r="AZ207" i="3"/>
  <c r="AZ89" i="3"/>
  <c r="AZ438" i="3"/>
  <c r="AZ212" i="3"/>
  <c r="U12" i="34"/>
  <c r="AB12" i="34"/>
  <c r="G16" i="1"/>
  <c r="F10" i="39" s="1"/>
  <c r="S10" i="39" s="1"/>
  <c r="D109" i="43"/>
  <c r="D105" i="43"/>
  <c r="F104" i="43"/>
  <c r="F102" i="43"/>
  <c r="F106" i="43"/>
  <c r="F103" i="43"/>
  <c r="F109" i="43"/>
  <c r="F105" i="43"/>
  <c r="F107" i="43"/>
  <c r="E106" i="43"/>
  <c r="E105" i="43"/>
  <c r="E103" i="43"/>
  <c r="B115" i="43"/>
  <c r="I118" i="43"/>
  <c r="J118" i="43" s="1"/>
  <c r="K118" i="43" s="1"/>
  <c r="L118" i="43" s="1"/>
  <c r="M118" i="43" s="1"/>
  <c r="I115" i="43"/>
  <c r="J115" i="43" s="1"/>
  <c r="K115" i="43" s="1"/>
  <c r="L115" i="43" s="1"/>
  <c r="M115" i="43" s="1"/>
  <c r="I117" i="43"/>
  <c r="J117" i="43" s="1"/>
  <c r="K117" i="43" s="1"/>
  <c r="L117" i="43" s="1"/>
  <c r="M117" i="43" s="1"/>
  <c r="C106" i="43"/>
  <c r="N104" i="43"/>
  <c r="N105" i="43"/>
  <c r="H103" i="43"/>
  <c r="H107" i="43"/>
  <c r="H104" i="43"/>
  <c r="I106" i="43"/>
  <c r="I102" i="43"/>
  <c r="I103" i="43"/>
  <c r="M6" i="1"/>
  <c r="Z13" i="43"/>
  <c r="D104" i="43"/>
  <c r="J104" i="43"/>
  <c r="J103" i="43"/>
  <c r="J109" i="43"/>
  <c r="J105" i="43"/>
  <c r="J102" i="43"/>
  <c r="J106" i="43"/>
  <c r="L109" i="43"/>
  <c r="M109" i="43"/>
  <c r="M106" i="43"/>
  <c r="F28" i="12"/>
  <c r="C29" i="12" s="1"/>
  <c r="D28" i="12" s="1"/>
  <c r="Q18" i="1"/>
  <c r="AB27" i="33"/>
  <c r="AC27" i="33"/>
  <c r="W27" i="33"/>
  <c r="S42" i="33"/>
  <c r="U42" i="33"/>
  <c r="W42" i="33"/>
  <c r="AB31" i="33"/>
  <c r="U31" i="33"/>
  <c r="F48" i="69"/>
  <c r="C48" i="69"/>
  <c r="F48" i="68"/>
  <c r="C48" i="68"/>
  <c r="C30" i="68"/>
  <c r="C30" i="69"/>
  <c r="F66" i="15"/>
  <c r="F68" i="15"/>
  <c r="F64" i="15"/>
  <c r="F71" i="67"/>
  <c r="Q71" i="67"/>
  <c r="C6" i="67"/>
  <c r="C32" i="67" s="1"/>
  <c r="F51" i="67"/>
  <c r="M7" i="67"/>
  <c r="J6" i="67" s="1"/>
  <c r="J18" i="67" s="1"/>
  <c r="F50" i="67"/>
  <c r="F65" i="67"/>
  <c r="C27" i="67"/>
  <c r="F64" i="67"/>
  <c r="F66" i="67"/>
  <c r="F68" i="67"/>
  <c r="L56" i="67"/>
  <c r="I54" i="67"/>
  <c r="J53" i="67"/>
  <c r="Q52" i="67" s="1"/>
  <c r="J57" i="67"/>
  <c r="J55" i="67" s="1"/>
  <c r="J58" i="67" s="1"/>
  <c r="Q50" i="67" s="1"/>
  <c r="F70" i="67"/>
  <c r="M59" i="67"/>
  <c r="N59" i="67"/>
  <c r="L59" i="67"/>
  <c r="Q74" i="67" s="1"/>
  <c r="L58" i="67"/>
  <c r="Q73" i="67" s="1"/>
  <c r="H16" i="1"/>
  <c r="E56" i="40"/>
  <c r="G105" i="43"/>
  <c r="G102" i="43"/>
  <c r="G107" i="43"/>
  <c r="G109" i="43"/>
  <c r="G103" i="43"/>
  <c r="G106" i="43"/>
  <c r="G104" i="43"/>
  <c r="E64" i="39"/>
  <c r="E16" i="6"/>
  <c r="F30" i="6"/>
  <c r="F31" i="6" s="1"/>
  <c r="C34" i="69"/>
  <c r="O7" i="1"/>
  <c r="P7" i="1" s="1"/>
  <c r="M16" i="1"/>
  <c r="N16" i="1" s="1"/>
  <c r="F27" i="69"/>
  <c r="F27" i="68"/>
  <c r="F27" i="11"/>
  <c r="C29" i="11" s="1"/>
  <c r="D27" i="11" s="1"/>
  <c r="O14" i="1"/>
  <c r="H14" i="74"/>
  <c r="B7" i="74" s="1"/>
  <c r="D125" i="9"/>
  <c r="D11" i="52" s="1"/>
  <c r="D10" i="52"/>
  <c r="B12" i="71"/>
  <c r="B11" i="71" s="1"/>
  <c r="B10" i="71" s="1"/>
  <c r="B9" i="71" s="1"/>
  <c r="S13" i="71"/>
  <c r="J7" i="37"/>
  <c r="W7" i="37" s="1"/>
  <c r="C33" i="71"/>
  <c r="D32" i="71"/>
  <c r="F63" i="71"/>
  <c r="Q64" i="71"/>
  <c r="C57" i="71"/>
  <c r="D56" i="71"/>
  <c r="C23" i="71"/>
  <c r="D23" i="71" s="1"/>
  <c r="D24" i="71"/>
  <c r="T49" i="71"/>
  <c r="D49" i="71"/>
  <c r="T61" i="71"/>
  <c r="D61" i="71"/>
  <c r="AZ23" i="3"/>
  <c r="BA5" i="3"/>
  <c r="E27" i="6" s="1"/>
  <c r="AZ301" i="3"/>
  <c r="AA44" i="39"/>
  <c r="S44" i="39"/>
  <c r="AZ450" i="3"/>
  <c r="AZ418" i="3"/>
  <c r="U34" i="35"/>
  <c r="AB34" i="35"/>
  <c r="AC39" i="40"/>
  <c r="W39" i="40"/>
  <c r="AA26" i="37"/>
  <c r="S26" i="37"/>
  <c r="AA23" i="36"/>
  <c r="S23" i="36"/>
  <c r="U32" i="34"/>
  <c r="AB32" i="34"/>
  <c r="B34" i="72"/>
  <c r="D17" i="53"/>
  <c r="B36" i="72" s="1"/>
  <c r="E16" i="71"/>
  <c r="E15" i="71" s="1"/>
  <c r="E14" i="71" s="1"/>
  <c r="E13" i="71" s="1"/>
  <c r="V17" i="71"/>
  <c r="S25" i="71"/>
  <c r="B24" i="71"/>
  <c r="B23" i="71" s="1"/>
  <c r="BL5" i="3"/>
  <c r="N62" i="71"/>
  <c r="N63" i="71"/>
  <c r="AZ118" i="3"/>
  <c r="S34" i="35"/>
  <c r="AA34" i="35"/>
  <c r="AB33" i="36"/>
  <c r="U33" i="36"/>
  <c r="AB28" i="37"/>
  <c r="U28" i="37"/>
  <c r="AC26" i="37"/>
  <c r="W26" i="37"/>
  <c r="W12" i="35"/>
  <c r="AC12" i="35"/>
  <c r="AA31" i="39"/>
  <c r="S31" i="39"/>
  <c r="AC35" i="39"/>
  <c r="W35" i="39"/>
  <c r="AB25" i="36"/>
  <c r="U25" i="36"/>
  <c r="AA45" i="21"/>
  <c r="S45" i="21"/>
  <c r="AB14" i="39"/>
  <c r="U14" i="39"/>
  <c r="AC31" i="21"/>
  <c r="W31" i="21"/>
  <c r="E30" i="6"/>
  <c r="K15" i="1"/>
  <c r="K16" i="1" s="1"/>
  <c r="X20" i="1" s="1"/>
  <c r="X22" i="1" s="1"/>
  <c r="W22" i="1" s="1"/>
  <c r="C47" i="11"/>
  <c r="D45" i="11" s="1"/>
  <c r="C15" i="71"/>
  <c r="D16" i="71"/>
  <c r="T41" i="71"/>
  <c r="D41" i="71"/>
  <c r="C71" i="71"/>
  <c r="D71" i="71" s="1"/>
  <c r="D72" i="71"/>
  <c r="AA9" i="33"/>
  <c r="S9" i="33"/>
  <c r="S38" i="40"/>
  <c r="AA38" i="40"/>
  <c r="U34" i="36"/>
  <c r="AB34" i="36"/>
  <c r="AA28" i="37"/>
  <c r="S28" i="37"/>
  <c r="W31" i="39"/>
  <c r="AC31" i="39"/>
  <c r="W28" i="34"/>
  <c r="AC28" i="34"/>
  <c r="W29" i="33"/>
  <c r="AC29" i="33"/>
  <c r="AB35" i="39"/>
  <c r="U35" i="39"/>
  <c r="W25" i="36"/>
  <c r="AC25" i="36"/>
  <c r="W45" i="21"/>
  <c r="AC45" i="21"/>
  <c r="S14" i="39"/>
  <c r="AA14" i="39"/>
  <c r="U31" i="21"/>
  <c r="AB31" i="21"/>
  <c r="E57" i="40"/>
  <c r="E61" i="39"/>
  <c r="D27" i="71"/>
  <c r="C28" i="71"/>
  <c r="G5" i="3"/>
  <c r="B3" i="3" s="1"/>
  <c r="E174" i="3" s="1"/>
  <c r="AZ290" i="3"/>
  <c r="AZ266" i="3"/>
  <c r="AC44" i="39"/>
  <c r="W44" i="39"/>
  <c r="AC38" i="40"/>
  <c r="W38" i="40"/>
  <c r="W36" i="35"/>
  <c r="AC36" i="35"/>
  <c r="W9" i="34"/>
  <c r="AC9" i="34"/>
  <c r="AB39" i="40"/>
  <c r="U39" i="40"/>
  <c r="AA28" i="34"/>
  <c r="S28" i="34"/>
  <c r="W14" i="34"/>
  <c r="AC14" i="34"/>
  <c r="AA35" i="39"/>
  <c r="S35" i="39"/>
  <c r="E63" i="39"/>
  <c r="E59" i="40"/>
  <c r="E58" i="40"/>
  <c r="E62" i="39"/>
  <c r="U17"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S7" i="36"/>
  <c r="AA7" i="36"/>
  <c r="R36" i="36" s="1"/>
  <c r="AB7" i="36"/>
  <c r="T36" i="36" s="1"/>
  <c r="G36" i="36" s="1"/>
  <c r="U7" i="36"/>
  <c r="AB7" i="34"/>
  <c r="T49" i="34" s="1"/>
  <c r="G49" i="34" s="1"/>
  <c r="U7" i="34"/>
  <c r="AA7" i="34"/>
  <c r="R49" i="34" s="1"/>
  <c r="S7" i="34"/>
  <c r="F7" i="33"/>
  <c r="E58" i="21"/>
  <c r="F7" i="37"/>
  <c r="W7" i="34"/>
  <c r="AC7" i="34"/>
  <c r="V49" i="34" s="1"/>
  <c r="I49" i="34" s="1"/>
  <c r="M17" i="67"/>
  <c r="M17" i="15"/>
  <c r="F59" i="15"/>
  <c r="P24" i="43"/>
  <c r="B66" i="40" s="1"/>
  <c r="P21" i="43"/>
  <c r="P25" i="43"/>
  <c r="P23" i="43"/>
  <c r="B70" i="39" s="1"/>
  <c r="M28" i="43"/>
  <c r="N28" i="43"/>
  <c r="O28" i="43"/>
  <c r="P28" i="43"/>
  <c r="M11" i="67"/>
  <c r="J10" i="67" s="1"/>
  <c r="F11" i="15"/>
  <c r="M11" i="15"/>
  <c r="F11" i="67"/>
  <c r="M29" i="15"/>
  <c r="L47" i="15"/>
  <c r="F43" i="15"/>
  <c r="M24" i="15"/>
  <c r="F7" i="15"/>
  <c r="F13" i="15"/>
  <c r="M27" i="15"/>
  <c r="L48" i="15"/>
  <c r="F37" i="15"/>
  <c r="C16" i="67"/>
  <c r="F16" i="15"/>
  <c r="M9" i="15"/>
  <c r="F26" i="15"/>
  <c r="F8" i="15"/>
  <c r="F42" i="15"/>
  <c r="C76" i="15"/>
  <c r="M28" i="15"/>
  <c r="M8" i="15"/>
  <c r="M23" i="15"/>
  <c r="M26" i="15"/>
  <c r="J10" i="39" l="1"/>
  <c r="AC10" i="39" s="1"/>
  <c r="AA10" i="39"/>
  <c r="J10" i="40"/>
  <c r="AC10" i="40" s="1"/>
  <c r="H10" i="39"/>
  <c r="AB10" i="39" s="1"/>
  <c r="H10" i="40"/>
  <c r="AB10" i="40" s="1"/>
  <c r="F50" i="15"/>
  <c r="M7" i="15"/>
  <c r="J6" i="15" s="1"/>
  <c r="J18" i="15" s="1"/>
  <c r="C27" i="15"/>
  <c r="F65" i="15"/>
  <c r="Q71" i="15"/>
  <c r="F71" i="15"/>
  <c r="J53" i="15"/>
  <c r="L56" i="15" s="1"/>
  <c r="J57" i="15"/>
  <c r="J55" i="15" s="1"/>
  <c r="J58" i="15" s="1"/>
  <c r="Q50" i="15" s="1"/>
  <c r="I54" i="15"/>
  <c r="N59" i="15"/>
  <c r="L58" i="15"/>
  <c r="Q73" i="15" s="1"/>
  <c r="M59" i="15"/>
  <c r="L59" i="15"/>
  <c r="Q74" i="15" s="1"/>
  <c r="F51" i="15"/>
  <c r="C6" i="15"/>
  <c r="C32" i="15" s="1"/>
  <c r="W7" i="36"/>
  <c r="AC7" i="37"/>
  <c r="V42" i="37" s="1"/>
  <c r="I42" i="37" s="1"/>
  <c r="T53" i="71"/>
  <c r="D53" i="71"/>
  <c r="F10" i="40"/>
  <c r="AA10" i="40" s="1"/>
  <c r="L102" i="43"/>
  <c r="L104" i="43"/>
  <c r="L107" i="43"/>
  <c r="L103" i="43"/>
  <c r="L106" i="43"/>
  <c r="AZ5" i="3"/>
  <c r="E3" i="6" s="1"/>
  <c r="C115" i="43"/>
  <c r="D113" i="43"/>
  <c r="O6" i="1"/>
  <c r="P6" i="1" s="1"/>
  <c r="F1" i="67"/>
  <c r="C49" i="67"/>
  <c r="Q61" i="67"/>
  <c r="W10" i="39"/>
  <c r="J5" i="67"/>
  <c r="J24" i="67" s="1"/>
  <c r="W10" i="40"/>
  <c r="Q60" i="67"/>
  <c r="P14" i="1"/>
  <c r="C29" i="68"/>
  <c r="D27" i="68" s="1"/>
  <c r="F45" i="68"/>
  <c r="C47" i="68"/>
  <c r="D45" i="68" s="1"/>
  <c r="F50" i="69"/>
  <c r="F50" i="11"/>
  <c r="F50" i="68"/>
  <c r="C47" i="69"/>
  <c r="D45" i="69" s="1"/>
  <c r="C29" i="69"/>
  <c r="D27" i="69" s="1"/>
  <c r="F45" i="69"/>
  <c r="C35" i="69"/>
  <c r="C38" i="69"/>
  <c r="L16" i="1"/>
  <c r="C34" i="68"/>
  <c r="C34" i="11"/>
  <c r="S10" i="40"/>
  <c r="U10" i="39"/>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15" i="3"/>
  <c r="E230" i="3"/>
  <c r="E189" i="3"/>
  <c r="E130" i="3"/>
  <c r="E134" i="3"/>
  <c r="E254" i="3"/>
  <c r="E91" i="3"/>
  <c r="E221" i="3"/>
  <c r="E180" i="3"/>
  <c r="E149" i="3"/>
  <c r="E77" i="3"/>
  <c r="E212" i="3"/>
  <c r="E253" i="3"/>
  <c r="E167" i="3"/>
  <c r="E199" i="3"/>
  <c r="E141" i="3"/>
  <c r="E369" i="3"/>
  <c r="E393" i="3"/>
  <c r="E525" i="3"/>
  <c r="E493" i="3"/>
  <c r="E534" i="3"/>
  <c r="E564" i="3"/>
  <c r="T6" i="3"/>
  <c r="E543" i="3"/>
  <c r="E237" i="3"/>
  <c r="E261" i="3"/>
  <c r="E304" i="3"/>
  <c r="E528" i="3"/>
  <c r="E565" i="3"/>
  <c r="E183" i="3"/>
  <c r="E213" i="3"/>
  <c r="E361" i="3"/>
  <c r="E17" i="3"/>
  <c r="E503"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203" i="3"/>
  <c r="E171" i="3"/>
  <c r="E208" i="3"/>
  <c r="E256" i="3"/>
  <c r="E279" i="3"/>
  <c r="E214"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339" i="3"/>
  <c r="E325" i="3"/>
  <c r="E392" i="3"/>
  <c r="AQ6" i="3"/>
  <c r="E52" i="3"/>
  <c r="E36" i="3"/>
  <c r="E112" i="3"/>
  <c r="E123" i="3"/>
  <c r="E289" i="3"/>
  <c r="E340" i="3"/>
  <c r="E364" i="3"/>
  <c r="E50" i="3"/>
  <c r="E20" i="3"/>
  <c r="E62" i="3"/>
  <c r="E176" i="3"/>
  <c r="E218" i="3"/>
  <c r="E265" i="3"/>
  <c r="E365" i="3"/>
  <c r="E524" i="3"/>
  <c r="E101" i="3"/>
  <c r="E69" i="3"/>
  <c r="E114" i="3"/>
  <c r="E278" i="3"/>
  <c r="E415" i="3"/>
  <c r="E563" i="3"/>
  <c r="E395" i="3"/>
  <c r="E172" i="3"/>
  <c r="E260" i="3"/>
  <c r="E445" i="3"/>
  <c r="E550" i="3"/>
  <c r="E535" i="3"/>
  <c r="E239" i="3"/>
  <c r="E509" i="3"/>
  <c r="E516" i="3"/>
  <c r="E579" i="3"/>
  <c r="E569" i="3"/>
  <c r="E431" i="3"/>
  <c r="E247" i="3"/>
  <c r="E229" i="3"/>
  <c r="E201" i="3"/>
  <c r="E151" i="3"/>
  <c r="E397" i="3"/>
  <c r="E314" i="3"/>
  <c r="E568" i="3"/>
  <c r="E511" i="3"/>
  <c r="I6" i="3"/>
  <c r="E16" i="3"/>
  <c r="E536" i="3"/>
  <c r="AK6" i="3"/>
  <c r="E549" i="3"/>
  <c r="E434" i="3"/>
  <c r="E453" i="3"/>
  <c r="E306" i="3"/>
  <c r="E368" i="3"/>
  <c r="E296" i="3"/>
  <c r="E244" i="3"/>
  <c r="E196" i="3"/>
  <c r="E236" i="3"/>
  <c r="E148" i="3"/>
  <c r="E269" i="3"/>
  <c r="E122" i="3"/>
  <c r="E89" i="3"/>
  <c r="E140" i="3"/>
  <c r="E85" i="3"/>
  <c r="E223" i="3"/>
  <c r="E238" i="3"/>
  <c r="E197"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82" i="3"/>
  <c r="E126" i="3"/>
  <c r="E166" i="3"/>
  <c r="E186" i="3"/>
  <c r="E211" i="3"/>
  <c r="E295" i="3"/>
  <c r="E210" i="3"/>
  <c r="E273" i="3"/>
  <c r="E291" i="3"/>
  <c r="E316" i="3"/>
  <c r="E331" i="3"/>
  <c r="E377" i="3"/>
  <c r="E317" i="3"/>
  <c r="E334" i="3"/>
  <c r="E572" i="3"/>
  <c r="AM6" i="3"/>
  <c r="E30" i="3"/>
  <c r="E44" i="3"/>
  <c r="E109" i="3"/>
  <c r="E29" i="3"/>
  <c r="E480" i="3"/>
  <c r="E441" i="3"/>
  <c r="E484" i="3"/>
  <c r="E425" i="3"/>
  <c r="E467" i="3"/>
  <c r="E64" i="3"/>
  <c r="E46" i="3"/>
  <c r="E103" i="3"/>
  <c r="E160" i="3"/>
  <c r="E200" i="3"/>
  <c r="E267" i="3"/>
  <c r="E249" i="3"/>
  <c r="E300" i="3"/>
  <c r="E371" i="3"/>
  <c r="E310" i="3"/>
  <c r="E492" i="3"/>
  <c r="E23" i="3"/>
  <c r="E84" i="3"/>
  <c r="E67" i="3"/>
  <c r="E33" i="3"/>
  <c r="E144" i="3"/>
  <c r="E184" i="3"/>
  <c r="E233" i="3"/>
  <c r="E355" i="3"/>
  <c r="E381" i="3"/>
  <c r="E68" i="3"/>
  <c r="E63" i="3"/>
  <c r="E81" i="3"/>
  <c r="E118" i="3"/>
  <c r="E264" i="3"/>
  <c r="E283" i="3"/>
  <c r="E309" i="3"/>
  <c r="E513" i="3"/>
  <c r="E21" i="3"/>
  <c r="O6" i="3"/>
  <c r="E359" i="3"/>
  <c r="E97" i="3"/>
  <c r="E353" i="3"/>
  <c r="AN6" i="3"/>
  <c r="E402" i="3"/>
  <c r="E303" i="3"/>
  <c r="E159" i="3"/>
  <c r="E228" i="3"/>
  <c r="E277" i="3"/>
  <c r="E133" i="3"/>
  <c r="AD6" i="3"/>
  <c r="E552"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275" i="3"/>
  <c r="E324" i="3"/>
  <c r="E342" i="3"/>
  <c r="E35" i="3"/>
  <c r="E34" i="3"/>
  <c r="E206" i="3"/>
  <c r="E251" i="3"/>
  <c r="AF6" i="3"/>
  <c r="E80" i="3"/>
  <c r="E158" i="3"/>
  <c r="E308" i="3"/>
  <c r="E22" i="3"/>
  <c r="E555" i="3"/>
  <c r="E337" i="3"/>
  <c r="E385" i="3"/>
  <c r="AI6" i="3"/>
  <c r="E423" i="3"/>
  <c r="E263" i="3"/>
  <c r="E191" i="3"/>
  <c r="E181" i="3"/>
  <c r="E224" i="3"/>
  <c r="E286" i="3"/>
  <c r="E499"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323" i="3"/>
  <c r="E82" i="3"/>
  <c r="E574" i="3"/>
  <c r="E285" i="3"/>
  <c r="E495" i="3"/>
  <c r="E586" i="3"/>
  <c r="E350" i="3"/>
  <c r="E301" i="3"/>
  <c r="E99" i="3"/>
  <c r="E157" i="3"/>
  <c r="E120" i="3"/>
  <c r="E177" i="3"/>
  <c r="E312" i="3"/>
  <c r="E542"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2" i="3"/>
  <c r="E18" i="3"/>
  <c r="E78" i="3"/>
  <c r="E190" i="3"/>
  <c r="E220" i="3"/>
  <c r="E235" i="3"/>
  <c r="E383" i="3"/>
  <c r="E522" i="3"/>
  <c r="E86" i="3"/>
  <c r="E49" i="3"/>
  <c r="E232" i="3"/>
  <c r="E370" i="3"/>
  <c r="E102" i="3"/>
  <c r="E113" i="3"/>
  <c r="E287" i="3"/>
  <c r="E326" i="3"/>
  <c r="E83" i="3"/>
  <c r="E388" i="3"/>
  <c r="E410" i="3"/>
  <c r="E143" i="3"/>
  <c r="E518" i="3"/>
  <c r="E578" i="3"/>
  <c r="E382" i="3"/>
  <c r="E245" i="3"/>
  <c r="E188" i="3"/>
  <c r="E45" i="3"/>
  <c r="E193" i="3"/>
  <c r="E575" i="3"/>
  <c r="R6" i="3"/>
  <c r="E421" i="3"/>
  <c r="E464" i="3"/>
  <c r="E487" i="3"/>
  <c r="E398" i="3"/>
  <c r="E416" i="3"/>
  <c r="E459" i="3"/>
  <c r="E374"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272" i="3"/>
  <c r="E150" i="3"/>
  <c r="E488" i="3"/>
  <c r="E262" i="3"/>
  <c r="K20" i="6"/>
  <c r="M20" i="6" s="1"/>
  <c r="I20" i="6" s="1"/>
  <c r="S20" i="6" s="1"/>
  <c r="K26" i="6"/>
  <c r="M26" i="6" s="1"/>
  <c r="I26" i="6" s="1"/>
  <c r="S26" i="6" s="1"/>
  <c r="K19" i="6"/>
  <c r="S6" i="1" s="1"/>
  <c r="K24" i="6"/>
  <c r="M24" i="6" s="1"/>
  <c r="I24" i="6" s="1"/>
  <c r="S24" i="6" s="1"/>
  <c r="K21" i="6"/>
  <c r="M21" i="6" s="1"/>
  <c r="I21" i="6" s="1"/>
  <c r="S21" i="6" s="1"/>
  <c r="K22" i="6"/>
  <c r="M22" i="6" s="1"/>
  <c r="I22" i="6" s="1"/>
  <c r="S22" i="6" s="1"/>
  <c r="K25" i="6"/>
  <c r="M25" i="6" s="1"/>
  <c r="I25" i="6" s="1"/>
  <c r="S25" i="6" s="1"/>
  <c r="K23" i="6"/>
  <c r="M23" i="6" s="1"/>
  <c r="I23" i="6" s="1"/>
  <c r="S23" i="6" s="1"/>
  <c r="E31" i="6"/>
  <c r="E147" i="3"/>
  <c r="E65" i="39"/>
  <c r="E257" i="3"/>
  <c r="T57" i="71"/>
  <c r="D57" i="71"/>
  <c r="T33" i="71"/>
  <c r="D33" i="71"/>
  <c r="B8" i="71"/>
  <c r="B7" i="71" s="1"/>
  <c r="B6" i="71" s="1"/>
  <c r="B5" i="71" s="1"/>
  <c r="S9" i="71"/>
  <c r="U7" i="37"/>
  <c r="E384" i="3"/>
  <c r="E162" i="3"/>
  <c r="C14" i="71"/>
  <c r="D15" i="71"/>
  <c r="E142" i="3"/>
  <c r="E156" i="3"/>
  <c r="E136" i="3"/>
  <c r="E302" i="3"/>
  <c r="E116" i="3"/>
  <c r="D28" i="71"/>
  <c r="C29" i="71"/>
  <c r="E396" i="3"/>
  <c r="E566" i="3"/>
  <c r="E294" i="3"/>
  <c r="E179" i="3"/>
  <c r="E12" i="71"/>
  <c r="E11" i="71" s="1"/>
  <c r="E10" i="71" s="1"/>
  <c r="E9" i="71" s="1"/>
  <c r="V13" i="71"/>
  <c r="E299" i="3"/>
  <c r="E168" i="3"/>
  <c r="Q63" i="71"/>
  <c r="Q62"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F25" i="12"/>
  <c r="F22" i="69"/>
  <c r="F41" i="69" s="1"/>
  <c r="F24" i="67"/>
  <c r="C24" i="67" s="1"/>
  <c r="F22" i="11"/>
  <c r="F22" i="68"/>
  <c r="F24" i="15"/>
  <c r="C24" i="15" s="1"/>
  <c r="C14" i="67"/>
  <c r="AE6" i="1"/>
  <c r="C17" i="67"/>
  <c r="C17" i="15"/>
  <c r="C16" i="15"/>
  <c r="C49" i="15" l="1"/>
  <c r="C48" i="15" s="1"/>
  <c r="C60" i="15" s="1"/>
  <c r="U10" i="40"/>
  <c r="F1" i="15"/>
  <c r="J10" i="15"/>
  <c r="J5" i="15" s="1"/>
  <c r="J26" i="15" s="1"/>
  <c r="Q61" i="15"/>
  <c r="C10" i="15"/>
  <c r="C5" i="15" s="1"/>
  <c r="C38" i="15" s="1"/>
  <c r="O16" i="1"/>
  <c r="P16" i="1"/>
  <c r="C11" i="12" s="1"/>
  <c r="C12" i="12" s="1"/>
  <c r="Q60" i="15"/>
  <c r="C18" i="67"/>
  <c r="C15" i="67"/>
  <c r="Q52" i="15"/>
  <c r="AY6" i="3"/>
  <c r="AY115" i="3" s="1"/>
  <c r="E6" i="70"/>
  <c r="E2" i="70" s="1"/>
  <c r="J26" i="67"/>
  <c r="C48" i="67"/>
  <c r="C66" i="67" s="1"/>
  <c r="AQ6" i="1"/>
  <c r="S16" i="1"/>
  <c r="AR6" i="1"/>
  <c r="T6" i="1"/>
  <c r="AC6" i="3"/>
  <c r="E6" i="3" s="1"/>
  <c r="H6" i="3"/>
  <c r="C38" i="11"/>
  <c r="C35" i="11"/>
  <c r="C35" i="68"/>
  <c r="C38" i="68"/>
  <c r="C13" i="71"/>
  <c r="D14" i="71"/>
  <c r="E8" i="71"/>
  <c r="E7" i="71" s="1"/>
  <c r="E6" i="71" s="1"/>
  <c r="E5" i="71" s="1"/>
  <c r="V9" i="71"/>
  <c r="T29" i="71"/>
  <c r="D29" i="71"/>
  <c r="AY83" i="3"/>
  <c r="AY66" i="3"/>
  <c r="AY23" i="3"/>
  <c r="AY176" i="3"/>
  <c r="AY155" i="3"/>
  <c r="AY188" i="3"/>
  <c r="AY131" i="3"/>
  <c r="AY276" i="3"/>
  <c r="AY58" i="3"/>
  <c r="AY297" i="3"/>
  <c r="AY268" i="3"/>
  <c r="AY335" i="3"/>
  <c r="AY318" i="3"/>
  <c r="AY470" i="3"/>
  <c r="AY428" i="3"/>
  <c r="AY409" i="3"/>
  <c r="AY106" i="3"/>
  <c r="AY228" i="3"/>
  <c r="AY395" i="3"/>
  <c r="AY358" i="3"/>
  <c r="AY342" i="3"/>
  <c r="AY465" i="3"/>
  <c r="AY452" i="3"/>
  <c r="BK6" i="3"/>
  <c r="AY569" i="3"/>
  <c r="AY541" i="3"/>
  <c r="AY553" i="3"/>
  <c r="AY108" i="3"/>
  <c r="AY77" i="3"/>
  <c r="AY28" i="3"/>
  <c r="AY206" i="3"/>
  <c r="AY201" i="3"/>
  <c r="AY170" i="3"/>
  <c r="AY138" i="3"/>
  <c r="AY149" i="3"/>
  <c r="AY294" i="3"/>
  <c r="AY263" i="3"/>
  <c r="AY231" i="3"/>
  <c r="AY246" i="3"/>
  <c r="AY214" i="3"/>
  <c r="AY392" i="3"/>
  <c r="AY554" i="3"/>
  <c r="BJ6" i="3"/>
  <c r="AY104" i="3"/>
  <c r="AY41" i="3"/>
  <c r="AY24" i="3"/>
  <c r="AY197" i="3"/>
  <c r="AY290" i="3"/>
  <c r="AY274" i="3"/>
  <c r="AY210" i="3"/>
  <c r="AY377" i="3"/>
  <c r="AY349" i="3"/>
  <c r="AY317" i="3"/>
  <c r="AY488" i="3"/>
  <c r="AY457" i="3"/>
  <c r="AY446" i="3"/>
  <c r="AY414" i="3"/>
  <c r="AY427" i="3"/>
  <c r="AY581" i="3"/>
  <c r="BF6" i="3"/>
  <c r="AY546" i="3"/>
  <c r="AY510" i="3"/>
  <c r="AY16" i="3"/>
  <c r="AY584" i="3"/>
  <c r="AY514" i="3"/>
  <c r="AY80" i="3"/>
  <c r="AY37" i="3"/>
  <c r="AY189" i="3"/>
  <c r="AY169" i="3"/>
  <c r="AY129" i="3"/>
  <c r="AY282" i="3"/>
  <c r="AY369" i="3"/>
  <c r="AY345" i="3"/>
  <c r="AY313" i="3"/>
  <c r="AY328" i="3"/>
  <c r="AY487" i="3"/>
  <c r="AY484" i="3"/>
  <c r="AY410" i="3"/>
  <c r="AY423" i="3"/>
  <c r="AY579" i="3"/>
  <c r="AY499" i="3"/>
  <c r="D3" i="6"/>
  <c r="AY502" i="3"/>
  <c r="AY531" i="3"/>
  <c r="BA6" i="3"/>
  <c r="AY94" i="3"/>
  <c r="AY78" i="3"/>
  <c r="AY35" i="3"/>
  <c r="AY187" i="3"/>
  <c r="AY280" i="3"/>
  <c r="AY264" i="3"/>
  <c r="AY221" i="3"/>
  <c r="AY376" i="3"/>
  <c r="AY331" i="3"/>
  <c r="AY314" i="3"/>
  <c r="AY405" i="3"/>
  <c r="AY517" i="3"/>
  <c r="AY512" i="3"/>
  <c r="AY587" i="3"/>
  <c r="AY86" i="3"/>
  <c r="AY70" i="3"/>
  <c r="AY159" i="3"/>
  <c r="AY119" i="3"/>
  <c r="AY273" i="3"/>
  <c r="AY256" i="3"/>
  <c r="AY213" i="3"/>
  <c r="AY367" i="3"/>
  <c r="AY459" i="3"/>
  <c r="AY416" i="3"/>
  <c r="AY550" i="3"/>
  <c r="AY103" i="3"/>
  <c r="AY67" i="3"/>
  <c r="AY50" i="3"/>
  <c r="AY139" i="3"/>
  <c r="AY289" i="3"/>
  <c r="AY74" i="3"/>
  <c r="AY183" i="3"/>
  <c r="AY123" i="3"/>
  <c r="AY261" i="3"/>
  <c r="AY252" i="3"/>
  <c r="AY209" i="3"/>
  <c r="AY363" i="3"/>
  <c r="AY319" i="3"/>
  <c r="AY489" i="3"/>
  <c r="AY455" i="3"/>
  <c r="AY43" i="3"/>
  <c r="AY116" i="3"/>
  <c r="AY229" i="3"/>
  <c r="AY212" i="3"/>
  <c r="AY379" i="3"/>
  <c r="AY343" i="3"/>
  <c r="AY436" i="3"/>
  <c r="AY417" i="3"/>
  <c r="AY557" i="3"/>
  <c r="AY573" i="3"/>
  <c r="AY540" i="3"/>
  <c r="AY539" i="3"/>
  <c r="AY69" i="3"/>
  <c r="AY84" i="3"/>
  <c r="AY52" i="3"/>
  <c r="AY20" i="3"/>
  <c r="AY198" i="3"/>
  <c r="AY193" i="3"/>
  <c r="AY141" i="3"/>
  <c r="AY134" i="3"/>
  <c r="AY291" i="3"/>
  <c r="AY286" i="3"/>
  <c r="AY255" i="3"/>
  <c r="AY270" i="3"/>
  <c r="AY384" i="3"/>
  <c r="AY373" i="3"/>
  <c r="AY368" i="3"/>
  <c r="AY507" i="3"/>
  <c r="BB6" i="3"/>
  <c r="AY88" i="3"/>
  <c r="AY181" i="3"/>
  <c r="AY161" i="3"/>
  <c r="AY121" i="3"/>
  <c r="AY275" i="3"/>
  <c r="AY258" i="3"/>
  <c r="AY215" i="3"/>
  <c r="AY309" i="3"/>
  <c r="AY324" i="3"/>
  <c r="AY483" i="3"/>
  <c r="AY480" i="3"/>
  <c r="AY449" i="3"/>
  <c r="AY438" i="3"/>
  <c r="AY503" i="3"/>
  <c r="AY580" i="3"/>
  <c r="AY572" i="3"/>
  <c r="AY536" i="3"/>
  <c r="AY520" i="3"/>
  <c r="AY552" i="3"/>
  <c r="AY496" i="3"/>
  <c r="AY523" i="3"/>
  <c r="AY81" i="3"/>
  <c r="AY64" i="3"/>
  <c r="AY21" i="3"/>
  <c r="AY174" i="3"/>
  <c r="AY267" i="3"/>
  <c r="AY250" i="3"/>
  <c r="AY396" i="3"/>
  <c r="AY361" i="3"/>
  <c r="AY337" i="3"/>
  <c r="AY305" i="3"/>
  <c r="AY476" i="3"/>
  <c r="AY445" i="3"/>
  <c r="AY434" i="3"/>
  <c r="AY402" i="3"/>
  <c r="AY415" i="3"/>
  <c r="AY505" i="3"/>
  <c r="AY515" i="3"/>
  <c r="AY551" i="3"/>
  <c r="AY545" i="3"/>
  <c r="BP6" i="3"/>
  <c r="AY493" i="3"/>
  <c r="AY79" i="3"/>
  <c r="AY172" i="3"/>
  <c r="AY151" i="3"/>
  <c r="AY301" i="3"/>
  <c r="AY265" i="3"/>
  <c r="AY248" i="3"/>
  <c r="AY394" i="3"/>
  <c r="AY485" i="3"/>
  <c r="AY451" i="3"/>
  <c r="AY408" i="3"/>
  <c r="AY500" i="3"/>
  <c r="AY547" i="3"/>
  <c r="AY568" i="3"/>
  <c r="AY54" i="3"/>
  <c r="AY200" i="3"/>
  <c r="AY164" i="3"/>
  <c r="AY143" i="3"/>
  <c r="AY293" i="3"/>
  <c r="AY257" i="3"/>
  <c r="AY351" i="3"/>
  <c r="AY307" i="3"/>
  <c r="AY82" i="3"/>
  <c r="AY191" i="3"/>
  <c r="AY132" i="3"/>
  <c r="AY31" i="3"/>
  <c r="AY220" i="3"/>
  <c r="AY350" i="3"/>
  <c r="AY486" i="3"/>
  <c r="AY425" i="3"/>
  <c r="AY199" i="3"/>
  <c r="AY244" i="3"/>
  <c r="AY404" i="3"/>
  <c r="AY562" i="3"/>
  <c r="BO6" i="3"/>
  <c r="AY89" i="3"/>
  <c r="AY53" i="3"/>
  <c r="AY36" i="3"/>
  <c r="AY126" i="3"/>
  <c r="AY302" i="3"/>
  <c r="AY239" i="3"/>
  <c r="AY222" i="3"/>
  <c r="AY389" i="3"/>
  <c r="BS6" i="3"/>
  <c r="AY150" i="3"/>
  <c r="AY279" i="3"/>
  <c r="AY226" i="3"/>
  <c r="AY356" i="3"/>
  <c r="AY340" i="3"/>
  <c r="AY467" i="3"/>
  <c r="AY525" i="3"/>
  <c r="BN6" i="3"/>
  <c r="AY518" i="3"/>
  <c r="AY508" i="3"/>
  <c r="AY577" i="3"/>
  <c r="AY49" i="3"/>
  <c r="AY235" i="3"/>
  <c r="AY385" i="3"/>
  <c r="AY321" i="3"/>
  <c r="AY304" i="3"/>
  <c r="AY461" i="3"/>
  <c r="AY418" i="3"/>
  <c r="AY537" i="3"/>
  <c r="AY548" i="3"/>
  <c r="AY110" i="3"/>
  <c r="AY30" i="3"/>
  <c r="AY140" i="3"/>
  <c r="AY296" i="3"/>
  <c r="AY482" i="3"/>
  <c r="AY421" i="3"/>
  <c r="AY528" i="3"/>
  <c r="AY102" i="3"/>
  <c r="AY22" i="3"/>
  <c r="AY175" i="3"/>
  <c r="AY339" i="3"/>
  <c r="AY490" i="3"/>
  <c r="AY432" i="3"/>
  <c r="AY521" i="3"/>
  <c r="AY566" i="3"/>
  <c r="BT6" i="3"/>
  <c r="AY144" i="3"/>
  <c r="AY95" i="3"/>
  <c r="AY152" i="3"/>
  <c r="AY111" i="3"/>
  <c r="AY253" i="3"/>
  <c r="AY382" i="3"/>
  <c r="AY529" i="3"/>
  <c r="AY300" i="3"/>
  <c r="AY217" i="3"/>
  <c r="AY327" i="3"/>
  <c r="AY463" i="3"/>
  <c r="AY401" i="3"/>
  <c r="AY92" i="3"/>
  <c r="AY76" i="3"/>
  <c r="AY33" i="3"/>
  <c r="AY185" i="3"/>
  <c r="AY165" i="3"/>
  <c r="AY125" i="3"/>
  <c r="AY219" i="3"/>
  <c r="AY374" i="3"/>
  <c r="BH6" i="3"/>
  <c r="AY73" i="3"/>
  <c r="AY202" i="3"/>
  <c r="AY145" i="3"/>
  <c r="AY333" i="3"/>
  <c r="AY316" i="3"/>
  <c r="AY472" i="3"/>
  <c r="AY430" i="3"/>
  <c r="AY411" i="3"/>
  <c r="AY585" i="3"/>
  <c r="AY494" i="3"/>
  <c r="AY101" i="3"/>
  <c r="AY48" i="3"/>
  <c r="AY158" i="3"/>
  <c r="AY287" i="3"/>
  <c r="AY234" i="3"/>
  <c r="AY471" i="3"/>
  <c r="AY458" i="3"/>
  <c r="AY439" i="3"/>
  <c r="AY506" i="3"/>
  <c r="AY524" i="3"/>
  <c r="AY542" i="3"/>
  <c r="AY192" i="3"/>
  <c r="AY135" i="3"/>
  <c r="AY249" i="3"/>
  <c r="AY378" i="3"/>
  <c r="AY346" i="3"/>
  <c r="AY456" i="3"/>
  <c r="AY55" i="3"/>
  <c r="AY184" i="3"/>
  <c r="AY128" i="3"/>
  <c r="AY241" i="3"/>
  <c r="AY391" i="3"/>
  <c r="AY338" i="3"/>
  <c r="BD6" i="3"/>
  <c r="AY511" i="3"/>
  <c r="AY586" i="3"/>
  <c r="AY98" i="3"/>
  <c r="AY18" i="3"/>
  <c r="AY171" i="3"/>
  <c r="AY75" i="3"/>
  <c r="AY237" i="3"/>
  <c r="AY387" i="3"/>
  <c r="AY334" i="3"/>
  <c r="AY444" i="3"/>
  <c r="AY526" i="3"/>
  <c r="AY311" i="3"/>
  <c r="AY447" i="3"/>
  <c r="AY535" i="3"/>
  <c r="AY574" i="3"/>
  <c r="AY555" i="3"/>
  <c r="AY85" i="3"/>
  <c r="AY178" i="3"/>
  <c r="AY157" i="3"/>
  <c r="AY117" i="3"/>
  <c r="AY271" i="3"/>
  <c r="AY254" i="3"/>
  <c r="AY211" i="3"/>
  <c r="AY57" i="3"/>
  <c r="AY186" i="3"/>
  <c r="AY130" i="3"/>
  <c r="AY243" i="3"/>
  <c r="AY393" i="3"/>
  <c r="AY325" i="3"/>
  <c r="AY422" i="3"/>
  <c r="AY403" i="3"/>
  <c r="AY516" i="3"/>
  <c r="AY527" i="3"/>
  <c r="AY559" i="3"/>
  <c r="AY556" i="3"/>
  <c r="AY112" i="3"/>
  <c r="AY142" i="3"/>
  <c r="AY298" i="3"/>
  <c r="AY218" i="3"/>
  <c r="AY352" i="3"/>
  <c r="AY336" i="3"/>
  <c r="AY492" i="3"/>
  <c r="AY450" i="3"/>
  <c r="AY17" i="3"/>
  <c r="AY575" i="3"/>
  <c r="AY530" i="3"/>
  <c r="AY563" i="3"/>
  <c r="AY47" i="3"/>
  <c r="AY203" i="3"/>
  <c r="AY120" i="3"/>
  <c r="AY383" i="3"/>
  <c r="AY330" i="3"/>
  <c r="AY440" i="3"/>
  <c r="AY13" i="3"/>
  <c r="AY576" i="3"/>
  <c r="AY39" i="3"/>
  <c r="AY195" i="3"/>
  <c r="AY272" i="3"/>
  <c r="AY375" i="3"/>
  <c r="AY322" i="3"/>
  <c r="AY443" i="3"/>
  <c r="AY429" i="3"/>
  <c r="AY15" i="3"/>
  <c r="AY583"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77" i="3"/>
  <c r="AY448" i="3"/>
  <c r="AY413" i="3"/>
  <c r="BC6" i="3"/>
  <c r="AY504" i="3"/>
  <c r="AY498" i="3"/>
  <c r="M19" i="6"/>
  <c r="K27" i="6"/>
  <c r="D3" i="21"/>
  <c r="D37" i="11"/>
  <c r="C37" i="11" s="1"/>
  <c r="M18" i="9"/>
  <c r="B118" i="9" s="1"/>
  <c r="B14" i="74" s="1"/>
  <c r="B1" i="74" s="1"/>
  <c r="D3" i="33"/>
  <c r="C17" i="4"/>
  <c r="B4" i="52" s="1"/>
  <c r="B43" i="72" s="1"/>
  <c r="L18" i="9"/>
  <c r="D19" i="11"/>
  <c r="C19" i="11" s="1"/>
  <c r="C24" i="11" s="1"/>
  <c r="D3" i="37"/>
  <c r="D3" i="34"/>
  <c r="E6" i="6"/>
  <c r="D14" i="12"/>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F41" i="67"/>
  <c r="F41" i="15"/>
  <c r="B6" i="76"/>
  <c r="E6" i="76"/>
  <c r="C14" i="15"/>
  <c r="J24" i="15" l="1"/>
  <c r="C15" i="12"/>
  <c r="C19" i="67"/>
  <c r="C20" i="67" s="1"/>
  <c r="C26" i="67" s="1"/>
  <c r="AY567" i="3"/>
  <c r="AY136" i="3"/>
  <c r="AY233" i="3"/>
  <c r="AY431" i="3"/>
  <c r="AY32" i="3"/>
  <c r="AY464" i="3"/>
  <c r="BI6" i="3"/>
  <c r="AY25" i="3"/>
  <c r="AY390" i="3"/>
  <c r="AY163" i="3"/>
  <c r="AY400" i="3"/>
  <c r="BL6" i="3"/>
  <c r="AY63" i="3"/>
  <c r="AY344" i="3"/>
  <c r="BG6" i="3"/>
  <c r="AY388" i="3"/>
  <c r="AY262" i="3"/>
  <c r="BE6" i="3"/>
  <c r="AY460" i="3"/>
  <c r="AY34" i="3"/>
  <c r="AY208" i="3"/>
  <c r="AY347" i="3"/>
  <c r="AY564" i="3"/>
  <c r="AY122" i="3"/>
  <c r="AY435" i="3"/>
  <c r="AY40" i="3"/>
  <c r="AY146" i="3"/>
  <c r="AY481" i="3"/>
  <c r="AY147" i="3"/>
  <c r="AY386" i="3"/>
  <c r="AY71" i="3"/>
  <c r="AY315" i="3"/>
  <c r="AY19" i="3"/>
  <c r="AY522" i="3"/>
  <c r="AY479" i="3"/>
  <c r="AY113" i="3"/>
  <c r="AY532" i="3"/>
  <c r="AY419" i="3"/>
  <c r="AY341" i="3"/>
  <c r="AY29" i="3"/>
  <c r="AY227" i="3"/>
  <c r="AY173" i="3"/>
  <c r="AY100" i="3"/>
  <c r="AY478" i="3"/>
  <c r="AY497" i="3"/>
  <c r="AY284" i="3"/>
  <c r="AY160" i="3"/>
  <c r="AY306" i="3"/>
  <c r="AY179" i="3"/>
  <c r="AY424" i="3"/>
  <c r="AY127" i="3"/>
  <c r="BR6" i="3"/>
  <c r="AY442" i="3"/>
  <c r="AY223" i="3"/>
  <c r="AY96" i="3"/>
  <c r="AY561" i="3"/>
  <c r="AY491" i="3"/>
  <c r="AY114" i="3"/>
  <c r="AY357" i="3"/>
  <c r="AY299" i="3"/>
  <c r="AY60" i="3"/>
  <c r="AY513" i="3"/>
  <c r="AY245" i="3"/>
  <c r="AY371" i="3"/>
  <c r="AY59" i="3"/>
  <c r="AY308" i="3"/>
  <c r="AY365" i="3"/>
  <c r="AY68" i="3"/>
  <c r="AY269" i="3"/>
  <c r="AY90" i="3"/>
  <c r="AY474" i="3"/>
  <c r="AY558" i="3"/>
  <c r="AY578" i="3"/>
  <c r="AY364" i="3"/>
  <c r="AY571" i="3"/>
  <c r="AY259" i="3"/>
  <c r="AY278" i="3"/>
  <c r="AY544" i="3"/>
  <c r="AY303" i="3"/>
  <c r="AY87" i="3"/>
  <c r="AY288" i="3"/>
  <c r="AY216" i="3"/>
  <c r="AY399" i="3"/>
  <c r="AY205" i="3"/>
  <c r="AY454" i="3"/>
  <c r="AY93" i="3"/>
  <c r="AY182" i="3"/>
  <c r="AY355" i="3"/>
  <c r="AY292" i="3"/>
  <c r="AY240" i="3"/>
  <c r="AY107" i="3"/>
  <c r="AY359" i="3"/>
  <c r="AY62" i="3"/>
  <c r="AY538" i="3"/>
  <c r="AY320" i="3"/>
  <c r="AY153" i="3"/>
  <c r="AY543" i="3"/>
  <c r="AY406" i="3"/>
  <c r="AY370" i="3"/>
  <c r="AY72" i="3"/>
  <c r="AY238" i="3"/>
  <c r="AY162" i="3"/>
  <c r="AY105" i="3"/>
  <c r="AY326" i="3"/>
  <c r="AY412" i="3"/>
  <c r="AY204" i="3"/>
  <c r="AY196" i="3"/>
  <c r="AY323" i="3"/>
  <c r="AY27" i="3"/>
  <c r="AY466" i="3"/>
  <c r="AY167" i="3"/>
  <c r="AY509" i="3"/>
  <c r="AY453" i="3"/>
  <c r="AY266" i="3"/>
  <c r="AY519" i="3"/>
  <c r="BM6" i="3"/>
  <c r="AY332" i="3"/>
  <c r="AY177" i="3"/>
  <c r="AY381" i="3"/>
  <c r="AY118" i="3"/>
  <c r="AY45" i="3"/>
  <c r="AY433" i="3"/>
  <c r="AY180" i="3"/>
  <c r="AY225" i="3"/>
  <c r="F69" i="67"/>
  <c r="J29" i="67"/>
  <c r="C18" i="15"/>
  <c r="C15" i="15"/>
  <c r="T16" i="1"/>
  <c r="F69" i="15"/>
  <c r="J29" i="15"/>
  <c r="C66" i="15"/>
  <c r="C60" i="67"/>
  <c r="C33" i="11"/>
  <c r="D17" i="12"/>
  <c r="C17" i="12" s="1"/>
  <c r="C14" i="12"/>
  <c r="D10" i="68"/>
  <c r="D10" i="69"/>
  <c r="D10" i="11"/>
  <c r="C10" i="11" s="1"/>
  <c r="D20" i="12"/>
  <c r="C20" i="12" s="1"/>
  <c r="C20" i="11"/>
  <c r="C25" i="11" s="1"/>
  <c r="C22" i="11" s="1"/>
  <c r="C7" i="74"/>
  <c r="C8" i="74"/>
  <c r="I19" i="6"/>
  <c r="H19" i="6" s="1"/>
  <c r="M27" i="6"/>
  <c r="B2" i="34"/>
  <c r="B3" i="34" s="1"/>
  <c r="M19" i="9"/>
  <c r="C118" i="9" s="1"/>
  <c r="C14" i="74" s="1"/>
  <c r="B2" i="74" s="1"/>
  <c r="D26" i="6"/>
  <c r="D8" i="6"/>
  <c r="D14" i="6"/>
  <c r="D5" i="6"/>
  <c r="D11" i="6"/>
  <c r="D28" i="6"/>
  <c r="D30" i="6" s="1"/>
  <c r="H26" i="6"/>
  <c r="D15" i="6"/>
  <c r="D21" i="6"/>
  <c r="D20" i="6"/>
  <c r="D6" i="6"/>
  <c r="D10" i="6"/>
  <c r="D29" i="6"/>
  <c r="H22" i="6"/>
  <c r="H24" i="6"/>
  <c r="H20" i="6"/>
  <c r="D19" i="6"/>
  <c r="C18" i="4"/>
  <c r="D23" i="6"/>
  <c r="D12" i="6"/>
  <c r="D13" i="6"/>
  <c r="E61" i="40"/>
  <c r="H23" i="6"/>
  <c r="D25" i="6"/>
  <c r="D22" i="6"/>
  <c r="D24" i="6"/>
  <c r="D9" i="6"/>
  <c r="L19" i="9"/>
  <c r="H25" i="6"/>
  <c r="H21" i="6"/>
  <c r="C12" i="71"/>
  <c r="T13" i="71"/>
  <c r="D13" i="71"/>
  <c r="U13" i="71" s="1"/>
  <c r="H69" i="39"/>
  <c r="I67" i="39"/>
  <c r="E2" i="76"/>
  <c r="G65" i="40"/>
  <c r="H63" i="40"/>
  <c r="C43" i="37"/>
  <c r="B2" i="37" s="1"/>
  <c r="B3" i="37" s="1"/>
  <c r="C42" i="37"/>
  <c r="I48" i="35"/>
  <c r="C48" i="33"/>
  <c r="C49" i="33"/>
  <c r="B2" i="33" s="1"/>
  <c r="H58" i="21"/>
  <c r="E47" i="37"/>
  <c r="F47" i="37" s="1"/>
  <c r="E46" i="37"/>
  <c r="F46" i="37" s="1"/>
  <c r="I47" i="37"/>
  <c r="J47" i="37" s="1"/>
  <c r="E53" i="33"/>
  <c r="F53" i="33" s="1"/>
  <c r="E52" i="33"/>
  <c r="F52" i="33" s="1"/>
  <c r="B2" i="76"/>
  <c r="B3" i="43"/>
  <c r="C33" i="15"/>
  <c r="C33" i="67"/>
  <c r="J59" i="67"/>
  <c r="J60" i="67" s="1"/>
  <c r="C16" i="12" l="1"/>
  <c r="C23" i="67"/>
  <c r="C29" i="67" s="1"/>
  <c r="C13" i="67" s="1"/>
  <c r="C56" i="67" s="1"/>
  <c r="C65" i="67" s="1"/>
  <c r="D16" i="6"/>
  <c r="C19" i="15"/>
  <c r="C20" i="15" s="1"/>
  <c r="C26" i="15" s="1"/>
  <c r="B3" i="33"/>
  <c r="H27" i="6"/>
  <c r="C39" i="11"/>
  <c r="C42" i="11"/>
  <c r="R26" i="6"/>
  <c r="R22" i="6"/>
  <c r="R21" i="6"/>
  <c r="R19" i="6"/>
  <c r="D27" i="6"/>
  <c r="D31" i="6" s="1"/>
  <c r="C10" i="69"/>
  <c r="D19" i="69"/>
  <c r="D12" i="71"/>
  <c r="C11" i="71"/>
  <c r="R25" i="6"/>
  <c r="S19" i="6"/>
  <c r="S27" i="6" s="1"/>
  <c r="I27" i="6"/>
  <c r="C28" i="11"/>
  <c r="C27" i="11" s="1"/>
  <c r="C31" i="11" s="1"/>
  <c r="C10" i="68"/>
  <c r="D19" i="68"/>
  <c r="R23" i="6"/>
  <c r="D7" i="74"/>
  <c r="D8" i="74"/>
  <c r="R24" i="6"/>
  <c r="A7" i="51"/>
  <c r="B7" i="72" s="1"/>
  <c r="A10" i="51"/>
  <c r="B9" i="72" s="1"/>
  <c r="C4" i="52"/>
  <c r="B45" i="72" s="1"/>
  <c r="R20" i="6"/>
  <c r="I69" i="39"/>
  <c r="J67" i="39"/>
  <c r="B3" i="76"/>
  <c r="I63" i="40"/>
  <c r="H65" i="40"/>
  <c r="I58" i="21"/>
  <c r="J58" i="21" s="1"/>
  <c r="K58" i="21" s="1"/>
  <c r="L58" i="21" s="1"/>
  <c r="M58" i="21" s="1"/>
  <c r="N58" i="21" s="1"/>
  <c r="O58" i="21" s="1"/>
  <c r="H7" i="21" s="1"/>
  <c r="J7" i="21"/>
  <c r="F7" i="21"/>
  <c r="J48" i="35"/>
  <c r="Q48" i="67"/>
  <c r="C37" i="67" l="1"/>
  <c r="C75" i="67"/>
  <c r="Q70" i="67"/>
  <c r="C57" i="67"/>
  <c r="C61" i="67" s="1"/>
  <c r="J19" i="67"/>
  <c r="C36" i="67"/>
  <c r="J14" i="67"/>
  <c r="J22" i="67" s="1"/>
  <c r="Q49" i="67"/>
  <c r="C8" i="69"/>
  <c r="C23" i="15"/>
  <c r="C29" i="15" s="1"/>
  <c r="J59" i="15" s="1"/>
  <c r="J60" i="15" s="1"/>
  <c r="Q48" i="15" s="1"/>
  <c r="R27" i="6"/>
  <c r="R6" i="1"/>
  <c r="C46" i="11"/>
  <c r="C45" i="11" s="1"/>
  <c r="C43" i="11"/>
  <c r="C41" i="11" s="1"/>
  <c r="C19" i="68"/>
  <c r="D37" i="68"/>
  <c r="C37" i="68" s="1"/>
  <c r="C33" i="68" s="1"/>
  <c r="D11" i="71"/>
  <c r="C10" i="71"/>
  <c r="I6" i="6"/>
  <c r="I5" i="6"/>
  <c r="C19" i="69"/>
  <c r="C24" i="69" s="1"/>
  <c r="D37" i="69"/>
  <c r="C37" i="69" s="1"/>
  <c r="C33" i="69" s="1"/>
  <c r="J69" i="39"/>
  <c r="K67" i="39"/>
  <c r="U7" i="21"/>
  <c r="AB7" i="21"/>
  <c r="T48" i="21" s="1"/>
  <c r="G48" i="21" s="1"/>
  <c r="S7" i="21"/>
  <c r="AA7" i="21"/>
  <c r="R48" i="21" s="1"/>
  <c r="J63" i="40"/>
  <c r="I65" i="40"/>
  <c r="K48" i="35"/>
  <c r="L48" i="35" s="1"/>
  <c r="M48" i="35" s="1"/>
  <c r="N48" i="35" s="1"/>
  <c r="O48" i="35" s="1"/>
  <c r="H7" i="35" s="1"/>
  <c r="J7" i="35"/>
  <c r="AC7" i="21"/>
  <c r="V48" i="21" s="1"/>
  <c r="I48" i="21" s="1"/>
  <c r="W7" i="21"/>
  <c r="F35" i="15"/>
  <c r="M21" i="67"/>
  <c r="F35" i="67"/>
  <c r="M21" i="15"/>
  <c r="C64" i="67" l="1"/>
  <c r="J13" i="67"/>
  <c r="J23" i="67" s="1"/>
  <c r="C8" i="68"/>
  <c r="C18" i="12"/>
  <c r="C21" i="12" s="1"/>
  <c r="C22" i="12" s="1"/>
  <c r="C27" i="12" s="1"/>
  <c r="C25" i="12" s="1"/>
  <c r="F63" i="67"/>
  <c r="C62" i="67" s="1"/>
  <c r="C59" i="67" s="1"/>
  <c r="C58" i="67" s="1"/>
  <c r="C67" i="67" s="1"/>
  <c r="C68" i="67" s="1"/>
  <c r="C71" i="67" s="1"/>
  <c r="C34" i="67"/>
  <c r="C31" i="67" s="1"/>
  <c r="C30" i="67" s="1"/>
  <c r="C39" i="67" s="1"/>
  <c r="J20" i="67"/>
  <c r="J17" i="67" s="1"/>
  <c r="J19" i="15"/>
  <c r="C57" i="15"/>
  <c r="C61" i="15" s="1"/>
  <c r="J14" i="15"/>
  <c r="J13" i="15" s="1"/>
  <c r="J23" i="15" s="1"/>
  <c r="Q49" i="15"/>
  <c r="C36" i="15"/>
  <c r="C13" i="15"/>
  <c r="C75" i="15" s="1"/>
  <c r="C34" i="15"/>
  <c r="C31" i="15" s="1"/>
  <c r="F63" i="15"/>
  <c r="C62" i="15" s="1"/>
  <c r="J20" i="15"/>
  <c r="R16" i="1"/>
  <c r="C49" i="11"/>
  <c r="C51" i="11" s="1"/>
  <c r="C52" i="11" s="1"/>
  <c r="B2" i="11" s="1"/>
  <c r="B3" i="11" s="1"/>
  <c r="C39" i="69"/>
  <c r="C43" i="69" s="1"/>
  <c r="C42" i="69"/>
  <c r="D10" i="71"/>
  <c r="C9" i="71"/>
  <c r="C39" i="68"/>
  <c r="C42" i="68"/>
  <c r="C24" i="68"/>
  <c r="L67" i="39"/>
  <c r="K69" i="39"/>
  <c r="W7" i="35"/>
  <c r="AC7" i="35"/>
  <c r="V38" i="35" s="1"/>
  <c r="I38" i="35" s="1"/>
  <c r="J65" i="40"/>
  <c r="K63" i="40"/>
  <c r="I52" i="21"/>
  <c r="J52" i="21" s="1"/>
  <c r="U7" i="35"/>
  <c r="AB7" i="35"/>
  <c r="T38" i="35" s="1"/>
  <c r="G38" i="35" s="1"/>
  <c r="R49" i="21"/>
  <c r="E48" i="21"/>
  <c r="G52" i="21"/>
  <c r="H52" i="21" s="1"/>
  <c r="G53" i="21"/>
  <c r="H53" i="21" s="1"/>
  <c r="F7" i="35"/>
  <c r="L51" i="67"/>
  <c r="J16" i="67" l="1"/>
  <c r="J25" i="67" s="1"/>
  <c r="C30" i="12"/>
  <c r="C28" i="12" s="1"/>
  <c r="C32" i="12" s="1"/>
  <c r="B2" i="12" s="1"/>
  <c r="B3" i="12" s="1"/>
  <c r="J22" i="15"/>
  <c r="C37" i="15"/>
  <c r="C30" i="15" s="1"/>
  <c r="C39" i="15" s="1"/>
  <c r="C80" i="15" s="1"/>
  <c r="C79" i="15" s="1"/>
  <c r="Q67" i="67"/>
  <c r="L57" i="67"/>
  <c r="L60" i="67" s="1"/>
  <c r="L46" i="67" s="1"/>
  <c r="J17" i="15"/>
  <c r="Q70" i="15"/>
  <c r="C64" i="15"/>
  <c r="C56" i="15"/>
  <c r="C65" i="15" s="1"/>
  <c r="Q69" i="67"/>
  <c r="Q68" i="67" s="1"/>
  <c r="C40" i="67"/>
  <c r="C80" i="67"/>
  <c r="C79" i="67" s="1"/>
  <c r="C59" i="15"/>
  <c r="L57" i="15"/>
  <c r="L60" i="15" s="1"/>
  <c r="L46" i="15" s="1"/>
  <c r="C56" i="11"/>
  <c r="C57" i="11" s="1"/>
  <c r="C46" i="69"/>
  <c r="C45" i="69" s="1"/>
  <c r="C41" i="69"/>
  <c r="C8" i="71"/>
  <c r="T9" i="71"/>
  <c r="D9" i="71"/>
  <c r="U9" i="71"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J16" i="15" l="1"/>
  <c r="J25" i="15" s="1"/>
  <c r="C58" i="15"/>
  <c r="C67" i="15" s="1"/>
  <c r="C68" i="15" s="1"/>
  <c r="C71" i="15" s="1"/>
  <c r="C40" i="15"/>
  <c r="Q56" i="15" s="1"/>
  <c r="Q57" i="67"/>
  <c r="Q66" i="67"/>
  <c r="C43" i="67"/>
  <c r="Q65" i="67"/>
  <c r="Q47" i="67"/>
  <c r="Q53" i="67" s="1"/>
  <c r="D2" i="67"/>
  <c r="C83" i="67"/>
  <c r="C82" i="67" s="1"/>
  <c r="C45" i="67"/>
  <c r="C46" i="67" s="1"/>
  <c r="Q56" i="67"/>
  <c r="Q67" i="15"/>
  <c r="Q69" i="15"/>
  <c r="Q68" i="15" s="1"/>
  <c r="Q66" i="15"/>
  <c r="Q57" i="15"/>
  <c r="C49" i="69"/>
  <c r="C51" i="69" s="1"/>
  <c r="C49" i="68"/>
  <c r="C51" i="68" s="1"/>
  <c r="C7" i="71"/>
  <c r="D8" i="71"/>
  <c r="M69" i="39"/>
  <c r="N67" i="39"/>
  <c r="R39" i="35"/>
  <c r="E38" i="35"/>
  <c r="M63" i="40"/>
  <c r="L65" i="40"/>
  <c r="Q47" i="15" l="1"/>
  <c r="Q53" i="15" s="1"/>
  <c r="B2" i="15"/>
  <c r="B3" i="15" s="1"/>
  <c r="C43" i="15"/>
  <c r="Q65" i="15"/>
  <c r="Q75" i="15" s="1"/>
  <c r="C83" i="15"/>
  <c r="C82" i="15" s="1"/>
  <c r="C46" i="15"/>
  <c r="Q75" i="67"/>
  <c r="B3" i="67"/>
  <c r="B2" i="67"/>
  <c r="Q62" i="67"/>
  <c r="Q62" i="15"/>
  <c r="D7" i="71"/>
  <c r="C6" i="71"/>
  <c r="O67" i="39"/>
  <c r="O69" i="39" s="1"/>
  <c r="N69" i="39"/>
  <c r="F7" i="39"/>
  <c r="C39" i="35"/>
  <c r="B2" i="35" s="1"/>
  <c r="B3" i="35" s="1"/>
  <c r="C38" i="35"/>
  <c r="N63" i="40"/>
  <c r="M65" i="40"/>
  <c r="E43" i="35"/>
  <c r="F43" i="35" s="1"/>
  <c r="E42" i="35"/>
  <c r="F42" i="35" s="1"/>
  <c r="I43" i="35"/>
  <c r="J43" i="35" s="1"/>
  <c r="AO6" i="1"/>
  <c r="D19" i="9"/>
  <c r="D20" i="9"/>
  <c r="D102" i="9" l="1"/>
  <c r="D21" i="9"/>
  <c r="B6" i="70"/>
  <c r="B2" i="70" s="1"/>
  <c r="B3" i="70" s="1"/>
  <c r="D103" i="9"/>
  <c r="C5" i="71"/>
  <c r="D6" i="71"/>
  <c r="H7" i="39"/>
  <c r="J7" i="39"/>
  <c r="S7" i="39"/>
  <c r="AA7" i="39"/>
  <c r="R47" i="39" s="1"/>
  <c r="O63" i="40"/>
  <c r="O65" i="40" s="1"/>
  <c r="N65" i="40"/>
  <c r="D5" i="71" l="1"/>
  <c r="M20" i="43"/>
  <c r="W7" i="39"/>
  <c r="AC7" i="39"/>
  <c r="V47" i="39" s="1"/>
  <c r="I47" i="39" s="1"/>
  <c r="E47" i="39"/>
  <c r="U7" i="39"/>
  <c r="AB7" i="39"/>
  <c r="T47" i="39" s="1"/>
  <c r="G47" i="39" s="1"/>
  <c r="J7" i="40"/>
  <c r="F7" i="40"/>
  <c r="H7" i="40"/>
  <c r="R48" i="39" l="1"/>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7" i="69"/>
  <c r="C5" i="69" s="1"/>
  <c r="C23" i="68" l="1"/>
  <c r="C20" i="68"/>
  <c r="C25" i="68" s="1"/>
  <c r="C23" i="69"/>
  <c r="C20" i="69"/>
  <c r="C28" i="68" l="1"/>
  <c r="C27" i="68" s="1"/>
  <c r="C28" i="69"/>
  <c r="C27" i="69" s="1"/>
  <c r="C25" i="69"/>
  <c r="C22" i="69" s="1"/>
  <c r="C22" i="68"/>
  <c r="C31" i="69" l="1"/>
  <c r="C52" i="69" s="1"/>
  <c r="B2" i="69" s="1"/>
  <c r="C31" i="68"/>
  <c r="C52" i="68" s="1"/>
  <c r="B2" i="68" s="1"/>
  <c r="B3" i="68" s="1"/>
  <c r="C19" i="9"/>
  <c r="C102" i="9" l="1"/>
  <c r="C21" i="9"/>
  <c r="G19" i="9"/>
  <c r="G21" i="9" s="1"/>
  <c r="D22" i="9"/>
  <c r="B3" i="69"/>
  <c r="C57" i="69"/>
  <c r="C56" i="69" s="1"/>
  <c r="C57" i="68"/>
  <c r="C56" i="68" s="1"/>
  <c r="C20" i="9"/>
  <c r="C103" i="9" l="1"/>
  <c r="G20" i="9"/>
  <c r="R24" i="31" l="1"/>
  <c r="C32" i="9"/>
  <c r="C35" i="9" s="1"/>
  <c r="C34" i="9" s="1"/>
  <c r="R61" i="31" l="1"/>
  <c r="S61" i="31" s="1"/>
  <c r="S24" i="31"/>
  <c r="R65" i="31"/>
  <c r="S65" i="31" s="1"/>
  <c r="R84" i="31"/>
  <c r="S84" i="31" s="1"/>
  <c r="R87" i="31"/>
  <c r="S87" i="31" s="1"/>
  <c r="R102" i="31"/>
  <c r="S102" i="31" s="1"/>
  <c r="R38" i="31"/>
  <c r="S38" i="31" s="1"/>
  <c r="R72" i="31"/>
  <c r="S72" i="31" s="1"/>
  <c r="R27" i="31"/>
  <c r="S27" i="31" s="1"/>
  <c r="R36" i="31"/>
  <c r="S36" i="31" s="1"/>
  <c r="R45" i="31"/>
  <c r="S45" i="31" s="1"/>
  <c r="R64" i="31"/>
  <c r="S64" i="31" s="1"/>
  <c r="R67" i="31"/>
  <c r="S67" i="31" s="1"/>
  <c r="R82" i="31"/>
  <c r="S82" i="31" s="1"/>
  <c r="R32" i="31"/>
  <c r="S32" i="31" s="1"/>
  <c r="R41" i="31"/>
  <c r="S41" i="31" s="1"/>
  <c r="R60" i="31"/>
  <c r="S60" i="31" s="1"/>
  <c r="R63" i="31"/>
  <c r="S63" i="31" s="1"/>
  <c r="R78" i="31"/>
  <c r="S78" i="31" s="1"/>
  <c r="R85" i="31"/>
  <c r="S85" i="31" s="1"/>
  <c r="R28" i="31"/>
  <c r="S28" i="31" s="1"/>
  <c r="R42" i="31"/>
  <c r="S42" i="31" s="1"/>
  <c r="R40" i="31"/>
  <c r="S40" i="31" s="1"/>
  <c r="R49" i="31"/>
  <c r="S49" i="31" s="1"/>
  <c r="R68" i="31"/>
  <c r="S68" i="31" s="1"/>
  <c r="R71" i="31"/>
  <c r="S71" i="31" s="1"/>
  <c r="R86" i="31"/>
  <c r="S86" i="31" s="1"/>
  <c r="R101" i="31"/>
  <c r="S101" i="31" s="1"/>
  <c r="R56" i="31"/>
  <c r="S56" i="31" s="1"/>
  <c r="R74" i="31"/>
  <c r="S74" i="31" s="1"/>
  <c r="R29" i="31"/>
  <c r="S29" i="31" s="1"/>
  <c r="R48" i="31"/>
  <c r="S48" i="31" s="1"/>
  <c r="R51" i="31"/>
  <c r="S51" i="31" s="1"/>
  <c r="R66" i="31"/>
  <c r="S66" i="31" s="1"/>
  <c r="R89" i="31"/>
  <c r="S89" i="31" s="1"/>
  <c r="R25" i="31"/>
  <c r="S25" i="31" s="1"/>
  <c r="R44" i="31"/>
  <c r="S44" i="31" s="1"/>
  <c r="R47" i="31"/>
  <c r="S47" i="31" s="1"/>
  <c r="R62" i="31"/>
  <c r="S62" i="31" s="1"/>
  <c r="R69" i="31"/>
  <c r="S69" i="31" s="1"/>
  <c r="R75" i="31"/>
  <c r="S75" i="31" s="1"/>
  <c r="R93" i="31"/>
  <c r="S93" i="31" s="1"/>
  <c r="R97" i="31"/>
  <c r="S97" i="31" s="1"/>
  <c r="R33" i="31"/>
  <c r="S33" i="31" s="1"/>
  <c r="R52" i="31"/>
  <c r="S52" i="31" s="1"/>
  <c r="R55" i="31"/>
  <c r="S55" i="31" s="1"/>
  <c r="R70" i="31"/>
  <c r="S70" i="31" s="1"/>
  <c r="R53" i="31"/>
  <c r="S53" i="31" s="1"/>
  <c r="R91" i="31"/>
  <c r="S91" i="31" s="1"/>
  <c r="R58" i="31"/>
  <c r="S58" i="31" s="1"/>
  <c r="R77" i="31"/>
  <c r="S77" i="31" s="1"/>
  <c r="R96" i="31"/>
  <c r="S96" i="31" s="1"/>
  <c r="R99" i="31"/>
  <c r="S99" i="31" s="1"/>
  <c r="R35" i="31"/>
  <c r="S35" i="31" s="1"/>
  <c r="R50" i="31"/>
  <c r="S50" i="31" s="1"/>
  <c r="R73" i="31"/>
  <c r="S73" i="31" s="1"/>
  <c r="R92" i="31"/>
  <c r="S92" i="31" s="1"/>
  <c r="R95" i="31"/>
  <c r="S95" i="31" s="1"/>
  <c r="R31" i="31"/>
  <c r="S31" i="31" s="1"/>
  <c r="R46" i="31"/>
  <c r="S46" i="31" s="1"/>
  <c r="R37" i="31"/>
  <c r="S37" i="31" s="1"/>
  <c r="R43" i="31"/>
  <c r="S43" i="31" s="1"/>
  <c r="R81" i="31"/>
  <c r="S81" i="31" s="1"/>
  <c r="R100" i="31"/>
  <c r="S100" i="31" s="1"/>
  <c r="R103" i="31"/>
  <c r="S103" i="31" s="1"/>
  <c r="R39" i="31"/>
  <c r="S39" i="31" s="1"/>
  <c r="R54" i="31"/>
  <c r="S54" i="31" s="1"/>
  <c r="R104" i="31"/>
  <c r="S104" i="31" s="1"/>
  <c r="R59" i="31"/>
  <c r="S59" i="31" s="1"/>
  <c r="R26" i="31"/>
  <c r="S26" i="31" s="1"/>
  <c r="R80" i="31"/>
  <c r="S80" i="31" s="1"/>
  <c r="R83" i="31"/>
  <c r="S83" i="31" s="1"/>
  <c r="R98" i="31"/>
  <c r="S98" i="31" s="1"/>
  <c r="R34" i="31"/>
  <c r="S34" i="31" s="1"/>
  <c r="R57" i="31"/>
  <c r="S57" i="31" s="1"/>
  <c r="R76" i="31"/>
  <c r="S76" i="31" s="1"/>
  <c r="R79" i="31"/>
  <c r="S79" i="31" s="1"/>
  <c r="R94" i="31"/>
  <c r="S94" i="31" s="1"/>
  <c r="R30" i="31"/>
  <c r="S30" i="31" s="1"/>
  <c r="R88" i="31"/>
  <c r="S88" i="31" s="1"/>
  <c r="R90" i="31"/>
  <c r="S90" i="31" s="1"/>
  <c r="S22" i="31" l="1"/>
  <c r="R22" i="31" l="1"/>
  <c r="B20" i="31"/>
  <c r="B21" i="31" s="1"/>
  <c r="D118" i="9" l="1"/>
  <c r="D4" i="52" s="1"/>
  <c r="B47" i="72" s="1"/>
  <c r="F118" i="9"/>
  <c r="F4" i="52" s="1"/>
  <c r="B51" i="72" s="1"/>
  <c r="H118" i="9"/>
  <c r="H101" i="9" s="1"/>
  <c r="G118" i="9" l="1"/>
  <c r="G4" i="52" s="1"/>
  <c r="B52" i="72" s="1"/>
  <c r="F119" i="9"/>
  <c r="F5" i="52" s="1"/>
  <c r="B53" i="72" s="1"/>
  <c r="D5" i="53"/>
  <c r="D45" i="9"/>
  <c r="M48" i="9"/>
  <c r="H107" i="9"/>
  <c r="D119" i="9"/>
  <c r="D5" i="52" s="1"/>
  <c r="B49" i="72" s="1"/>
  <c r="I118" i="9"/>
  <c r="D14" i="74"/>
  <c r="C104" i="9"/>
  <c r="H119" i="9"/>
  <c r="H5" i="52" s="1"/>
  <c r="H4" i="52"/>
  <c r="D13" i="53" l="1"/>
  <c r="H108" i="9"/>
  <c r="D15" i="53" s="1"/>
  <c r="B31" i="72" s="1"/>
  <c r="D122" i="9"/>
  <c r="M49" i="9"/>
  <c r="B5" i="74"/>
  <c r="E14" i="74"/>
  <c r="F14" i="74"/>
  <c r="C105" i="9"/>
  <c r="I4" i="52"/>
  <c r="E118" i="9"/>
  <c r="E4" i="52" s="1"/>
  <c r="B48" i="72" s="1"/>
  <c r="H102" i="9"/>
  <c r="D7" i="53" s="1"/>
  <c r="B21" i="72" s="1"/>
  <c r="C78" i="9"/>
  <c r="C73" i="9" s="1"/>
  <c r="D53" i="9"/>
  <c r="C93" i="9"/>
  <c r="C86" i="9" s="1"/>
  <c r="C72" i="9"/>
  <c r="C64" i="9"/>
  <c r="C63" i="9" s="1"/>
  <c r="C67" i="9" s="1"/>
  <c r="D55" i="9"/>
  <c r="M53" i="9" s="1"/>
  <c r="D52" i="9"/>
  <c r="C85" i="9"/>
  <c r="D6" i="53"/>
  <c r="B22" i="72" s="1"/>
  <c r="B20" i="72"/>
  <c r="C95" i="9" l="1"/>
  <c r="C96" i="9" s="1"/>
  <c r="E96" i="9" s="1"/>
  <c r="E97" i="9" s="1"/>
  <c r="C79" i="9"/>
  <c r="C80" i="9" s="1"/>
  <c r="E80" i="9" s="1"/>
  <c r="E81" i="9" s="1"/>
  <c r="C68" i="9"/>
  <c r="D54" i="9" s="1"/>
  <c r="D59" i="9"/>
  <c r="M55" i="9" s="1"/>
  <c r="L63" i="9"/>
  <c r="M63" i="9" s="1"/>
  <c r="L68" i="9"/>
  <c r="M68" i="9" s="1"/>
  <c r="L65" i="9"/>
  <c r="M65" i="9" s="1"/>
  <c r="L67" i="9"/>
  <c r="M67" i="9" s="1"/>
  <c r="L66" i="9"/>
  <c r="M66" i="9" s="1"/>
  <c r="L64" i="9"/>
  <c r="M64" i="9" s="1"/>
  <c r="D5" i="74"/>
  <c r="C5" i="74"/>
  <c r="D14" i="53"/>
  <c r="B32" i="72" s="1"/>
  <c r="B30" i="72"/>
  <c r="D8" i="52"/>
  <c r="D123" i="9"/>
  <c r="D9" i="52" s="1"/>
  <c r="G14" i="74"/>
  <c r="G15" i="74" l="1"/>
  <c r="B6" i="74" s="1"/>
  <c r="C81" i="9"/>
  <c r="M69" i="9"/>
  <c r="N69" i="9" s="1"/>
  <c r="C97" i="9"/>
  <c r="D58" i="9" s="1"/>
  <c r="D56" i="9" s="1"/>
  <c r="M54" i="9" s="1"/>
  <c r="N57" i="9" s="1"/>
  <c r="C6" i="74" l="1"/>
  <c r="D6" i="74"/>
  <c r="N58" i="9"/>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<sst xmlns="http://schemas.openxmlformats.org/spreadsheetml/2006/main" count="8674" uniqueCount="3529">
  <si>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</si>
  <si>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</si>
  <si>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</si>
  <si>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</si>
  <si>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</si>
  <si>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</si>
  <si>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</si>
  <si>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</si>
  <si>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</si>
  <si>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</si>
  <si>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</si>
  <si>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</si>
  <si>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</si>
  <si>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</si>
  <si>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</si>
  <si>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</si>
  <si>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</si>
  <si>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</si>
  <si>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</si>
  <si>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</si>
  <si>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</si>
  <si>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</si>
  <si>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</si>
  <si>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</si>
  <si>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</si>
  <si>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</si>
  <si>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</si>
  <si>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</si>
  <si>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</si>
  <si>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</si>
  <si>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</si>
  <si>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</si>
  <si>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</si>
  <si>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</si>
  <si>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</si>
  <si>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</si>
  <si>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</si>
  <si>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</si>
  <si>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</si>
  <si>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</si>
  <si>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</si>
  <si>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</si>
  <si>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</si>
  <si>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</si>
  <si>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</si>
  <si>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</si>
  <si>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</si>
  <si>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</si>
  <si>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</si>
  <si>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</si>
  <si>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</si>
  <si>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</si>
  <si>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</si>
  <si>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</si>
  <si>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</si>
  <si>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</si>
  <si>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</si>
  <si>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</si>
  <si>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</si>
  <si>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</si>
  <si>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</si>
  <si>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</si>
  <si>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</si>
  <si>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</si>
  <si>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</si>
  <si>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</si>
  <si>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</si>
  <si>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</si>
  <si>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</si>
  <si>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</si>
  <si>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</si>
  <si>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</si>
  <si>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</si>
  <si>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</si>
  <si>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</si>
  <si>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</si>
  <si>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</si>
  <si>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</si>
  <si>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</si>
  <si>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</si>
  <si>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</si>
  <si>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</si>
  <si>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</si>
  <si>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</si>
  <si>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</si>
  <si>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</si>
  <si>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</si>
  <si>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</si>
  <si>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</si>
  <si>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</si>
  <si>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</si>
  <si>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</si>
  <si>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</si>
  <si>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</si>
  <si>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</si>
  <si>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</si>
  <si>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</si>
  <si>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</si>
  <si>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</si>
  <si>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</si>
  <si>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</si>
  <si>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</si>
  <si>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</si>
  <si>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</si>
  <si>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</si>
  <si>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</si>
  <si>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</si>
  <si>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</si>
  <si>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</si>
  <si>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</si>
  <si>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</si>
  <si>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</si>
  <si>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</si>
  <si>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</si>
  <si>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</si>
  <si>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</si>
  <si>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</si>
  <si>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</si>
  <si>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</si>
  <si>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</si>
  <si>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</si>
  <si>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</si>
  <si>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</si>
  <si>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</si>
  <si>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</si>
  <si>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</si>
  <si>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</si>
  <si>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</si>
  <si>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</si>
  <si>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</si>
  <si>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</si>
  <si>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</si>
  <si>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</si>
  <si>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</si>
  <si>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</si>
  <si>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</si>
  <si>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</si>
  <si>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</si>
  <si>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</si>
  <si>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</si>
  <si>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</si>
  <si>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</si>
  <si>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</si>
  <si>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</si>
  <si>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</si>
  <si>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</si>
  <si>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</si>
  <si>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</si>
  <si>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</si>
  <si>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</si>
  <si>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</si>
  <si>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</si>
  <si>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</si>
  <si>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</si>
  <si>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</si>
  <si>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</si>
  <si>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</si>
  <si>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</si>
  <si>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</si>
  <si>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</si>
  <si>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</si>
  <si>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</si>
  <si>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</si>
  <si>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</si>
  <si>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</si>
  <si>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</si>
  <si>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</si>
  <si>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</si>
  <si>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</si>
  <si>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</si>
  <si>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</si>
  <si>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</si>
  <si>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</si>
  <si>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</si>
  <si>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</si>
  <si>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</si>
  <si>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</si>
  <si>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</si>
  <si>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</si>
  <si>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</si>
  <si>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</si>
  <si>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</si>
  <si>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</si>
  <si>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</si>
  <si>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</si>
  <si>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</si>
  <si>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</si>
  <si>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</si>
  <si>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</si>
  <si>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</si>
  <si>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</si>
  <si>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</si>
  <si>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</si>
  <si>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</si>
  <si>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</si>
  <si>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</si>
  <si>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</si>
  <si>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</si>
  <si>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</si>
  <si>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</si>
  <si>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</si>
  <si>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</si>
  <si>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</si>
  <si>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</si>
  <si>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</si>
  <si>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</si>
  <si>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</si>
  <si>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</si>
  <si>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</si>
  <si>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</si>
  <si>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</si>
  <si>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</si>
  <si>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</si>
  <si>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</si>
  <si>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</si>
  <si>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</si>
  <si>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</si>
  <si>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</si>
  <si>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</si>
  <si>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</si>
  <si>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</si>
  <si>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</si>
  <si>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</si>
  <si>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</si>
  <si>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</si>
  <si>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</si>
  <si>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</si>
  <si>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</si>
  <si>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</si>
  <si>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</si>
  <si>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</si>
  <si>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</si>
  <si>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</si>
  <si>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</si>
  <si>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</si>
  <si>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</si>
  <si>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</si>
  <si>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</si>
  <si>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</si>
  <si>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</si>
  <si>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</si>
  <si>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</si>
  <si>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</si>
  <si>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</si>
  <si>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</si>
  <si>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</si>
  <si>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</si>
  <si>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</si>
  <si>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</si>
  <si>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</si>
  <si>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</si>
  <si>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</si>
  <si>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</si>
  <si>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</si>
  <si>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</si>
  <si>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</si>
  <si>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</si>
  <si>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</si>
  <si>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</si>
  <si>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</si>
  <si>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</si>
  <si>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</si>
  <si>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</si>
  <si>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</si>
  <si>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</si>
  <si>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</si>
  <si>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</si>
  <si>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</si>
  <si>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</si>
  <si>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</si>
  <si>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</si>
  <si>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</si>
  <si>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</si>
  <si>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</si>
  <si>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</si>
  <si>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</si>
  <si>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</si>
  <si>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</si>
  <si>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</si>
  <si>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</si>
  <si>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</si>
  <si>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</si>
  <si>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</si>
  <si>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</si>
  <si>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</si>
  <si>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</si>
  <si>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</si>
  <si>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</si>
  <si>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</si>
  <si>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</si>
  <si>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</si>
  <si>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</si>
  <si>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</si>
  <si>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</si>
  <si>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</si>
  <si>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</si>
  <si>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</si>
  <si>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</si>
  <si>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</si>
  <si>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</si>
  <si>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</si>
  <si>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</si>
  <si>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</si>
  <si>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</si>
  <si>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</si>
  <si>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</si>
  <si>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</si>
  <si>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</si>
  <si>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</si>
  <si>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</si>
  <si>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</si>
  <si>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</si>
  <si>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</si>
  <si>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</si>
  <si>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</si>
  <si>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</si>
  <si>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</si>
  <si>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</si>
  <si>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</si>
  <si>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</si>
  <si>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</si>
  <si>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</si>
  <si>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</si>
  <si>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</si>
  <si>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</si>
  <si>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</si>
  <si>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</si>
  <si>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</si>
  <si>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</si>
  <si>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</si>
  <si>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</si>
  <si>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</si>
  <si>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</si>
  <si>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</si>
  <si>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</si>
  <si>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</si>
  <si>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</si>
  <si>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</si>
  <si>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</si>
  <si>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</si>
  <si>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</si>
  <si>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</si>
  <si>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</si>
  <si>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</si>
  <si>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</si>
  <si>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</si>
  <si>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</si>
  <si>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</si>
  <si>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</si>
  <si>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</si>
  <si>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</si>
  <si>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</si>
  <si>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</si>
  <si>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</si>
  <si>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</si>
  <si>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</si>
  <si>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</si>
  <si>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</si>
  <si>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</si>
  <si>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</si>
  <si>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</si>
  <si>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</si>
  <si>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</si>
  <si>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</si>
  <si>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</si>
  <si>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</si>
  <si>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</si>
  <si>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</si>
  <si>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</si>
  <si>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</si>
  <si>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</si>
  <si>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</si>
  <si>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</si>
  <si>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</si>
  <si>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</si>
  <si>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</si>
  <si>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</si>
  <si>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</si>
  <si>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</si>
  <si>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</si>
  <si>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</si>
  <si>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</si>
  <si>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</si>
  <si>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</si>
  <si>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</si>
  <si>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</si>
  <si>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</si>
  <si>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</si>
  <si>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</si>
  <si>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</si>
  <si>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</si>
  <si>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</si>
  <si>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</si>
  <si>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</si>
  <si>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</si>
  <si>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</si>
  <si>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</si>
  <si>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</si>
  <si>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</si>
  <si>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</si>
  <si>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</si>
  <si>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</si>
  <si>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</si>
  <si>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</si>
  <si>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</si>
  <si>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</si>
  <si>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</si>
  <si>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</si>
  <si>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</si>
  <si>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</si>
  <si>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</si>
  <si>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</si>
  <si>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</si>
  <si>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</si>
  <si>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</si>
  <si>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</si>
  <si>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</si>
  <si>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</si>
  <si>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</si>
  <si>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</si>
  <si>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</si>
  <si>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</si>
  <si>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</si>
  <si>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</si>
  <si>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</si>
  <si>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</si>
  <si>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</si>
  <si>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</si>
  <si>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</si>
  <si>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</si>
  <si>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</si>
  <si>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</si>
  <si>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</si>
  <si>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</si>
  <si>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</si>
  <si>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</si>
  <si>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</si>
  <si>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</si>
  <si>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</si>
  <si>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</si>
  <si>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</si>
  <si>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</si>
  <si>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</si>
  <si>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</si>
  <si>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</si>
  <si>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</si>
  <si>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</si>
  <si>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</si>
  <si>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</si>
  <si>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</si>
  <si>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</si>
  <si>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</si>
  <si>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</si>
  <si>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</si>
  <si>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</si>
  <si>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</si>
  <si>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</si>
  <si>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</si>
  <si>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</si>
  <si>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</si>
  <si>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</si>
  <si>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</si>
  <si>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</si>
  <si>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</si>
  <si>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</si>
  <si>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</si>
  <si>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</si>
  <si>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</si>
  <si>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</si>
  <si>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</si>
  <si>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</si>
  <si>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</si>
  <si>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</si>
  <si>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</si>
  <si>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</si>
  <si>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</si>
  <si>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</si>
  <si>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</si>
  <si>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</si>
  <si>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</si>
  <si>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</si>
  <si>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</si>
  <si>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</si>
  <si>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</si>
  <si>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</si>
  <si>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</si>
  <si>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</si>
  <si>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</si>
  <si>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</si>
  <si>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</si>
  <si>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</si>
  <si>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</si>
  <si>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</si>
  <si>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</si>
  <si>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</si>
  <si>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</si>
  <si>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</si>
  <si>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</si>
  <si>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</si>
  <si>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</si>
  <si>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</si>
  <si>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</si>
  <si>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</si>
  <si>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</si>
  <si>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</si>
  <si>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</si>
  <si>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</si>
  <si>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</si>
  <si>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</si>
  <si>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</si>
  <si>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</si>
  <si>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</si>
  <si>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</si>
  <si>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</si>
  <si>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</si>
  <si>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</si>
  <si>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</si>
  <si>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</si>
  <si>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</si>
  <si>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</si>
  <si>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</si>
  <si>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</si>
  <si>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</si>
  <si>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</si>
  <si>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</si>
  <si>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</si>
  <si>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</si>
  <si>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</si>
  <si>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</si>
  <si>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</si>
  <si>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</si>
  <si>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</si>
  <si>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</si>
  <si>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</si>
  <si>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</si>
  <si>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</si>
  <si>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</si>
  <si>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</si>
  <si>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</si>
  <si>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</si>
  <si>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</si>
  <si>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</si>
  <si>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</si>
  <si>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</si>
  <si>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</si>
  <si>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</si>
  <si>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</si>
  <si>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</si>
  <si>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</si>
  <si>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</si>
  <si>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</si>
  <si>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</si>
  <si>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</si>
  <si>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</si>
  <si>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</si>
  <si>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</si>
  <si>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</si>
  <si>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</si>
  <si>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</si>
  <si>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</si>
  <si>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</si>
  <si>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</si>
  <si>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</si>
  <si>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</si>
  <si>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</si>
  <si>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</si>
  <si>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</si>
  <si>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</si>
  <si>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</si>
  <si>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</si>
  <si>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</si>
  <si>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</si>
  <si>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</si>
  <si>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</si>
  <si>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</si>
  <si>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</si>
  <si>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</si>
  <si>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</si>
  <si>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</si>
  <si>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</si>
  <si>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</si>
  <si>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</si>
  <si>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</si>
  <si>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</si>
  <si>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</si>
  <si>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</si>
  <si>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</si>
  <si>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</si>
  <si>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</si>
  <si>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</si>
  <si>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</si>
  <si>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</si>
  <si>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</si>
  <si>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</si>
  <si>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</si>
  <si>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</si>
  <si>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</si>
  <si>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</si>
  <si>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</si>
  <si>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</si>
  <si>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</si>
  <si>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</si>
  <si>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</si>
  <si>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</si>
  <si>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</si>
  <si>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</si>
  <si>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</si>
  <si>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</si>
  <si>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</si>
  <si>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</si>
  <si>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</si>
  <si>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</si>
  <si>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</si>
  <si>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</si>
  <si>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</si>
  <si>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</si>
  <si>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</si>
  <si>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</si>
  <si>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</si>
  <si>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</si>
  <si>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</si>
  <si>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</si>
  <si>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</si>
  <si>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</si>
  <si>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</si>
  <si>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</si>
  <si>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</si>
  <si>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</si>
  <si>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</si>
  <si>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</si>
  <si>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</si>
  <si>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</si>
  <si>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</si>
  <si>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</si>
  <si>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</si>
  <si>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</si>
  <si>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</si>
  <si>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</si>
  <si>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</si>
  <si>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</si>
  <si>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</si>
  <si>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</si>
  <si>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</si>
  <si>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</si>
  <si>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</si>
  <si>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</si>
  <si>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</si>
  <si>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</si>
  <si>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</si>
  <si>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</si>
  <si>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</si>
  <si>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</si>
  <si>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</si>
  <si>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</si>
  <si>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</si>
  <si>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</si>
  <si>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</si>
  <si>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</si>
  <si>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</si>
  <si>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</si>
  <si>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</si>
  <si>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</si>
  <si>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</si>
  <si>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</si>
  <si>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</si>
  <si>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</si>
  <si>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</si>
  <si>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</si>
  <si>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</si>
  <si>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</si>
  <si>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</si>
  <si>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</si>
  <si>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</si>
  <si>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</si>
  <si>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</si>
  <si>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</si>
  <si>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</si>
  <si>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</si>
  <si>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</si>
  <si>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</si>
  <si>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</si>
  <si>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</si>
  <si>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</si>
  <si>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</si>
  <si>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</si>
  <si>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</si>
  <si>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</si>
  <si>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</si>
  <si>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</si>
  <si>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</si>
  <si>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</si>
  <si>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</si>
  <si>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</si>
  <si>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</si>
  <si>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</si>
  <si>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</si>
  <si>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</si>
  <si>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</si>
  <si>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</si>
  <si>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</si>
  <si>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</si>
  <si>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</si>
  <si>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</si>
  <si>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</si>
  <si>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</si>
  <si>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</si>
  <si>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</si>
  <si>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</si>
  <si>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</si>
  <si>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</si>
  <si>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</si>
  <si>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</si>
  <si>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</si>
  <si>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</si>
  <si>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</si>
  <si>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</si>
  <si>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</si>
  <si>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</si>
  <si>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</si>
  <si>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</si>
  <si>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</si>
  <si>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</si>
  <si>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</si>
  <si>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</si>
  <si>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</si>
  <si>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</si>
  <si>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</si>
  <si>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</si>
  <si>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</si>
  <si>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</si>
  <si>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</si>
  <si>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</si>
  <si>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</si>
  <si>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</si>
  <si>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</si>
  <si>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</si>
  <si>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</si>
  <si>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</si>
  <si>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</si>
  <si>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</si>
  <si>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</si>
  <si>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</si>
  <si>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</si>
  <si>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</si>
  <si>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</si>
  <si>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</si>
  <si>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</si>
  <si>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</si>
  <si>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</si>
  <si>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</si>
  <si>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</si>
  <si>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</si>
  <si>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</si>
  <si>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</si>
  <si>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</si>
  <si>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</si>
  <si>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</si>
  <si>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</si>
  <si>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</si>
  <si>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</si>
  <si>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</si>
  <si>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</si>
  <si>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</si>
  <si>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</si>
  <si>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</si>
  <si>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</si>
  <si>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</si>
  <si>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</si>
  <si>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</si>
  <si>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</si>
  <si>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</si>
  <si>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</si>
  <si>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</si>
  <si>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</si>
  <si>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</si>
  <si>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</si>
  <si>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</si>
  <si>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</si>
  <si>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</si>
  <si>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</si>
  <si>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</si>
  <si>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</si>
  <si>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</si>
  <si>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</si>
  <si>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</si>
  <si>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</si>
  <si>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</si>
  <si>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</si>
  <si>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</si>
  <si>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</si>
  <si>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</si>
  <si>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</si>
  <si>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</si>
  <si>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</si>
  <si>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</si>
  <si>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</si>
  <si>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</si>
  <si>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</si>
  <si>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</si>
  <si>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</si>
  <si>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</si>
  <si>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</si>
  <si>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</si>
  <si>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</si>
  <si>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</si>
  <si>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</si>
  <si>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</si>
  <si>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</si>
  <si>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</si>
  <si>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</si>
  <si>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</si>
  <si>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</si>
  <si>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</si>
  <si>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</si>
  <si>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</si>
  <si>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</si>
  <si>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</si>
  <si>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</si>
  <si>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</si>
  <si>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</si>
  <si>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</si>
  <si>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</si>
  <si>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</si>
  <si>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</si>
  <si>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</si>
  <si>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</si>
  <si>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</si>
  <si>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</si>
  <si>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</si>
  <si>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</si>
  <si>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</si>
  <si>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</si>
  <si>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</si>
  <si>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</si>
  <si>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</si>
  <si>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</si>
  <si>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</si>
  <si>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</si>
  <si>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</si>
  <si>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</si>
  <si>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</si>
  <si>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</si>
  <si>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</si>
  <si>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</si>
  <si>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</si>
  <si>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</si>
  <si>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</si>
  <si>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</si>
  <si>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</si>
  <si>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</si>
  <si>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</si>
  <si>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</si>
  <si>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</si>
  <si>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</si>
  <si>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</si>
  <si>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</si>
  <si>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</si>
  <si>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</si>
  <si>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</si>
  <si>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</si>
  <si>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</si>
  <si>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</si>
  <si>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</si>
  <si>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</si>
  <si>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</si>
  <si>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</si>
  <si>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</si>
  <si>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</si>
  <si>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</si>
  <si>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</si>
  <si>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</si>
  <si>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</si>
  <si>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</si>
  <si>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</si>
  <si>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</si>
  <si>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</si>
  <si>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</si>
  <si>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</si>
  <si>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</si>
  <si>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</si>
  <si>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</si>
  <si>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</si>
  <si>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</si>
  <si>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</si>
  <si>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</si>
  <si>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</si>
  <si>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</si>
  <si>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</si>
  <si>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</si>
  <si>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</si>
  <si>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</si>
  <si>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</si>
  <si>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</si>
  <si>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</si>
  <si>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</si>
  <si>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</si>
  <si>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</si>
  <si>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</si>
  <si>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</si>
  <si>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</si>
  <si>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</si>
  <si>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</si>
  <si>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</si>
  <si>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</si>
  <si>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</si>
  <si>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</si>
  <si>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</si>
  <si>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</si>
  <si>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</si>
  <si>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</si>
  <si>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</si>
  <si>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</si>
  <si>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</si>
  <si>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</si>
  <si>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</si>
  <si>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</si>
  <si>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</si>
  <si>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</si>
  <si>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</si>
  <si>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</si>
  <si>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</si>
  <si>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</si>
  <si>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</si>
  <si>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</si>
  <si>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</si>
  <si>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</si>
  <si>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</si>
  <si>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</si>
  <si>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</si>
  <si>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</si>
  <si>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</si>
  <si>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</si>
  <si>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</si>
  <si>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</si>
  <si>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</si>
  <si>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</si>
  <si>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</si>
  <si>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</si>
  <si>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</si>
  <si>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</si>
  <si>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</si>
  <si>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</si>
  <si>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</si>
  <si>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</si>
  <si>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</si>
  <si>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</si>
  <si>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</si>
  <si>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</si>
  <si>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</si>
  <si>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</si>
  <si>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</si>
  <si>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</si>
  <si>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</si>
  <si>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</si>
  <si>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</si>
  <si>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</si>
  <si>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</si>
  <si>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</si>
  <si>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</si>
  <si>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</si>
  <si>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</si>
  <si>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</si>
  <si>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</si>
  <si>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</si>
  <si>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</si>
  <si>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</si>
  <si>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</si>
  <si>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</si>
  <si>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</si>
  <si>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</si>
  <si>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</si>
  <si>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</si>
  <si>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</si>
  <si>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</si>
  <si>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</si>
  <si>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</si>
  <si>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</si>
  <si>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</si>
  <si>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</si>
  <si>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</si>
  <si>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</si>
  <si>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</si>
  <si>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</si>
  <si>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</si>
  <si>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</si>
  <si>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</si>
  <si>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</si>
  <si>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</si>
  <si>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</si>
  <si>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</si>
  <si>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</si>
  <si>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</si>
  <si>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</si>
  <si>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</si>
  <si>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</si>
  <si>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</si>
  <si>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</si>
  <si>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</si>
  <si>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</si>
  <si>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</si>
  <si>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</si>
  <si>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</si>
  <si>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</si>
  <si>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</si>
  <si>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</si>
  <si>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</si>
  <si>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</si>
  <si>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</si>
  <si>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</si>
  <si>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</si>
  <si>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</si>
  <si>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</si>
  <si>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</si>
  <si>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</si>
  <si>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</si>
  <si>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</si>
  <si>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</si>
  <si>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</si>
  <si>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</si>
  <si>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</si>
  <si>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</si>
  <si>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</si>
  <si>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</si>
  <si>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</si>
  <si>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</si>
  <si>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</si>
  <si>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</si>
  <si>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</si>
  <si>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</si>
  <si>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</si>
  <si>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</si>
  <si>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</si>
  <si>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</si>
  <si>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</si>
  <si>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</si>
  <si>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</si>
  <si>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</si>
  <si>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</si>
  <si>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</si>
  <si>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</si>
  <si>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</si>
  <si>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</si>
  <si>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</si>
  <si>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</si>
  <si>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</si>
  <si>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</si>
  <si>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</si>
  <si>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</si>
  <si>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</si>
  <si>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</si>
  <si>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</si>
  <si>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</si>
  <si>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</si>
  <si>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</si>
  <si>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</si>
  <si>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</si>
  <si>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</si>
  <si>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</si>
  <si>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</si>
  <si>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</si>
  <si>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</si>
  <si>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</si>
  <si>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</si>
  <si>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</si>
  <si>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</si>
  <si>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</si>
  <si>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</si>
  <si>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</si>
  <si>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</si>
  <si>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</si>
  <si>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</si>
  <si>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</si>
  <si>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</si>
  <si>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</si>
  <si>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</si>
  <si>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</si>
  <si>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</si>
  <si>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</si>
  <si>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</si>
  <si>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</si>
  <si>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</si>
  <si>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</si>
  <si>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</si>
  <si>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</si>
  <si>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</si>
  <si>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</si>
  <si>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</si>
  <si>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</si>
  <si>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</si>
  <si>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</si>
  <si>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</si>
  <si>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</si>
  <si>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</si>
  <si>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</si>
  <si>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</si>
  <si>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</si>
  <si>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</si>
  <si>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</si>
  <si>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</si>
  <si>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</si>
  <si>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</si>
  <si>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</si>
  <si>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</si>
  <si>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</si>
  <si>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</si>
  <si>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</si>
  <si>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</si>
  <si>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</si>
  <si>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</si>
  <si>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</si>
  <si>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</si>
  <si>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</si>
  <si>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</si>
  <si>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</si>
  <si>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</si>
  <si>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</si>
  <si>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</si>
  <si>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</si>
  <si>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</si>
  <si>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</si>
  <si>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</si>
  <si>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</si>
  <si>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</si>
  <si>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</si>
  <si>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</si>
  <si>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</si>
  <si>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</si>
  <si>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</si>
  <si>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</si>
  <si>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</si>
  <si>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</si>
  <si>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</si>
  <si>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</si>
  <si>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</si>
  <si>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</si>
  <si>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</si>
  <si>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</si>
  <si>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</si>
  <si>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</si>
  <si>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</si>
  <si>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</si>
  <si>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</si>
  <si>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</si>
  <si>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</si>
  <si>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</si>
  <si>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</si>
  <si>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</si>
  <si>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</si>
  <si>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</si>
  <si>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</si>
  <si>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</si>
  <si>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</si>
  <si>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</si>
  <si>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</si>
  <si>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</si>
  <si>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</si>
  <si>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</si>
  <si>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</si>
  <si>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</si>
  <si>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</si>
  <si>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</si>
  <si>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</si>
  <si>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</si>
  <si>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</si>
  <si>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</si>
  <si>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</si>
  <si>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</si>
  <si>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</si>
  <si>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</si>
  <si>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</si>
  <si>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</si>
  <si>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</si>
  <si>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</si>
  <si>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</si>
  <si>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</si>
  <si>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</si>
  <si>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</si>
  <si>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</si>
  <si>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</si>
  <si>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</si>
  <si>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</si>
  <si>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</si>
  <si>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</si>
  <si>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</si>
  <si>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</si>
  <si>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</si>
  <si>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</si>
  <si>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</si>
  <si>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</si>
  <si>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</si>
  <si>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</si>
  <si>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</si>
  <si>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</si>
  <si>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</si>
  <si>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</si>
  <si>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</si>
  <si>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</si>
  <si>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</si>
  <si>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</si>
  <si>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</si>
  <si>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</si>
  <si>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</si>
  <si>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</si>
  <si>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</si>
  <si>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</si>
  <si>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</si>
  <si>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</si>
  <si>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</si>
  <si>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</si>
  <si>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</si>
  <si>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</si>
  <si>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</si>
  <si>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</si>
  <si>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</si>
  <si>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</si>
  <si>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</si>
  <si>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</si>
  <si>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</si>
  <si>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</si>
  <si>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</si>
  <si>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</si>
  <si>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</si>
  <si>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</si>
  <si>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</si>
  <si>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</si>
  <si>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</si>
  <si>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</si>
  <si>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</si>
  <si>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</si>
  <si>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</si>
  <si>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</si>
  <si>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</si>
  <si>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</si>
  <si>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</si>
  <si>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</si>
  <si>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</si>
  <si>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</si>
  <si>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</si>
  <si>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</si>
  <si>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</si>
  <si>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</si>
  <si>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</si>
  <si>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</si>
  <si>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</si>
  <si>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</si>
  <si>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</si>
  <si>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</si>
  <si>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</si>
  <si>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</si>
  <si>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</si>
  <si>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</si>
  <si>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</si>
  <si>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</si>
  <si>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</si>
  <si>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</si>
  <si>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</si>
  <si>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</si>
  <si>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</si>
  <si>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</si>
  <si>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</si>
  <si>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</si>
  <si>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</si>
  <si>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</si>
  <si>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</si>
  <si>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</si>
  <si>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</si>
  <si>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</si>
  <si>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</si>
  <si>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</si>
  <si>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</si>
  <si>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</si>
  <si>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</si>
  <si>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</si>
  <si>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</si>
  <si>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</si>
  <si>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</si>
  <si>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</si>
  <si>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</si>
  <si>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</si>
  <si>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</si>
  <si>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</si>
  <si>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</si>
  <si>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</si>
  <si>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</si>
  <si>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</si>
  <si>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</si>
  <si>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</si>
  <si>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</si>
  <si>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</si>
  <si>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</si>
  <si>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</si>
  <si>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</si>
  <si>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</si>
  <si>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</si>
  <si>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</si>
  <si>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</si>
  <si>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</si>
  <si>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</si>
  <si>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</si>
  <si>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</si>
  <si>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</si>
  <si>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</si>
  <si>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</si>
  <si>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</si>
  <si>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</si>
  <si>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</si>
  <si>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</si>
  <si>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</si>
  <si>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</si>
  <si>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</si>
  <si>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</si>
  <si>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</si>
  <si>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</si>
  <si>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</si>
  <si>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</si>
  <si>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</si>
  <si>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</si>
  <si>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</si>
  <si>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</si>
  <si>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</si>
  <si>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</si>
  <si>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</si>
  <si>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</si>
  <si>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</si>
  <si>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</si>
  <si>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</si>
  <si>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</si>
  <si>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</si>
  <si>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</si>
  <si>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</si>
  <si>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</si>
  <si>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</si>
  <si>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</si>
  <si>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</si>
  <si>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</si>
  <si>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</si>
  <si>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</si>
  <si>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</si>
  <si>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</si>
  <si>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</si>
  <si>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</si>
  <si>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</si>
  <si>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</si>
  <si>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</si>
  <si>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</si>
  <si>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</si>
  <si>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</si>
  <si>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</si>
  <si>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</si>
  <si>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</si>
  <si>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</si>
  <si>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</si>
  <si>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</si>
  <si>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</si>
  <si>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</si>
  <si>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</si>
  <si>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</si>
  <si>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</si>
  <si>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</si>
  <si>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</si>
  <si>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</si>
  <si>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</si>
  <si>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</si>
  <si>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</si>
  <si>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</si>
  <si>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</si>
  <si>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</si>
  <si>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</si>
  <si>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</si>
  <si>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</si>
  <si>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</si>
  <si>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</si>
  <si>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</si>
  <si>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</si>
  <si>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</si>
  <si>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</si>
  <si>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</si>
  <si>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</si>
  <si>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</si>
  <si>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</si>
  <si>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</si>
  <si>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</si>
  <si>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</si>
  <si>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</si>
  <si>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</si>
  <si>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</si>
  <si>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</si>
  <si>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</si>
  <si>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</si>
  <si>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</si>
  <si>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</si>
  <si>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</si>
  <si>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</si>
  <si>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</si>
  <si>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</si>
  <si>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</si>
  <si>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</si>
  <si>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</si>
  <si>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</si>
  <si>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</si>
  <si>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</si>
  <si>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</si>
  <si>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</si>
  <si>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</si>
  <si>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</si>
  <si>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</si>
  <si>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</si>
  <si>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</si>
  <si>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</si>
  <si>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</si>
  <si>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</si>
  <si>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</si>
  <si>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</si>
  <si>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</si>
  <si>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</si>
  <si>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</si>
  <si>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</si>
  <si>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</si>
  <si>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</si>
  <si>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</si>
  <si>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</si>
  <si>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</si>
  <si>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</si>
  <si>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</si>
  <si>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</si>
  <si>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</si>
  <si>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</si>
  <si>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</si>
  <si>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</si>
  <si>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</si>
  <si>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</si>
  <si>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</si>
  <si>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</si>
  <si>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</si>
  <si>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</si>
  <si>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</si>
  <si>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</si>
  <si>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</si>
  <si>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</si>
  <si>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</si>
  <si>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</si>
  <si>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</si>
  <si>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</si>
  <si>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</si>
  <si>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</si>
  <si>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</si>
  <si>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</si>
  <si>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</si>
  <si>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</si>
  <si>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</si>
  <si>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</si>
  <si>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</si>
  <si>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</si>
  <si>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</si>
  <si>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</si>
  <si>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</si>
  <si>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</si>
  <si>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</si>
  <si>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</si>
  <si>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</si>
  <si>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</si>
  <si>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</si>
  <si>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</si>
  <si>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</si>
  <si>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</si>
  <si>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</si>
  <si>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</si>
  <si>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</si>
  <si>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</si>
  <si>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</si>
  <si>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</si>
  <si>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</si>
  <si>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</si>
  <si>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</si>
  <si>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</si>
  <si>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</si>
  <si>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</si>
  <si>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</si>
  <si>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</si>
  <si>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</si>
  <si>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</si>
  <si>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</si>
  <si>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</si>
  <si>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</si>
  <si>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</si>
  <si>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</si>
  <si>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</si>
  <si>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</si>
  <si>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</si>
  <si>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</si>
  <si>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</si>
  <si>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</si>
  <si>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</si>
  <si>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</si>
  <si>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</si>
  <si>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</si>
  <si>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</si>
  <si>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</si>
  <si>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</si>
  <si>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</si>
  <si>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</si>
  <si>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</si>
  <si>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</si>
  <si>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</si>
  <si>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</si>
  <si>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</si>
  <si>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</si>
  <si>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</si>
  <si>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</si>
  <si>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</si>
  <si>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</si>
  <si>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</si>
  <si>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</si>
  <si>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</si>
  <si>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</si>
  <si>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</si>
  <si>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</si>
  <si>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</si>
  <si>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</si>
  <si>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</si>
  <si>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</si>
  <si>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</si>
  <si>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</si>
  <si>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</si>
  <si>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</si>
  <si>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</si>
  <si>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</si>
  <si>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</si>
  <si>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</si>
  <si>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</si>
  <si>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</si>
  <si>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</si>
  <si>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</si>
  <si>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</si>
  <si>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</si>
  <si>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</si>
  <si>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</si>
  <si>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</si>
  <si>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</si>
  <si>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</si>
  <si>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</si>
  <si>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</si>
  <si>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</si>
  <si>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</si>
  <si>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</si>
  <si>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</si>
  <si>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</si>
  <si>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</si>
  <si>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</si>
  <si>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</si>
  <si>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</si>
  <si>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</si>
  <si>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</si>
  <si>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</si>
  <si>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</si>
  <si>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</si>
  <si>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</si>
  <si>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</si>
  <si>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</si>
  <si>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</si>
  <si>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</si>
  <si>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</si>
  <si>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</si>
  <si>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</si>
  <si>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</si>
  <si>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</si>
  <si>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</si>
  <si>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</si>
  <si>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</si>
  <si>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</si>
  <si>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</si>
  <si>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</si>
  <si>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</si>
  <si>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</si>
  <si>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</si>
  <si>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</si>
  <si>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</si>
  <si>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</si>
  <si>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</si>
  <si>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</si>
  <si>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</si>
  <si>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</si>
  <si>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</si>
  <si>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</si>
  <si>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</si>
  <si>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</si>
  <si>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</si>
  <si>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</si>
  <si>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</si>
  <si>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</si>
  <si>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</si>
  <si>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</si>
  <si>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</si>
  <si>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</si>
  <si>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</si>
  <si>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</si>
  <si>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</si>
  <si>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</si>
  <si>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</si>
  <si>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</si>
  <si>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</si>
  <si>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</si>
  <si>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</si>
  <si>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</si>
  <si>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</si>
  <si>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</si>
  <si>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</si>
  <si>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</si>
  <si>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</si>
  <si>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</si>
  <si>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</si>
  <si>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</si>
  <si>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</si>
  <si>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</si>
  <si>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</si>
  <si>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</si>
  <si>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</si>
  <si>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</si>
  <si>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</si>
  <si>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</si>
  <si>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</si>
  <si>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</si>
  <si>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</si>
  <si>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</si>
  <si>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</si>
  <si>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</si>
  <si>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</si>
  <si>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</si>
  <si>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</si>
  <si>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</si>
  <si>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</si>
  <si>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</si>
  <si>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</si>
  <si>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</si>
  <si>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</si>
  <si>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</si>
  <si>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</si>
  <si>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</si>
  <si>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</si>
  <si>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</si>
  <si>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</si>
  <si>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</si>
  <si>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</si>
  <si>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</si>
  <si>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</si>
  <si>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</si>
  <si>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</si>
  <si>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</si>
  <si>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</si>
  <si>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</si>
  <si>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</si>
  <si>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</si>
  <si>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</si>
  <si>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</si>
  <si>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</si>
  <si>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</si>
  <si>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</si>
  <si>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</si>
  <si>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</si>
  <si>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</si>
  <si>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</si>
  <si>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</si>
  <si>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</si>
  <si>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</si>
  <si>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</si>
  <si>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</si>
  <si>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</si>
  <si>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</si>
  <si>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</si>
  <si>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</si>
  <si>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</si>
  <si>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</si>
  <si>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</si>
  <si>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</si>
  <si>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</si>
  <si>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</si>
  <si>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</si>
  <si>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</si>
  <si>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</si>
  <si>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</si>
  <si>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</si>
  <si>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</si>
  <si>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</si>
  <si>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</si>
  <si>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</si>
  <si>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</si>
  <si>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</si>
  <si>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</si>
  <si>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</si>
  <si>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</si>
  <si>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</si>
  <si>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</si>
  <si>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</si>
  <si>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</si>
  <si>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</si>
  <si>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</si>
  <si>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</si>
  <si>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</si>
  <si>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</si>
  <si>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</si>
  <si>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</si>
  <si>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</si>
  <si>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</si>
  <si>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</si>
  <si>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</si>
  <si>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</si>
  <si>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</si>
  <si>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</si>
  <si>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</si>
  <si>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</si>
  <si>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</si>
  <si>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</si>
  <si>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</si>
  <si>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</si>
  <si>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</si>
  <si>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</si>
  <si>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</si>
  <si>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</si>
  <si>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</si>
  <si>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</si>
  <si>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</si>
  <si>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</si>
  <si>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</si>
  <si>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</si>
  <si>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</si>
  <si>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</si>
  <si>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</si>
  <si>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</si>
  <si>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</si>
  <si>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</si>
  <si>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</si>
  <si>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</si>
  <si>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</si>
  <si>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</si>
  <si>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</si>
  <si>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</si>
  <si>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</si>
  <si>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</si>
  <si>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</si>
  <si>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</si>
  <si>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</si>
  <si>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</si>
  <si>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</si>
  <si>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</si>
  <si>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</si>
  <si>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</si>
  <si>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</si>
  <si>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</si>
  <si>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</si>
  <si>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</si>
  <si>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</si>
  <si>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</si>
  <si>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</si>
  <si>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</si>
  <si>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</si>
  <si>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</si>
  <si>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</si>
  <si>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</si>
  <si>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</si>
  <si>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</si>
  <si>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</si>
  <si>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</si>
  <si>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</si>
  <si>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</si>
  <si>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</si>
  <si>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</si>
  <si>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</si>
  <si>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</si>
  <si>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</si>
  <si>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</si>
  <si>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</si>
  <si>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</si>
  <si>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</si>
  <si>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</si>
  <si>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</si>
  <si>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</si>
  <si>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</si>
  <si>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</si>
  <si>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</si>
  <si>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</si>
  <si>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</si>
  <si>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</si>
  <si>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</si>
  <si>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</si>
  <si>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</si>
  <si>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</si>
  <si>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</si>
  <si>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</si>
  <si>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</si>
  <si>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</si>
  <si>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</si>
  <si>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</si>
  <si>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</si>
  <si>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</si>
  <si>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</si>
  <si>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</si>
  <si>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</si>
  <si>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</si>
  <si>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</si>
  <si>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</si>
  <si>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</si>
  <si>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</si>
  <si>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</si>
  <si>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</si>
  <si>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</si>
  <si>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</si>
  <si>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</si>
  <si>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</si>
  <si>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</si>
  <si>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</si>
  <si>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</si>
  <si>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</si>
  <si>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</si>
  <si>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</si>
  <si>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</si>
  <si>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</si>
  <si>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</si>
  <si>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</si>
  <si>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</si>
  <si>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</si>
  <si>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</si>
  <si>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</si>
  <si>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</si>
  <si>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</si>
  <si>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</si>
  <si>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</si>
  <si>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</si>
  <si>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</si>
  <si>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</si>
  <si>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</si>
  <si>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</si>
  <si>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</si>
  <si>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</si>
  <si>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</si>
  <si>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</si>
  <si>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</si>
  <si>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</si>
  <si>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</si>
  <si>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</si>
  <si>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</si>
  <si>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</si>
  <si>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</si>
  <si>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</si>
  <si>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</si>
  <si>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</si>
  <si>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</si>
  <si>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</si>
  <si>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</si>
  <si>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</si>
  <si>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</si>
  <si>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</si>
  <si>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</si>
  <si>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</si>
  <si>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</si>
  <si>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</si>
  <si>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</si>
  <si>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</si>
  <si>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</si>
  <si>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</si>
  <si>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</si>
  <si>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</si>
  <si>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</si>
  <si>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</si>
  <si>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</si>
  <si>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</si>
  <si>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</si>
  <si>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</si>
  <si>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</si>
  <si>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</si>
  <si>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</si>
  <si>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</si>
  <si>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</si>
  <si>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</si>
  <si>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</si>
  <si>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</si>
  <si>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</si>
  <si>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</si>
  <si>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</si>
  <si>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</si>
  <si>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</si>
  <si>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</si>
  <si>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</si>
  <si>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</si>
  <si>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</si>
  <si>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</si>
  <si>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</si>
  <si>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</si>
  <si>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</si>
  <si>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</si>
  <si>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</si>
  <si>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</si>
  <si>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</si>
  <si>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</si>
  <si>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</si>
  <si>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</si>
  <si>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</si>
  <si>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</si>
  <si>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</si>
  <si>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</si>
  <si>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</si>
  <si>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</si>
  <si>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</si>
  <si>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</si>
  <si>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</si>
  <si>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</si>
  <si>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</si>
  <si>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</si>
  <si>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</si>
  <si>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</si>
  <si>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</si>
  <si>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</si>
  <si>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</si>
  <si>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</si>
  <si>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</si>
  <si>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</si>
  <si>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</si>
  <si>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</si>
  <si>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</si>
  <si>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</si>
  <si>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</si>
  <si>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</si>
  <si>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</si>
  <si>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</si>
  <si>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</si>
  <si>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</si>
  <si>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</si>
  <si>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</si>
  <si>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</si>
  <si>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</si>
  <si>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</si>
  <si>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</si>
  <si>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</si>
  <si>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</si>
  <si>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</si>
  <si>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</si>
  <si>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</si>
  <si>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</si>
  <si>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</si>
  <si>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</si>
  <si>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</si>
  <si>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</si>
  <si>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</si>
  <si>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</si>
  <si>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</si>
  <si>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</si>
  <si>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</si>
  <si>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</si>
  <si>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</si>
  <si>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</si>
  <si>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</si>
  <si>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</si>
  <si>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</si>
  <si>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</si>
  <si>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</si>
  <si>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</si>
  <si>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</si>
  <si>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</si>
  <si>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</si>
  <si>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</si>
  <si>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</si>
  <si>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</si>
  <si>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</si>
  <si>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</si>
  <si>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</si>
  <si>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</si>
  <si>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</si>
  <si>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</si>
  <si>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</si>
  <si>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</si>
  <si>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</si>
  <si>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</si>
  <si>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</si>
  <si>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</si>
  <si>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</si>
  <si>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</si>
  <si>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</si>
  <si>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</si>
  <si>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</si>
  <si>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</si>
  <si>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</si>
  <si>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</si>
  <si>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</si>
  <si>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</si>
  <si>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</si>
  <si>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</si>
  <si>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</si>
  <si>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</si>
  <si>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</si>
  <si>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</si>
  <si>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</si>
  <si>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</si>
  <si>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</si>
  <si>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</si>
  <si>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</si>
  <si>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</si>
  <si>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</si>
  <si>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</si>
  <si>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</si>
  <si>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</si>
  <si>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</si>
  <si>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</si>
  <si>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</si>
  <si>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</si>
  <si>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</si>
  <si>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</si>
  <si>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</si>
  <si>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</si>
  <si>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</si>
  <si>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</si>
  <si>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</si>
  <si>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</si>
  <si>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</si>
  <si>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</si>
  <si>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</si>
  <si>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</si>
  <si>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</si>
  <si>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</si>
  <si>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</si>
  <si>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</si>
  <si>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</si>
  <si>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</si>
  <si>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</si>
  <si>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</si>
  <si>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</si>
  <si>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</si>
  <si>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</si>
  <si>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</si>
  <si>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</si>
  <si>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</si>
  <si>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</si>
  <si>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</si>
  <si>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</si>
  <si>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</si>
  <si>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</si>
  <si>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</si>
  <si>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</si>
  <si>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</si>
  <si>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</si>
  <si>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</si>
  <si>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</si>
  <si>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</si>
  <si>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</si>
  <si>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</si>
  <si>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</si>
  <si>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</si>
  <si>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</si>
  <si>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</si>
  <si>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</si>
  <si>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</si>
  <si>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</si>
  <si>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</si>
  <si>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</si>
  <si>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</si>
  <si>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</si>
  <si>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</si>
  <si>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</si>
  <si>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</si>
  <si>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</si>
  <si>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</si>
  <si>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</si>
  <si>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</si>
  <si>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</si>
  <si>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</si>
  <si>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</si>
  <si>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</si>
  <si>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</si>
  <si>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</si>
  <si>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</si>
  <si>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</si>
  <si>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</si>
  <si>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</si>
  <si>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</si>
  <si>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</si>
  <si>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</si>
  <si>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</si>
  <si>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</si>
  <si>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</si>
  <si>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</si>
  <si>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</si>
  <si>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</si>
  <si>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</si>
  <si>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</si>
  <si>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</si>
  <si>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</si>
  <si>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</si>
  <si>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</si>
  <si>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</si>
  <si>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</si>
  <si>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</si>
  <si>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</si>
  <si>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</si>
  <si>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</si>
  <si>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</si>
  <si>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</si>
  <si>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</si>
  <si>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</si>
  <si>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</si>
  <si>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</si>
  <si>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</si>
  <si>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</si>
  <si>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</si>
  <si>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</si>
  <si>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</si>
  <si>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</si>
  <si>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</si>
  <si>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</si>
  <si>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</si>
  <si>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</si>
  <si>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</si>
  <si>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</si>
  <si>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</si>
  <si>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</si>
  <si>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</si>
  <si>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</si>
  <si>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</si>
  <si>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</si>
  <si>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</si>
  <si>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</si>
  <si>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</si>
  <si>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</si>
  <si>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</si>
  <si>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</si>
  <si>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</si>
  <si>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</si>
  <si>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</si>
  <si>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</si>
  <si>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</si>
  <si>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</si>
  <si>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</si>
  <si>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</si>
  <si>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</si>
  <si>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</si>
  <si>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</si>
  <si>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</si>
  <si>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</si>
  <si>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</si>
  <si>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</si>
  <si>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</si>
  <si>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</si>
  <si>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</si>
  <si>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</si>
  <si>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</si>
  <si>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</si>
  <si>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</si>
  <si>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</si>
  <si>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</si>
  <si>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</si>
  <si>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</si>
  <si>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</si>
  <si>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</si>
  <si>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</si>
  <si>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</si>
  <si>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</si>
  <si>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</si>
  <si>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</si>
  <si>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</si>
  <si>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</si>
  <si>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</si>
  <si>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</si>
  <si>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</si>
  <si>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</si>
  <si>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</si>
  <si>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</si>
  <si>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</si>
  <si>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</si>
  <si>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</si>
  <si>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</si>
  <si>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</si>
  <si>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</si>
  <si>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</si>
  <si>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</si>
  <si>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</si>
  <si>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</si>
  <si>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</si>
  <si>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</si>
  <si>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</si>
  <si>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</si>
  <si>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</si>
  <si>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</si>
  <si>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</si>
  <si>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</si>
  <si>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</si>
  <si>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</si>
  <si>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</si>
  <si>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</si>
  <si>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</si>
  <si>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</si>
  <si>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</si>
  <si>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</si>
  <si>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</si>
  <si>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</si>
  <si>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</si>
  <si>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</si>
  <si>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</si>
  <si>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</si>
  <si>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</si>
  <si>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</si>
  <si>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</si>
  <si>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</si>
  <si>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</si>
  <si>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</si>
  <si>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</si>
  <si>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</si>
  <si>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</si>
  <si>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</si>
  <si>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</si>
  <si>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</si>
  <si>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</si>
  <si>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</si>
  <si>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</si>
  <si>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</si>
  <si>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</si>
  <si>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</si>
  <si>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</si>
  <si>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</si>
  <si>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</si>
  <si>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</si>
  <si>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</si>
  <si>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</si>
  <si>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</si>
  <si>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</si>
  <si>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</si>
  <si>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</si>
  <si>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</si>
  <si>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</si>
  <si>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</si>
  <si>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</si>
  <si>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</si>
  <si>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</si>
  <si>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</si>
  <si>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</si>
  <si>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</si>
  <si>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</si>
  <si>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</si>
  <si>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</si>
  <si>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</si>
  <si>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</si>
  <si>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</si>
  <si>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</si>
  <si>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</si>
  <si>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</si>
  <si>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</si>
  <si>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</si>
  <si>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</si>
  <si>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</si>
  <si>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</si>
  <si>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</si>
  <si>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</si>
  <si>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</si>
  <si>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</si>
  <si>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</si>
  <si>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</si>
  <si>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</si>
  <si>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</si>
  <si>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</si>
  <si>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</si>
  <si>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</si>
  <si>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</si>
  <si>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</si>
  <si>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</si>
  <si>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</si>
  <si>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</si>
  <si>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</si>
  <si>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</si>
  <si>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</si>
  <si>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</si>
  <si>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</si>
  <si>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</si>
  <si>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</si>
  <si>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</si>
  <si>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</si>
  <si>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</si>
  <si>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</si>
  <si>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</si>
  <si>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</si>
  <si>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</si>
  <si>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</si>
  <si>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</si>
  <si>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</si>
  <si>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</si>
  <si>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</si>
  <si>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</si>
  <si>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</si>
  <si>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</si>
  <si>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</si>
  <si>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</si>
  <si>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</si>
  <si>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</si>
  <si>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</si>
  <si>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</si>
  <si>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</si>
  <si>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</si>
  <si>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</si>
  <si>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</si>
  <si>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</si>
  <si>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</si>
  <si>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</si>
  <si>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</si>
  <si>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</si>
  <si>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</si>
  <si>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</si>
  <si>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</si>
  <si>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</si>
  <si>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</si>
  <si>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</si>
  <si>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</si>
  <si>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</si>
  <si>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</si>
  <si>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</si>
  <si>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</si>
  <si>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</si>
  <si>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</si>
  <si>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</si>
  <si>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</si>
  <si>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</si>
  <si>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</si>
  <si>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</si>
  <si>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</si>
  <si>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</si>
  <si>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</si>
  <si>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</si>
  <si>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</si>
  <si>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</si>
  <si>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</si>
  <si>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</si>
  <si>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</si>
  <si>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</si>
  <si>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</si>
  <si>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</si>
  <si>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</si>
  <si>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</si>
  <si>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</si>
  <si>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</si>
  <si>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</si>
  <si>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</si>
  <si>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</si>
  <si>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</si>
  <si>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</si>
  <si>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</si>
  <si>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</si>
  <si>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</si>
  <si>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</si>
  <si>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</si>
  <si>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</si>
  <si>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</si>
  <si>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</si>
  <si>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</si>
  <si>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</si>
  <si>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</si>
  <si>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</si>
  <si>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</si>
  <si>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</si>
  <si>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</si>
  <si>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</si>
  <si>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</si>
  <si>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</si>
  <si>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</si>
  <si>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</si>
  <si>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</si>
  <si>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</si>
  <si>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</si>
  <si>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</si>
  <si>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</si>
  <si>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</si>
  <si>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</si>
  <si>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</si>
  <si>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</si>
  <si>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</si>
  <si>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</si>
  <si>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</si>
  <si>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</si>
  <si>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</si>
  <si>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</si>
  <si>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</si>
  <si>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</si>
  <si>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</si>
  <si>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</si>
  <si>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</si>
  <si>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</si>
  <si>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</si>
  <si>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</si>
  <si>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</si>
  <si>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</si>
  <si>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</si>
  <si>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</si>
  <si>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</si>
  <si>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</si>
  <si>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</si>
  <si>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</si>
  <si>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</si>
  <si>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</si>
  <si>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</si>
  <si>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</si>
  <si>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</si>
  <si>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</si>
  <si>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</si>
  <si>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</si>
  <si>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</si>
  <si>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</si>
  <si>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</si>
  <si>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</si>
  <si>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</si>
  <si>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</si>
  <si>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</si>
  <si>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</si>
  <si>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</si>
  <si>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</si>
  <si>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</si>
  <si>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</si>
  <si>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</si>
  <si>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</si>
  <si>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</si>
  <si>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</si>
  <si>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</si>
  <si>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</si>
  <si>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</si>
  <si>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</si>
  <si>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</si>
  <si>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</si>
  <si>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</si>
  <si>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</si>
  <si>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</si>
  <si>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</si>
  <si>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</si>
  <si>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</si>
  <si>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</si>
  <si>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</si>
  <si>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</si>
  <si>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</si>
  <si>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</si>
  <si>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</si>
  <si>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</si>
  <si>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</si>
  <si>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</si>
  <si>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</si>
  <si>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</si>
  <si>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</si>
  <si>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</si>
  <si>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</si>
  <si>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</si>
  <si>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</si>
  <si>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</si>
  <si>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</si>
  <si>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</si>
  <si>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</si>
  <si>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</si>
  <si>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</si>
  <si>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</si>
  <si>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</si>
  <si>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</si>
  <si>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</si>
  <si>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</si>
  <si>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</si>
  <si>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</si>
  <si>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</si>
  <si>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</si>
  <si>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</si>
  <si>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</si>
  <si>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</si>
  <si>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</si>
  <si>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</si>
  <si>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</si>
  <si>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</si>
  <si>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</si>
  <si>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</si>
  <si>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</si>
  <si>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</si>
  <si>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</si>
  <si>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</si>
  <si>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</si>
  <si>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</si>
  <si>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</si>
  <si>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</si>
  <si>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</si>
  <si>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</si>
  <si>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</si>
  <si>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</si>
  <si>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</si>
  <si>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</si>
  <si>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</si>
  <si>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</si>
  <si>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</si>
  <si>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</si>
  <si>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</si>
  <si>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</si>
  <si>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</si>
  <si>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</si>
  <si>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</si>
  <si>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</si>
  <si>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</si>
  <si>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</si>
  <si>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</si>
  <si>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</si>
  <si>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</si>
  <si>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</si>
  <si>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</si>
  <si>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</si>
  <si>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</si>
  <si>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</si>
  <si>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</si>
  <si>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</si>
  <si>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</si>
  <si>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</si>
  <si>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</si>
  <si>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</si>
  <si>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</si>
  <si>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</si>
  <si>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</si>
  <si>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</si>
  <si>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</si>
  <si>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</si>
  <si>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</si>
  <si>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</si>
  <si>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</si>
  <si>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</si>
  <si>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</si>
  <si>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</si>
  <si>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</si>
  <si>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</si>
  <si>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</si>
  <si>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</si>
  <si>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</si>
  <si>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</si>
  <si>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</si>
  <si>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</si>
  <si>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</si>
  <si>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</si>
  <si>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</si>
  <si>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</si>
  <si>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</si>
  <si>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</si>
  <si>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</si>
  <si>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</si>
  <si>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</si>
  <si>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</si>
  <si>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</si>
  <si>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</si>
  <si>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</si>
  <si>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</si>
  <si>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</si>
  <si>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</si>
  <si>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</si>
  <si>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</si>
  <si>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</si>
  <si>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</si>
  <si>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</si>
  <si>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</si>
  <si>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</si>
  <si>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</si>
  <si>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</si>
  <si>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</si>
  <si>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</si>
  <si>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</si>
  <si>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</si>
  <si>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</si>
  <si>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</si>
  <si>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</si>
  <si>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</si>
  <si>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</si>
  <si>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</si>
  <si>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</si>
  <si>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</si>
  <si>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</si>
  <si>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</si>
  <si>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</si>
  <si>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</si>
  <si>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</si>
  <si>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</si>
  <si>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</si>
  <si>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</si>
  <si>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</si>
  <si>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</si>
  <si>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</si>
  <si>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</si>
  <si>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</si>
  <si>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</si>
  <si>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</si>
  <si>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</si>
  <si>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</si>
  <si>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</si>
  <si>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</si>
  <si>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</si>
  <si>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</si>
  <si>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</si>
  <si>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</si>
  <si>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</si>
  <si>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</si>
  <si>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</si>
  <si>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</si>
  <si>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</si>
  <si>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</si>
  <si>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</si>
  <si>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</si>
  <si>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</si>
  <si>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</si>
  <si>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</si>
  <si>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</si>
  <si>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</si>
  <si>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</si>
  <si>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</si>
  <si>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</si>
  <si>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</si>
  <si>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</si>
  <si>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</si>
  <si>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</si>
  <si>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</si>
  <si>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</si>
  <si>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</si>
  <si>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</si>
  <si>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</si>
  <si>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</si>
  <si>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</si>
  <si>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</si>
  <si>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</si>
  <si>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</si>
  <si>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</si>
  <si>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</si>
  <si>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</si>
  <si>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</si>
  <si>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</si>
  <si>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</si>
  <si>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</si>
  <si>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</si>
  <si>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</si>
  <si>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</si>
  <si>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</si>
  <si>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</si>
  <si>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</si>
  <si>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</si>
  <si>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</si>
  <si>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</si>
  <si>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</si>
  <si>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</si>
  <si>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</si>
  <si>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</si>
  <si>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</si>
  <si>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</si>
  <si>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</si>
  <si>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</si>
  <si>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</si>
  <si>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</si>
  <si>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</si>
  <si>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</si>
  <si>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</si>
  <si>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</si>
  <si>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</si>
  <si>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</si>
  <si>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</si>
  <si>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</si>
  <si>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</si>
  <si>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</si>
  <si>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</si>
  <si>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</si>
  <si>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</si>
  <si>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</si>
  <si>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</si>
  <si>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</si>
  <si>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</si>
  <si>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</si>
  <si>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</si>
  <si>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</si>
  <si>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</si>
  <si>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</si>
  <si>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</si>
  <si>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</si>
  <si>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</si>
  <si>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</si>
  <si>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</si>
  <si>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</si>
  <si>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</si>
  <si>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</si>
  <si>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</si>
  <si>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</si>
  <si>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</si>
  <si>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</si>
  <si>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</si>
  <si>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</si>
  <si>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</si>
  <si>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</si>
  <si>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</si>
  <si>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</si>
  <si>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</si>
  <si>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</si>
  <si>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</si>
  <si>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</si>
  <si>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</si>
  <si>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</si>
  <si>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</si>
  <si>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</si>
  <si>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</si>
  <si>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</si>
  <si>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</si>
  <si>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</si>
  <si>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</si>
  <si>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</si>
  <si>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</si>
  <si>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</si>
  <si>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</si>
  <si>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</si>
  <si>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</si>
  <si>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</si>
  <si>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</si>
  <si>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</si>
  <si>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</si>
  <si>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</si>
  <si>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</si>
  <si>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</si>
  <si>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</si>
  <si>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</si>
  <si>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</si>
  <si>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</si>
  <si>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</si>
  <si>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</si>
  <si>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</si>
  <si>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</si>
  <si>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</si>
  <si>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</si>
  <si>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</si>
  <si>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</si>
  <si>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</si>
  <si>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</si>
  <si>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</si>
  <si>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</si>
  <si>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</si>
  <si>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</si>
  <si>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</si>
  <si>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</si>
  <si>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</si>
  <si>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</si>
  <si>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</si>
  <si>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</si>
  <si>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</si>
  <si>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</si>
  <si>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</si>
  <si>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</si>
  <si>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</si>
  <si>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</si>
  <si>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</si>
  <si>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</si>
  <si>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</si>
  <si>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</si>
  <si>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</si>
  <si>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</si>
  <si>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</si>
  <si>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</si>
  <si>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</si>
  <si>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</si>
  <si>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</si>
  <si>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</si>
  <si>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</si>
  <si>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</si>
  <si>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</si>
  <si>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</si>
  <si>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</si>
  <si>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</si>
  <si>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</si>
  <si>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</si>
  <si>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</si>
  <si>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</si>
  <si>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</si>
  <si>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</si>
  <si>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</si>
  <si>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</si>
  <si>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</si>
  <si>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</si>
  <si>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</si>
  <si>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</si>
  <si>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</si>
  <si>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</si>
  <si>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</si>
  <si>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</si>
  <si>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</si>
  <si>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</si>
  <si>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</si>
  <si>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</si>
  <si>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</si>
  <si>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</si>
  <si>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</si>
  <si>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</si>
  <si>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</si>
  <si>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</si>
  <si>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</si>
  <si>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</si>
  <si>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</si>
  <si>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</si>
  <si>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</si>
  <si>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</si>
  <si>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</si>
  <si>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</si>
  <si>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</si>
  <si>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</si>
  <si>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</si>
  <si>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</si>
  <si>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</si>
  <si>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</si>
  <si>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</si>
  <si>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</si>
  <si>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</si>
  <si>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</si>
  <si>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</si>
  <si>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</si>
  <si>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</si>
  <si>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</si>
  <si>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</si>
  <si>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</si>
  <si>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</si>
  <si>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</si>
  <si>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</si>
  <si>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</si>
  <si>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</si>
  <si>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</si>
  <si>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</si>
  <si>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</si>
  <si>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</si>
  <si>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</si>
  <si>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</si>
  <si>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</si>
  <si>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</si>
  <si>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</si>
  <si>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</si>
  <si>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</si>
  <si>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</si>
  <si>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</si>
  <si>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</si>
  <si>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</si>
  <si>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</si>
  <si>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</si>
  <si>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</si>
  <si>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</si>
  <si>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</si>
  <si>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</si>
  <si>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</si>
  <si>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</si>
  <si>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</si>
  <si>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</si>
  <si>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</si>
  <si>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</si>
  <si>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</si>
  <si>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</si>
  <si>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</si>
  <si>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</si>
  <si>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</si>
  <si>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</si>
  <si>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</si>
  <si>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</si>
  <si>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</si>
  <si>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</si>
  <si>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</si>
  <si>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</si>
  <si>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</si>
  <si>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</si>
  <si>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</si>
  <si>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</si>
  <si>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</si>
  <si>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</si>
  <si>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</si>
  <si>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</si>
  <si>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</si>
  <si>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</si>
  <si>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</si>
  <si>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</si>
  <si>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</si>
  <si>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</si>
  <si>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</si>
  <si>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</si>
  <si>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</si>
  <si>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</si>
  <si>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</si>
  <si>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</si>
  <si>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</si>
  <si>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</si>
  <si>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</si>
  <si>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</si>
  <si>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</si>
  <si>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</si>
  <si>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</si>
  <si>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</si>
  <si>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</si>
  <si>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</si>
  <si>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</si>
  <si>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</si>
  <si>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</si>
  <si>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</si>
  <si>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</si>
  <si>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</si>
  <si>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</si>
  <si>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</si>
  <si>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</si>
  <si>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</si>
  <si>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</si>
  <si>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</si>
  <si>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</si>
  <si>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</si>
  <si>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</si>
  <si>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</si>
  <si>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</si>
  <si>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</si>
  <si>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</si>
  <si>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</si>
  <si>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</si>
  <si>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</si>
  <si>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</si>
  <si>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</si>
  <si>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</si>
  <si>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</si>
  <si>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</si>
  <si>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</si>
  <si>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</si>
  <si>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</si>
  <si>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</si>
  <si>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</si>
  <si>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</si>
  <si>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</si>
  <si>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</si>
  <si>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</si>
  <si>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</si>
  <si>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</si>
  <si>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</si>
  <si>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</si>
  <si>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</si>
  <si>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</si>
  <si>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</si>
  <si>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</si>
  <si>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</si>
  <si>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</si>
  <si>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</si>
  <si>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</si>
  <si>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</si>
  <si>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</si>
  <si>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</si>
  <si>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</si>
  <si>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</si>
  <si>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</si>
  <si>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</si>
  <si>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</si>
  <si>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</si>
  <si>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</si>
  <si>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</si>
  <si>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</si>
  <si>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</si>
  <si>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</si>
  <si>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</si>
  <si>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</si>
  <si>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</si>
  <si>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</si>
  <si>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</si>
  <si>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</si>
  <si>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</si>
  <si>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</si>
  <si>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</si>
  <si>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</si>
  <si>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</si>
  <si>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</si>
  <si>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</si>
  <si>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</si>
  <si>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</si>
  <si>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</si>
  <si>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</si>
  <si>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</si>
  <si>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</si>
  <si>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</si>
  <si>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</si>
  <si>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</si>
  <si>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</si>
  <si>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</si>
  <si>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</si>
  <si>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</si>
  <si>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</si>
  <si>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</si>
  <si>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</si>
  <si>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</si>
  <si>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</si>
  <si>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</si>
  <si>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</si>
  <si>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</si>
  <si>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</si>
  <si>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</si>
  <si>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</si>
  <si>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</si>
  <si>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</si>
  <si>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</si>
  <si>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</si>
  <si>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</si>
  <si>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</si>
  <si>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</si>
  <si>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</si>
  <si>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</si>
  <si>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</si>
  <si>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</si>
  <si>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</si>
  <si>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</si>
  <si>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</si>
  <si>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</si>
  <si>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</si>
  <si>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</si>
  <si>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</si>
  <si>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</si>
  <si>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</si>
  <si>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</si>
  <si>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</si>
  <si>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</si>
  <si>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</si>
  <si>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</si>
  <si>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</si>
  <si>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</si>
  <si>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</si>
  <si>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</si>
  <si>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</si>
  <si>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</si>
  <si>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</si>
  <si>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</si>
  <si>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</si>
  <si>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</si>
  <si>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</si>
  <si>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</si>
  <si>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</si>
  <si>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</si>
  <si>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</si>
  <si>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</si>
  <si>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</si>
  <si>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</si>
  <si>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</si>
  <si>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</si>
  <si>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</si>
  <si>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</si>
  <si>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</si>
  <si>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</si>
  <si>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</si>
  <si>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</si>
  <si>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</si>
  <si>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</si>
  <si>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</si>
  <si>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</si>
  <si>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</si>
  <si>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</si>
  <si>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</si>
  <si>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</si>
  <si>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</si>
  <si>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</si>
  <si>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</si>
  <si>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</si>
  <si>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</si>
  <si>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</si>
  <si>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</si>
  <si>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</si>
  <si>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</si>
  <si>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</si>
  <si>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</si>
  <si>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</si>
  <si>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</si>
  <si>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</si>
  <si>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</si>
  <si>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</si>
  <si>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</si>
  <si>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</si>
  <si>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</si>
  <si>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</si>
  <si>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</si>
  <si>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</si>
  <si>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</si>
  <si>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</si>
  <si>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</si>
  <si>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</si>
  <si>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</si>
  <si>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</si>
  <si>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</si>
  <si>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</si>
  <si>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</si>
  <si>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</si>
  <si>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</si>
  <si>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</si>
  <si>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</si>
  <si>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</si>
  <si>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</si>
  <si>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</si>
  <si>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</si>
  <si>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</si>
  <si>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</si>
  <si>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</si>
  <si>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</si>
  <si>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</si>
  <si>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</si>
  <si>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</si>
  <si>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</si>
  <si>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</si>
  <si>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</si>
  <si>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</si>
  <si>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</si>
  <si>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</si>
  <si>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</si>
  <si>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</si>
  <si>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</si>
  <si>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</si>
  <si>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</si>
  <si>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</si>
  <si>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</si>
  <si>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</si>
  <si>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</si>
  <si>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</si>
  <si>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</si>
  <si>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</si>
  <si>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</si>
  <si>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</si>
  <si>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</si>
  <si>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</si>
  <si>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</si>
  <si>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</si>
  <si>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</si>
  <si>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</si>
  <si>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</si>
  <si>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</si>
  <si>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</si>
  <si>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</si>
  <si>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</si>
  <si>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</si>
  <si>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</si>
  <si>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</si>
  <si>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</si>
  <si>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</si>
  <si>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</si>
  <si>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</si>
  <si>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</si>
  <si>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</si>
  <si>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</si>
  <si>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</si>
  <si>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</si>
  <si>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</si>
  <si>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</si>
  <si>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</si>
  <si>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</si>
  <si>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</si>
  <si>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</si>
  <si>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</si>
  <si>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</si>
  <si>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</si>
  <si>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</si>
  <si>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</si>
  <si>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</si>
  <si>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</si>
  <si>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</si>
  <si>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</si>
  <si>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</si>
  <si>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</si>
  <si>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</si>
  <si>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</si>
  <si>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</si>
  <si>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</si>
  <si>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</si>
  <si>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</si>
  <si>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</si>
  <si>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</si>
  <si>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</si>
  <si>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</si>
  <si>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</si>
  <si>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</si>
  <si>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</si>
  <si>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</si>
  <si>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</si>
  <si>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</si>
  <si>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</si>
  <si>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</si>
  <si>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</si>
  <si>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</si>
  <si>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</si>
  <si>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</si>
  <si>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</si>
  <si>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</si>
  <si>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</si>
  <si>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</si>
  <si>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</si>
  <si>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</si>
  <si>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王鹏</t>
  </si>
  <si>
    <t>郑燚</t>
  </si>
  <si>
    <t>国民信托有限公司</t>
    <phoneticPr fontId="6" type="noConversion"/>
  </si>
  <si>
    <t>抵押</t>
  </si>
  <si>
    <t>房地产抵押价值</t>
  </si>
  <si>
    <t>企业</t>
  </si>
  <si>
    <t>出让</t>
  </si>
  <si>
    <t>湖北省黄石市</t>
    <phoneticPr fontId="6" type="noConversion"/>
  </si>
  <si>
    <t>否</t>
  </si>
  <si>
    <t>《不动产权证书》</t>
  </si>
  <si>
    <t>商业项目</t>
  </si>
  <si>
    <t>无</t>
  </si>
  <si>
    <t>现房</t>
  </si>
  <si>
    <t>通路</t>
  </si>
  <si>
    <t>通电</t>
  </si>
  <si>
    <t>通讯</t>
  </si>
  <si>
    <t>通上水</t>
  </si>
  <si>
    <t>通下水</t>
  </si>
  <si>
    <t>燃气</t>
  </si>
  <si>
    <t>是</t>
  </si>
  <si>
    <t>地上</t>
  </si>
  <si>
    <t>商铺</t>
  </si>
  <si>
    <t>商铺</t>
    <phoneticPr fontId="7" type="noConversion"/>
  </si>
  <si>
    <t>成新度</t>
  </si>
  <si>
    <t>押一</t>
  </si>
  <si>
    <t>按租金收入计税</t>
  </si>
  <si>
    <t>钢混</t>
  </si>
  <si>
    <t>非生产用房</t>
  </si>
  <si>
    <t>比较法-商业</t>
  </si>
  <si>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</si>
  <si>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</si>
  <si>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</si>
  <si>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t>系数</t>
    <phoneticPr fontId="3" type="noConversion"/>
  </si>
  <si>
    <t>租金</t>
    <phoneticPr fontId="3" type="noConversion"/>
  </si>
  <si>
    <t>售价</t>
  </si>
  <si>
    <t>商业</t>
    <phoneticPr fontId="31" type="noConversion"/>
  </si>
  <si>
    <t>多面临街</t>
    <phoneticPr fontId="31" type="noConversion"/>
  </si>
  <si>
    <t>双面临街</t>
  </si>
  <si>
    <t>双面临街</t>
    <phoneticPr fontId="31" type="noConversion"/>
  </si>
  <si>
    <t>单面临街</t>
    <phoneticPr fontId="31" type="noConversion"/>
  </si>
  <si>
    <t>不临街</t>
    <phoneticPr fontId="31" type="noConversion"/>
  </si>
  <si>
    <t>较好</t>
  </si>
  <si>
    <t>较好</t>
    <phoneticPr fontId="31" type="noConversion"/>
  </si>
  <si>
    <t>一般</t>
  </si>
  <si>
    <t>一般</t>
    <phoneticPr fontId="31" type="noConversion"/>
  </si>
  <si>
    <t>较大</t>
    <phoneticPr fontId="31" type="noConversion"/>
  </si>
  <si>
    <t>较小</t>
  </si>
  <si>
    <t>较小</t>
    <phoneticPr fontId="31" type="noConversion"/>
  </si>
  <si>
    <r>
      <rPr>
        <sz val="11"/>
        <color indexed="8"/>
        <rFont val="宋体"/>
        <family val="3"/>
        <charset val="134"/>
      </rPr>
      <t>第</t>
    </r>
    <r>
      <rPr>
        <sz val="11"/>
        <color indexed="8"/>
        <rFont val="Arial"/>
        <family val="2"/>
      </rPr>
      <t>2</t>
    </r>
    <r>
      <rPr>
        <sz val="11"/>
        <color indexed="8"/>
        <rFont val="宋体"/>
        <family val="3"/>
        <charset val="134"/>
      </rPr>
      <t>层</t>
    </r>
    <phoneticPr fontId="31" type="noConversion"/>
  </si>
  <si>
    <r>
      <rPr>
        <sz val="11"/>
        <color indexed="8"/>
        <rFont val="宋体"/>
        <family val="3"/>
        <charset val="134"/>
      </rPr>
      <t>第</t>
    </r>
    <r>
      <rPr>
        <sz val="11"/>
        <color indexed="8"/>
        <rFont val="Arial"/>
        <family val="2"/>
      </rPr>
      <t>3</t>
    </r>
    <r>
      <rPr>
        <sz val="11"/>
        <color indexed="8"/>
        <rFont val="宋体"/>
        <family val="3"/>
        <charset val="134"/>
      </rPr>
      <t>层</t>
    </r>
    <phoneticPr fontId="31" type="noConversion"/>
  </si>
  <si>
    <t>第1层</t>
  </si>
  <si>
    <t>第1层</t>
    <phoneticPr fontId="31" type="noConversion"/>
  </si>
  <si>
    <t>临街商铺</t>
    <phoneticPr fontId="31" type="noConversion"/>
  </si>
  <si>
    <t>住宅底商</t>
  </si>
  <si>
    <t>住宅底商</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</si>
  <si>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</si>
  <si>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</si>
  <si>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</si>
  <si>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</si>
  <si>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</si>
  <si>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</si>
  <si>
    <t>毛坯</t>
    <phoneticPr fontId="31" type="noConversion"/>
  </si>
  <si>
    <t>六通</t>
  </si>
  <si>
    <t>六通</t>
    <phoneticPr fontId="31" type="noConversion"/>
  </si>
  <si>
    <r>
      <t>0</t>
    </r>
    <r>
      <rPr>
        <sz val="11"/>
        <color theme="1"/>
        <rFont val="宋体"/>
        <family val="3"/>
        <charset val="134"/>
      </rPr>
      <t>（含）</t>
    </r>
    <r>
      <rPr>
        <sz val="11"/>
        <color theme="1"/>
        <rFont val="Arial"/>
        <family val="2"/>
      </rPr>
      <t>-200</t>
    </r>
    <phoneticPr fontId="31" type="noConversion"/>
  </si>
  <si>
    <r>
      <t>200</t>
    </r>
    <r>
      <rPr>
        <sz val="11"/>
        <color theme="1"/>
        <rFont val="宋体"/>
        <family val="3"/>
        <charset val="134"/>
      </rPr>
      <t>（含）</t>
    </r>
    <r>
      <rPr>
        <sz val="11"/>
        <color theme="1"/>
        <rFont val="Arial"/>
        <family val="2"/>
      </rPr>
      <t>-500</t>
    </r>
    <phoneticPr fontId="31" type="noConversion"/>
  </si>
  <si>
    <r>
      <t>500</t>
    </r>
    <r>
      <rPr>
        <sz val="11"/>
        <color theme="1"/>
        <rFont val="宋体"/>
        <family val="3"/>
        <charset val="134"/>
      </rPr>
      <t>（含）</t>
    </r>
    <r>
      <rPr>
        <sz val="11"/>
        <color theme="1"/>
        <rFont val="Arial"/>
        <family val="2"/>
      </rPr>
      <t>-1000</t>
    </r>
    <phoneticPr fontId="31" type="noConversion"/>
  </si>
  <si>
    <r>
      <t>1000</t>
    </r>
    <r>
      <rPr>
        <sz val="11"/>
        <color theme="1"/>
        <rFont val="宋体"/>
        <family val="3"/>
        <charset val="134"/>
      </rPr>
      <t>（含）</t>
    </r>
    <r>
      <rPr>
        <sz val="11"/>
        <color theme="1"/>
        <rFont val="Arial"/>
        <family val="2"/>
      </rPr>
      <t>-2000</t>
    </r>
    <phoneticPr fontId="31" type="noConversion"/>
  </si>
  <si>
    <r>
      <t>2000</t>
    </r>
    <r>
      <rPr>
        <sz val="11"/>
        <color theme="1"/>
        <rFont val="宋体"/>
        <family val="3"/>
        <charset val="134"/>
      </rPr>
      <t>以上（含）</t>
    </r>
    <phoneticPr fontId="31" type="noConversion"/>
  </si>
  <si>
    <t>第2层</t>
  </si>
  <si>
    <t>商业综合体</t>
    <phoneticPr fontId="31" type="noConversion"/>
  </si>
  <si>
    <t>序号</t>
    <phoneticPr fontId="140" type="noConversion"/>
  </si>
  <si>
    <t>权利人</t>
    <phoneticPr fontId="140" type="noConversion"/>
  </si>
  <si>
    <t>证号</t>
    <phoneticPr fontId="140" type="noConversion"/>
  </si>
  <si>
    <t>坐落</t>
    <phoneticPr fontId="140" type="noConversion"/>
  </si>
  <si>
    <t>用途</t>
    <phoneticPr fontId="140" type="noConversion"/>
  </si>
  <si>
    <t>建筑面积（㎡）</t>
    <phoneticPr fontId="140" type="noConversion"/>
  </si>
  <si>
    <t>共有宗地面积（㎡）</t>
    <phoneticPr fontId="140" type="noConversion"/>
  </si>
  <si>
    <t>使用期限</t>
    <phoneticPr fontId="140" type="noConversion"/>
  </si>
  <si>
    <t>建筑结构</t>
    <phoneticPr fontId="140" type="noConversion"/>
  </si>
  <si>
    <t>建成年代</t>
    <phoneticPr fontId="140" type="noConversion"/>
  </si>
  <si>
    <t>大冶市国有资产经营有限公司</t>
    <phoneticPr fontId="140" type="noConversion"/>
  </si>
  <si>
    <r>
      <rPr>
        <sz val="10"/>
        <color theme="9" tint="-0.249977111117893"/>
        <rFont val="宋体"/>
        <family val="3"/>
        <charset val="134"/>
      </rPr>
      <t>《不动产权证书》</t>
    </r>
    <r>
      <rPr>
        <sz val="10"/>
        <color theme="9" tint="-0.249977111117893"/>
        <rFont val="Arial"/>
        <family val="2"/>
      </rPr>
      <t>[</t>
    </r>
    <r>
      <rPr>
        <sz val="10"/>
        <color theme="9" tint="-0.249977111117893"/>
        <rFont val="Arial"/>
        <family val="2"/>
      </rPr>
      <t>]</t>
    </r>
    <r>
      <rPr>
        <sz val="10"/>
        <color theme="9" tint="-0.249977111117893"/>
        <rFont val="宋体"/>
        <family val="3"/>
        <charset val="134"/>
      </rPr>
      <t/>
    </r>
    <phoneticPr fontId="6" type="noConversion"/>
  </si>
  <si>
    <r>
      <rPr>
        <sz val="10"/>
        <color theme="9" tint="-0.249977111117893"/>
        <rFont val="宋体"/>
        <family val="3"/>
        <charset val="134"/>
      </rPr>
      <t>其他商服用地</t>
    </r>
    <r>
      <rPr>
        <sz val="10"/>
        <color theme="9" tint="-0.249977111117893"/>
        <rFont val="Arial"/>
        <family val="2"/>
      </rPr>
      <t>/</t>
    </r>
    <r>
      <rPr>
        <sz val="10"/>
        <color theme="9" tint="-0.249977111117893"/>
        <rFont val="宋体"/>
        <family val="3"/>
        <charset val="134"/>
      </rPr>
      <t>营业</t>
    </r>
    <phoneticPr fontId="6" type="noConversion"/>
  </si>
  <si>
    <t>其他商服用地/营业</t>
    <phoneticPr fontId="140" type="noConversion"/>
  </si>
  <si>
    <t>鄂（2019）大冶市不动产权第0016133号</t>
    <phoneticPr fontId="140" type="noConversion"/>
  </si>
  <si>
    <t>大冶市东岳路街道办事处商城路4号</t>
    <phoneticPr fontId="140" type="noConversion"/>
  </si>
  <si>
    <t>混合</t>
    <phoneticPr fontId="140" type="noConversion"/>
  </si>
  <si>
    <t>总层数</t>
    <phoneticPr fontId="140" type="noConversion"/>
  </si>
  <si>
    <t>所在楼层</t>
    <phoneticPr fontId="140" type="noConversion"/>
  </si>
  <si>
    <t>共3层</t>
    <phoneticPr fontId="140" type="noConversion"/>
  </si>
  <si>
    <t>专有建筑面积（㎡）</t>
    <phoneticPr fontId="140" type="noConversion"/>
  </si>
  <si>
    <t>分摊建筑面积（㎡）</t>
    <phoneticPr fontId="140" type="noConversion"/>
  </si>
  <si>
    <t>鄂（2019）大冶市不动产权第0016134号</t>
  </si>
  <si>
    <t>鄂（2019）大冶市不动产权第0016140号</t>
    <phoneticPr fontId="140" type="noConversion"/>
  </si>
  <si>
    <t>鄂（2019）大冶市不动产权第0016137号</t>
    <phoneticPr fontId="140" type="noConversion"/>
  </si>
  <si>
    <t>鄂（2019）大冶市不动产权第0016142号</t>
    <phoneticPr fontId="140" type="noConversion"/>
  </si>
  <si>
    <t>鄂（2019）大冶市不动产权第0016141号</t>
    <phoneticPr fontId="140" type="noConversion"/>
  </si>
  <si>
    <t>鄂（2019）大冶市不动产权第0016132号</t>
    <phoneticPr fontId="140" type="noConversion"/>
  </si>
  <si>
    <t>鄂（2019）大冶市不动产权第0016138号</t>
    <phoneticPr fontId="140" type="noConversion"/>
  </si>
  <si>
    <t>鄂（2019）大冶市不动产权第0016465号</t>
    <phoneticPr fontId="140" type="noConversion"/>
  </si>
  <si>
    <t>大冶市东岳路街道办事处商城路4号大冶商城9（J）栋J1-2</t>
    <phoneticPr fontId="140" type="noConversion"/>
  </si>
  <si>
    <t>鄂（2019）大冶市不动产权第0016466号</t>
  </si>
  <si>
    <t>鄂（2019）大冶市不动产权第0016467号</t>
  </si>
  <si>
    <t>鄂（2019）大冶市不动产权第0016468号</t>
  </si>
  <si>
    <t>鄂（2019）大冶市不动产权第0016469号</t>
  </si>
  <si>
    <t>鄂（2019）大冶市不动产权第0016470号</t>
  </si>
  <si>
    <t>鄂（2019）大冶市不动产权第0016471号</t>
  </si>
  <si>
    <t>大冶市东岳路街道办事处商城路4号大冶商城9（J）栋J1-3</t>
    <phoneticPr fontId="140" type="noConversion"/>
  </si>
  <si>
    <t>大冶市东岳路街道办事处商城路4号大冶商城9（J）栋J2-2</t>
    <phoneticPr fontId="140" type="noConversion"/>
  </si>
  <si>
    <t>大冶市东岳路街道办事处商城路4号大冶商城9（J）栋J2-3</t>
    <phoneticPr fontId="140" type="noConversion"/>
  </si>
  <si>
    <t>大冶市东岳路街道办事处商城路4号大冶商城9（J）栋J2-4</t>
    <phoneticPr fontId="140" type="noConversion"/>
  </si>
  <si>
    <t>大冶市东岳路街道办事处商城路4号大冶商城9（J）栋J3-2</t>
    <phoneticPr fontId="140" type="noConversion"/>
  </si>
  <si>
    <t>大冶市东岳路街道办事处商城路4号大冶商城9（J）栋J3-3</t>
    <phoneticPr fontId="140" type="noConversion"/>
  </si>
  <si>
    <t>鄂（2019）大冶市不动产权第0016139号</t>
    <phoneticPr fontId="140" type="noConversion"/>
  </si>
  <si>
    <t>鄂（2019）大冶市不动产权第0016135号</t>
    <phoneticPr fontId="140" type="noConversion"/>
  </si>
  <si>
    <t>鄂（2019）大冶市不动产权第0016136号</t>
    <phoneticPr fontId="140" type="noConversion"/>
  </si>
  <si>
    <t>合计</t>
    <phoneticPr fontId="140" type="noConversion"/>
  </si>
  <si>
    <t>收益法 (元)</t>
  </si>
  <si>
    <t>城西路9号</t>
    <phoneticPr fontId="3" type="noConversion"/>
  </si>
  <si>
    <t>韵之声艺术培训学校</t>
    <phoneticPr fontId="31" type="noConversion"/>
  </si>
  <si>
    <t>30-40（含）</t>
  </si>
  <si>
    <t>普通装修</t>
  </si>
  <si>
    <t>杉树排</t>
    <phoneticPr fontId="3" type="noConversion"/>
  </si>
  <si>
    <t>单面临街</t>
  </si>
  <si>
    <r>
      <t>200</t>
    </r>
    <r>
      <rPr>
        <sz val="11"/>
        <color theme="1"/>
        <rFont val="宋体"/>
        <family val="3"/>
        <charset val="134"/>
      </rPr>
      <t>以上</t>
    </r>
    <phoneticPr fontId="31" type="noConversion"/>
  </si>
  <si>
    <t>第3层</t>
  </si>
  <si>
    <t>所在楼层</t>
    <phoneticPr fontId="25" type="noConversion"/>
  </si>
  <si>
    <t>较规则</t>
  </si>
  <si>
    <t>较规则</t>
    <phoneticPr fontId="31" type="noConversion"/>
  </si>
  <si>
    <t>较不规则</t>
    <phoneticPr fontId="31" type="noConversion"/>
  </si>
  <si>
    <t>不规则</t>
    <phoneticPr fontId="31" type="noConversion"/>
  </si>
  <si>
    <t>较合适</t>
    <phoneticPr fontId="31" type="noConversion"/>
  </si>
  <si>
    <t>七通</t>
    <phoneticPr fontId="31" type="noConversion"/>
  </si>
  <si>
    <t>五通</t>
    <phoneticPr fontId="31" type="noConversion"/>
  </si>
  <si>
    <t>四通</t>
    <phoneticPr fontId="31" type="noConversion"/>
  </si>
  <si>
    <t>三通</t>
    <phoneticPr fontId="31" type="noConversion"/>
  </si>
  <si>
    <t>未包含在土地购买价格中</t>
  </si>
  <si>
    <t>全部缴纳</t>
  </si>
  <si>
    <t>已包含在土地取得成本中</t>
  </si>
  <si>
    <t>地块名称</t>
  </si>
  <si>
    <t>城市</t>
  </si>
  <si>
    <t>用地性质</t>
  </si>
  <si>
    <t>地块编号</t>
  </si>
  <si>
    <t>建设用地面积(㎡)</t>
  </si>
  <si>
    <t>规划建筑面积(㎡)</t>
  </si>
  <si>
    <t>容积率</t>
  </si>
  <si>
    <t>出让方式</t>
  </si>
  <si>
    <t>详细规划</t>
  </si>
  <si>
    <t>集中供地</t>
  </si>
  <si>
    <t>商业比例</t>
  </si>
  <si>
    <t>成交特殊政策</t>
  </si>
  <si>
    <t>开发进度</t>
  </si>
  <si>
    <t>成交日期</t>
  </si>
  <si>
    <t>受让单位</t>
  </si>
  <si>
    <t>成交价(万元)</t>
  </si>
  <si>
    <t>成交每亩价(万元/亩)</t>
  </si>
  <si>
    <t>成交楼面价(元/㎡)</t>
  </si>
  <si>
    <t>溢价率</t>
  </si>
  <si>
    <t>出让年限</t>
  </si>
  <si>
    <t>竞报商办部分自持比例(%)</t>
  </si>
  <si>
    <t>土地星级</t>
  </si>
  <si>
    <t>还地桥镇港南路以南、13号路以北C地块</t>
  </si>
  <si>
    <t>黄石市</t>
  </si>
  <si>
    <t>商业/办公用地</t>
  </si>
  <si>
    <t>G22098</t>
  </si>
  <si>
    <t>小于或等于3</t>
  </si>
  <si>
    <t>挂牌</t>
  </si>
  <si>
    <t>未开工</t>
  </si>
  <si>
    <t>2022-05-06</t>
  </si>
  <si>
    <t>湖北千瑞置业有限公司</t>
  </si>
  <si>
    <t>40年</t>
  </si>
  <si>
    <t>2星</t>
  </si>
  <si>
    <t>殷祖镇五庄村黄五庄湾四组南侧、村委会东侧地块</t>
  </si>
  <si>
    <t>G22095</t>
  </si>
  <si>
    <t>小于或等于1</t>
  </si>
  <si>
    <t>大冶市五四家庭农场</t>
  </si>
  <si>
    <t>1星</t>
  </si>
  <si>
    <t>大箕铺镇曹家堍村高铁南路东侧地块</t>
  </si>
  <si>
    <t>G22092</t>
  </si>
  <si>
    <t>大冶市交通投资有限公司</t>
  </si>
  <si>
    <t>大冶市铜都大道以西、畈口路以北、跳石路以南地块</t>
  </si>
  <si>
    <t>G21163</t>
  </si>
  <si>
    <t>小于或等于2</t>
  </si>
  <si>
    <t>2022-04-15</t>
  </si>
  <si>
    <t>湖北元创建设开发有限公司</t>
  </si>
  <si>
    <t>4星</t>
  </si>
  <si>
    <t>大冶市东风农场铁东线以北、北练山以南A地块</t>
  </si>
  <si>
    <t>G22009</t>
  </si>
  <si>
    <t>小于或等于3.1</t>
  </si>
  <si>
    <t>湖北光谷东国有资本投资运营集团有限公司</t>
  </si>
  <si>
    <t>东风农场杨家洲分场南侧、007县道西侧7#地块</t>
  </si>
  <si>
    <t>G22017</t>
  </si>
  <si>
    <t>大冶市铜都大道以西、畈口路以南、罗金路以北地块</t>
  </si>
  <si>
    <t>G21169</t>
  </si>
  <si>
    <t>大冶市铜都大道以西、罗金大道以南、金墩路以北地块</t>
  </si>
  <si>
    <t>G21166</t>
  </si>
  <si>
    <t>大冶市铜都大道以西、紫金路以北地块</t>
  </si>
  <si>
    <t>G21168</t>
  </si>
  <si>
    <t>大冶市铜都大道以西、鳌山路以南、惠民路以北地块</t>
  </si>
  <si>
    <t>G21167</t>
  </si>
  <si>
    <t>大冶市铜都大道以西、长乐大道以北、金墩路以南地块</t>
  </si>
  <si>
    <t>G21164</t>
  </si>
  <si>
    <t>大冶市铜都大道以西、长乐大道以南、鳌山路以北地块</t>
  </si>
  <si>
    <t>G21165</t>
  </si>
  <si>
    <t>东风农场杨家洲分场南侧、007县道北侧A地块</t>
  </si>
  <si>
    <t>G22022</t>
  </si>
  <si>
    <t>2022-03-01</t>
  </si>
  <si>
    <t>大冶市东风农场铁东线以北、北练山以南B地块</t>
  </si>
  <si>
    <t>G22010</t>
  </si>
  <si>
    <t>东风农场杨家洲分场南侧、007县道北侧B地块</t>
  </si>
  <si>
    <t>G22023</t>
  </si>
  <si>
    <t>东风农场杨家洲分场南侧、007县道西侧6#地块</t>
  </si>
  <si>
    <t>G22016</t>
  </si>
  <si>
    <t>大冶市还地桥镇新畈村碧溪公路东侧、黄鄂公路西侧地块</t>
  </si>
  <si>
    <t>G22048</t>
  </si>
  <si>
    <t>2022-02-25</t>
  </si>
  <si>
    <t>大冶市新铜都城市发展投资集团有限公司</t>
  </si>
  <si>
    <t>熊家洲海雅路南侧、熊家洲大道北侧地块</t>
  </si>
  <si>
    <t>G22033</t>
  </si>
  <si>
    <t>2022-02-10</t>
  </si>
  <si>
    <t>大冶市振恒城市发展投资有限公司</t>
  </si>
  <si>
    <t>3星</t>
  </si>
  <si>
    <t>东风农场东沟闸分场鲤鱼头小区南侧地块</t>
  </si>
  <si>
    <t>G21137</t>
  </si>
  <si>
    <t>2021-11-30</t>
  </si>
  <si>
    <t>大冶市国有资产经营有限公司</t>
  </si>
  <si>
    <t>还地桥镇铁东路以北、靠垴村地块</t>
  </si>
  <si>
    <t>G21131</t>
  </si>
  <si>
    <t>小于或等于0.3</t>
  </si>
  <si>
    <t>黄石空港城市建设投资有限公司</t>
  </si>
  <si>
    <t>熊家洲东垦区高铁南路西侧H地块</t>
  </si>
  <si>
    <t>G21126</t>
  </si>
  <si>
    <t>2021-10-28</t>
  </si>
  <si>
    <t>熊家洲东垦区高铁南路西侧C地块</t>
  </si>
  <si>
    <t>G21121</t>
  </si>
  <si>
    <t>熊家洲东垦区高铁南路西侧A地块</t>
  </si>
  <si>
    <t>G21119</t>
  </si>
  <si>
    <t>熊家洲东垦区高铁南路西侧E地块</t>
  </si>
  <si>
    <t>G21123</t>
  </si>
  <si>
    <t>高铁大道东侧、纬五路北侧地块</t>
  </si>
  <si>
    <t>G21118</t>
  </si>
  <si>
    <t>小于或等于2.8</t>
  </si>
  <si>
    <t>2021-10-27</t>
  </si>
  <si>
    <t>熊家洲东垦区高铁南路西侧B地块</t>
  </si>
  <si>
    <t>G21120</t>
  </si>
  <si>
    <t>熊家洲东垦区高铁南路东侧I地块</t>
  </si>
  <si>
    <t>G21127</t>
  </si>
  <si>
    <t>熊家洲东垦区高铁南路西侧D地块</t>
  </si>
  <si>
    <t>G21122</t>
  </si>
  <si>
    <t>熊家洲片区兴港路西侧沿湖路北侧地块</t>
  </si>
  <si>
    <t>G21074</t>
  </si>
  <si>
    <t>小于或等于1.5</t>
  </si>
  <si>
    <t>开工中</t>
  </si>
  <si>
    <t>2021-08-03</t>
  </si>
  <si>
    <t>大冶大箕铺曹庆祝养殖专业合作社</t>
  </si>
  <si>
    <t>金桥四路东侧、金桥大道南侧A</t>
  </si>
  <si>
    <t>G21060</t>
  </si>
  <si>
    <t>大于或等于1并且小于或等于2</t>
  </si>
  <si>
    <t>2021-06-24</t>
  </si>
  <si>
    <t>湖北大冶湖高新技术产业投资有限公司</t>
  </si>
  <si>
    <t>罗家桥大道以西、欧蓓莎项目以北地块</t>
  </si>
  <si>
    <t>G21053</t>
  </si>
  <si>
    <t>小于或等于3.8</t>
  </si>
  <si>
    <t>2021-06-22</t>
  </si>
  <si>
    <t>湖北馨悦置业有限公司</t>
  </si>
  <si>
    <t>熊家洲片区兴港路东侧沿湖路北侧</t>
  </si>
  <si>
    <t>G21042</t>
  </si>
  <si>
    <t>2021-05-13</t>
  </si>
  <si>
    <t>大冶市春润生态农业科技有限公司</t>
  </si>
  <si>
    <t>大箕铺镇东角山村曹家四房新屋</t>
  </si>
  <si>
    <t>G21043</t>
  </si>
  <si>
    <t>小于或等于0.2</t>
  </si>
  <si>
    <t>湖北鑫东生态农业有限公司</t>
  </si>
  <si>
    <t>尹家湖片区高铁大道以东、武九客专线以北B地块</t>
  </si>
  <si>
    <t>G21018</t>
  </si>
  <si>
    <t>2021-04-09</t>
  </si>
  <si>
    <t>熊家洲片区桑梓路南侧、铜录山大道西北侧地块</t>
  </si>
  <si>
    <t>G21016</t>
  </si>
  <si>
    <t>尹家湖片区经二路东侧、纬五路北侧地块</t>
  </si>
  <si>
    <t>G21015</t>
  </si>
  <si>
    <t>尹家湖片区高铁大道以东、武九客专线以北C地块</t>
  </si>
  <si>
    <t>G21019</t>
  </si>
  <si>
    <t>尹家湖片区高铁大道以东、武九客专线以北A地块</t>
  </si>
  <si>
    <t>G21017</t>
  </si>
  <si>
    <t>高铁大道西侧纬十路南侧B</t>
  </si>
  <si>
    <t>G21034</t>
  </si>
  <si>
    <t>小于或等于2.5</t>
  </si>
  <si>
    <t>2021-04-02</t>
  </si>
  <si>
    <t>新城控股集团企业管理有限公司</t>
  </si>
  <si>
    <t>灵乡镇大金省道以北三角山地块</t>
  </si>
  <si>
    <t>G21012</t>
  </si>
  <si>
    <t>等于1.2</t>
  </si>
  <si>
    <t>2021-02-02</t>
  </si>
  <si>
    <t>大冶市三角山生态旅游开发有限公司</t>
  </si>
  <si>
    <t>殷祖镇316国道以东南峰加压站南侧地块</t>
  </si>
  <si>
    <t>G21004</t>
  </si>
  <si>
    <t>小于或等于0.8</t>
  </si>
  <si>
    <t>2021-01-12</t>
  </si>
  <si>
    <t>城西北工业园铜都大道以东有色物流园以西地块</t>
  </si>
  <si>
    <t>G21003</t>
  </si>
  <si>
    <t>小于或等于0.4</t>
  </si>
  <si>
    <t>大冶发祥置业有限公司</t>
  </si>
  <si>
    <t>灵乡镇大畈村茅屋嘴湾以东</t>
  </si>
  <si>
    <t>G20020</t>
  </si>
  <si>
    <t>等于0.73</t>
  </si>
  <si>
    <t>商务金融用地</t>
  </si>
  <si>
    <t>2020-09-22</t>
  </si>
  <si>
    <t>大冶市金达生态农庄(普通合伙)</t>
  </si>
  <si>
    <t>茗山乡袁大村杨桥水库以东</t>
  </si>
  <si>
    <t>G20018</t>
  </si>
  <si>
    <t>2020-07-29</t>
  </si>
  <si>
    <t>湖北瑞晟生物有限责任公司</t>
  </si>
  <si>
    <t>茗山乡杨桥村杨桥水库以东</t>
  </si>
  <si>
    <t>G20019</t>
  </si>
  <si>
    <t>尹家湖片区高铁大道东侧纬五路南侧A地块</t>
  </si>
  <si>
    <t>G20013</t>
  </si>
  <si>
    <t>2020-05-19</t>
  </si>
  <si>
    <t>尹家湖片区伍桥一期还建楼东侧新武九铁路西侧地块</t>
  </si>
  <si>
    <t>G20015</t>
  </si>
  <si>
    <t>尹家湖片区高铁大道东侧纬五路南侧B地块</t>
  </si>
  <si>
    <t>G20014</t>
  </si>
  <si>
    <t>熊家洲片区黄献路东侧兴高路南侧地块</t>
  </si>
  <si>
    <t>G19040</t>
  </si>
  <si>
    <t>≤2</t>
  </si>
  <si>
    <t>商服</t>
  </si>
  <si>
    <t>2019-10-30</t>
  </si>
  <si>
    <t>商服40年</t>
  </si>
  <si>
    <t>金湖街办刘金线东侧平原村</t>
  </si>
  <si>
    <t>G19036</t>
  </si>
  <si>
    <t>≤0.25</t>
  </si>
  <si>
    <t>2019-09-24</t>
  </si>
  <si>
    <t>大冶市金湖畅通加油站</t>
  </si>
  <si>
    <t>商业40年</t>
  </si>
  <si>
    <t>殷祖镇316国道以南朱铺村地块二</t>
  </si>
  <si>
    <t>G19019</t>
  </si>
  <si>
    <t>小于或等于1.2</t>
  </si>
  <si>
    <t>已完工</t>
  </si>
  <si>
    <t>2019-06-21</t>
  </si>
  <si>
    <t>湖北银丰生态旅游开发有限公司</t>
  </si>
  <si>
    <t>还地桥镇环湖公路西北侧黄岗村地块C</t>
  </si>
  <si>
    <t>G19025</t>
  </si>
  <si>
    <t>大冶蓝城房地产开发有限公司</t>
  </si>
  <si>
    <t>陈贵镇洋塘村316国道西侧地块</t>
  </si>
  <si>
    <t>G19017</t>
  </si>
  <si>
    <t>大冶市海川能源贸易有限公司</t>
  </si>
  <si>
    <t>殷祖镇316国道以南朱铺村地块一</t>
  </si>
  <si>
    <t>G19018</t>
  </si>
  <si>
    <t>大冶湖核心区地质馆以西经三路两侧801、804、805、806、807地块</t>
  </si>
  <si>
    <t>WG(2018)32号</t>
  </si>
  <si>
    <t>≤3.93</t>
  </si>
  <si>
    <t>2018-12-18</t>
  </si>
  <si>
    <t>黄石绿地置业有限公司</t>
  </si>
  <si>
    <t>https://j.map.baidu.com/b3/21Wd</t>
    <phoneticPr fontId="140" type="noConversion"/>
  </si>
  <si>
    <t>基准地价</t>
  </si>
  <si>
    <t>波司登</t>
    <phoneticPr fontId="3" type="noConversion"/>
  </si>
  <si>
    <t>收益比率</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</si>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</sst>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1"/>
      <color indexed="8"/>
      <name val="Arial"/>
      <family val="3"/>
      <charset val="134"/>
    </font>
    <font>
      <u/>
      <sz val="11"/>
      <color theme="10"/>
      <name val="宋体"/>
      <family val="3"/>
      <charset val="134"/>
      <scheme val="minor"/>
    </font>
    <font>
      <b/>
      <sz val="9"/>
      <color rgb="FF000000"/>
      <name val="宋体"/>
      <family val="3"/>
      <charset val="134"/>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7" fillId="0" borderId="0" applyNumberFormat="0" applyFill="0" applyBorder="0" applyAlignment="0" applyProtection="0">
      <alignment vertical="center"/>
    </xf>
  </cellStyleXfs>
  <cellXfs count="36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0" fontId="79" fillId="7" borderId="6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176" fontId="49" fillId="12" borderId="0" xfId="0" applyNumberFormat="1" applyFont="1" applyFill="1" applyAlignment="1" applyProtection="1">
      <alignment vertical="center"/>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14" fontId="0" fillId="0" borderId="1" xfId="0" applyNumberFormat="1" applyBorder="1" applyAlignment="1">
      <alignment horizontal="center" vertical="center" wrapText="1"/>
    </xf>
    <xf numFmtId="0" fontId="99" fillId="0" borderId="1" xfId="0" applyFont="1" applyBorder="1" applyAlignment="1">
      <alignment horizontal="center" vertical="center" wrapText="1"/>
    </xf>
    <xf numFmtId="0" fontId="79" fillId="7" borderId="0" xfId="0" applyFont="1" applyFill="1" applyAlignment="1" applyProtection="1">
      <alignment horizontal="center" vertical="center" wrapText="1"/>
      <protection locked="0"/>
    </xf>
    <xf numFmtId="0" fontId="55" fillId="0" borderId="0" xfId="17" applyAlignment="1">
      <alignment horizontal="left" vertical="center"/>
    </xf>
    <xf numFmtId="0" fontId="55" fillId="5" borderId="0" xfId="17" applyFill="1" applyAlignment="1">
      <alignment horizontal="left" vertical="center"/>
    </xf>
    <xf numFmtId="0" fontId="257" fillId="0" borderId="0" xfId="18" applyAlignment="1">
      <alignment horizontal="left" vertical="center"/>
    </xf>
    <xf numFmtId="10" fontId="49" fillId="20" borderId="1" xfId="1" applyNumberFormat="1" applyFont="1" applyFill="1" applyBorder="1" applyAlignment="1" applyProtection="1">
      <alignment horizontal="center" vertical="center"/>
      <protection locked="0"/>
    </xf>
    <xf numFmtId="181" fontId="103" fillId="20" borderId="1" xfId="0" applyNumberFormat="1" applyFont="1" applyFill="1" applyBorder="1" applyAlignment="1" applyProtection="1">
      <alignment horizontal="center" vertical="center"/>
      <protection locked="0"/>
    </xf>
    <xf numFmtId="9" fontId="49" fillId="20" borderId="5" xfId="0" applyNumberFormat="1" applyFont="1" applyFill="1" applyBorder="1" applyAlignment="1" applyProtection="1">
      <alignment horizontal="center" vertical="center"/>
      <protection locked="0"/>
    </xf>
    <xf numFmtId="0" fontId="46" fillId="20" borderId="23" xfId="0" applyFont="1" applyFill="1" applyBorder="1" applyAlignment="1" applyProtection="1">
      <alignment vertical="center"/>
      <protection locked="0"/>
    </xf>
    <xf numFmtId="0" fontId="49" fillId="20" borderId="0" xfId="0" applyFont="1" applyFill="1" applyAlignment="1" applyProtection="1">
      <alignment vertical="center"/>
      <protection locked="0"/>
    </xf>
    <xf numFmtId="10" fontId="46" fillId="20" borderId="1" xfId="0" applyNumberFormat="1" applyFont="1" applyFill="1" applyBorder="1" applyAlignment="1" applyProtection="1">
      <alignment horizontal="center" vertical="center"/>
      <protection locked="0"/>
    </xf>
    <xf numFmtId="0" fontId="53" fillId="20" borderId="37" xfId="0" applyNumberFormat="1" applyFont="1" applyFill="1" applyBorder="1" applyAlignment="1" applyProtection="1">
      <alignment horizontal="center" vertical="center" wrapText="1"/>
      <protection locked="0"/>
    </xf>
    <xf numFmtId="0" fontId="46" fillId="20" borderId="23" xfId="0" applyNumberFormat="1" applyFont="1" applyFill="1" applyBorder="1" applyAlignment="1" applyProtection="1">
      <alignment horizontal="center" vertical="center" wrapText="1"/>
      <protection locked="0"/>
    </xf>
    <xf numFmtId="0" fontId="55" fillId="20" borderId="32" xfId="0" applyNumberFormat="1" applyFont="1" applyFill="1" applyBorder="1" applyAlignment="1" applyProtection="1">
      <alignment horizontal="center" vertical="center" wrapText="1"/>
      <protection locked="0"/>
    </xf>
    <xf numFmtId="0" fontId="60" fillId="20" borderId="3"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55"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218" fillId="20" borderId="23" xfId="0" applyFont="1" applyFill="1" applyBorder="1" applyAlignment="1" applyProtection="1">
      <alignment horizontal="center" vertical="center" wrapText="1"/>
      <protection locked="0"/>
    </xf>
    <xf numFmtId="0" fontId="172" fillId="20" borderId="24" xfId="0" applyFont="1" applyFill="1" applyBorder="1" applyAlignment="1" applyProtection="1">
      <alignment horizontal="center" vertical="center" wrapText="1"/>
      <protection locked="0"/>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2" fillId="18"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xr:uid="{00000000-0005-0000-0000-000000000000}"/>
    <cellStyle name="常规" xfId="0" builtinId="0"/>
    <cellStyle name="常规 10" xfId="17" xr:uid="{EBA87EA6-BD26-4488-A646-E2D8FDBA2A04}"/>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8" builtinId="8"/>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66</xdr:row>
      <xdr:rowOff>19050</xdr:rowOff>
    </xdr:from>
    <xdr:to>
      <xdr:col>14</xdr:col>
      <xdr:colOff>275131</xdr:colOff>
      <xdr:row>98</xdr:row>
      <xdr:rowOff>46974</xdr:rowOff>
    </xdr:to>
    <xdr:pic>
      <xdr:nvPicPr>
        <xdr:cNvPr id="2" name="图片 1">
          <a:extLst>
            <a:ext uri="{FF2B5EF4-FFF2-40B4-BE49-F238E27FC236}">
              <a16:creationId xmlns:a16="http://schemas.microsoft.com/office/drawing/2014/main" id="{0B98F80E-A725-70CC-2015-D5527EFF7D59}"/>
            </a:ext>
          </a:extLst>
        </xdr:cNvPr>
        <xdr:cNvPicPr>
          <a:picLocks noChangeAspect="1"/>
        </xdr:cNvPicPr>
      </xdr:nvPicPr>
      <xdr:blipFill>
        <a:blip xmlns:r="http://schemas.openxmlformats.org/officeDocument/2006/relationships" r:embed="rId1"/>
        <a:stretch>
          <a:fillRect/>
        </a:stretch>
      </xdr:blipFill>
      <xdr:spPr>
        <a:xfrm>
          <a:off x="0" y="10706100"/>
          <a:ext cx="8752381" cy="5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303905</xdr:colOff>
      <xdr:row>28</xdr:row>
      <xdr:rowOff>123209</xdr:rowOff>
    </xdr:to>
    <xdr:pic>
      <xdr:nvPicPr>
        <xdr:cNvPr id="2" name="图片 1">
          <a:extLst>
            <a:ext uri="{FF2B5EF4-FFF2-40B4-BE49-F238E27FC236}">
              <a16:creationId xmlns:a16="http://schemas.microsoft.com/office/drawing/2014/main" id="{38CA4762-5B1C-A5E7-EBD6-BA242D860805}"/>
            </a:ext>
          </a:extLst>
        </xdr:cNvPr>
        <xdr:cNvPicPr>
          <a:picLocks noChangeAspect="1"/>
        </xdr:cNvPicPr>
      </xdr:nvPicPr>
      <xdr:blipFill>
        <a:blip xmlns:r="http://schemas.openxmlformats.org/officeDocument/2006/relationships" r:embed="rId1"/>
        <a:stretch>
          <a:fillRect/>
        </a:stretch>
      </xdr:blipFill>
      <xdr:spPr>
        <a:xfrm>
          <a:off x="0" y="0"/>
          <a:ext cx="7161905" cy="4923809"/>
        </a:xfrm>
        <a:prstGeom prst="rect">
          <a:avLst/>
        </a:prstGeom>
      </xdr:spPr>
    </xdr:pic>
    <xdr:clientData/>
  </xdr:twoCellAnchor>
  <xdr:twoCellAnchor editAs="oneCell">
    <xdr:from>
      <xdr:col>0</xdr:col>
      <xdr:colOff>0</xdr:colOff>
      <xdr:row>29</xdr:row>
      <xdr:rowOff>0</xdr:rowOff>
    </xdr:from>
    <xdr:to>
      <xdr:col>10</xdr:col>
      <xdr:colOff>380095</xdr:colOff>
      <xdr:row>62</xdr:row>
      <xdr:rowOff>170721</xdr:rowOff>
    </xdr:to>
    <xdr:pic>
      <xdr:nvPicPr>
        <xdr:cNvPr id="3" name="图片 2">
          <a:extLst>
            <a:ext uri="{FF2B5EF4-FFF2-40B4-BE49-F238E27FC236}">
              <a16:creationId xmlns:a16="http://schemas.microsoft.com/office/drawing/2014/main" id="{667D9EDD-12CB-5A81-EED6-EB7639418496}"/>
            </a:ext>
          </a:extLst>
        </xdr:cNvPr>
        <xdr:cNvPicPr>
          <a:picLocks noChangeAspect="1"/>
        </xdr:cNvPicPr>
      </xdr:nvPicPr>
      <xdr:blipFill>
        <a:blip xmlns:r="http://schemas.openxmlformats.org/officeDocument/2006/relationships" r:embed="rId2"/>
        <a:stretch>
          <a:fillRect/>
        </a:stretch>
      </xdr:blipFill>
      <xdr:spPr>
        <a:xfrm>
          <a:off x="0" y="4972050"/>
          <a:ext cx="7238095" cy="5828571"/>
        </a:xfrm>
        <a:prstGeom prst="rect">
          <a:avLst/>
        </a:prstGeom>
      </xdr:spPr>
    </xdr:pic>
    <xdr:clientData/>
  </xdr:twoCellAnchor>
  <xdr:twoCellAnchor editAs="oneCell">
    <xdr:from>
      <xdr:col>0</xdr:col>
      <xdr:colOff>0</xdr:colOff>
      <xdr:row>63</xdr:row>
      <xdr:rowOff>0</xdr:rowOff>
    </xdr:from>
    <xdr:to>
      <xdr:col>10</xdr:col>
      <xdr:colOff>380095</xdr:colOff>
      <xdr:row>91</xdr:row>
      <xdr:rowOff>161305</xdr:rowOff>
    </xdr:to>
    <xdr:pic>
      <xdr:nvPicPr>
        <xdr:cNvPr id="4" name="图片 3">
          <a:extLst>
            <a:ext uri="{FF2B5EF4-FFF2-40B4-BE49-F238E27FC236}">
              <a16:creationId xmlns:a16="http://schemas.microsoft.com/office/drawing/2014/main" id="{D3EBA0FC-F475-4556-4A12-2B82E5FCF8A3}"/>
            </a:ext>
          </a:extLst>
        </xdr:cNvPr>
        <xdr:cNvPicPr>
          <a:picLocks noChangeAspect="1"/>
        </xdr:cNvPicPr>
      </xdr:nvPicPr>
      <xdr:blipFill>
        <a:blip xmlns:r="http://schemas.openxmlformats.org/officeDocument/2006/relationships" r:embed="rId3"/>
        <a:stretch>
          <a:fillRect/>
        </a:stretch>
      </xdr:blipFill>
      <xdr:spPr>
        <a:xfrm>
          <a:off x="0" y="10801350"/>
          <a:ext cx="7238095" cy="4961905"/>
        </a:xfrm>
        <a:prstGeom prst="rect">
          <a:avLst/>
        </a:prstGeom>
      </xdr:spPr>
    </xdr:pic>
    <xdr:clientData/>
  </xdr:twoCellAnchor>
  <xdr:twoCellAnchor editAs="oneCell">
    <xdr:from>
      <xdr:col>0</xdr:col>
      <xdr:colOff>0</xdr:colOff>
      <xdr:row>92</xdr:row>
      <xdr:rowOff>0</xdr:rowOff>
    </xdr:from>
    <xdr:to>
      <xdr:col>10</xdr:col>
      <xdr:colOff>599143</xdr:colOff>
      <xdr:row>114</xdr:row>
      <xdr:rowOff>47148</xdr:rowOff>
    </xdr:to>
    <xdr:pic>
      <xdr:nvPicPr>
        <xdr:cNvPr id="5" name="图片 4">
          <a:extLst>
            <a:ext uri="{FF2B5EF4-FFF2-40B4-BE49-F238E27FC236}">
              <a16:creationId xmlns:a16="http://schemas.microsoft.com/office/drawing/2014/main" id="{654BB0D1-0287-4E19-D358-D8FD36188229}"/>
            </a:ext>
          </a:extLst>
        </xdr:cNvPr>
        <xdr:cNvPicPr>
          <a:picLocks noChangeAspect="1"/>
        </xdr:cNvPicPr>
      </xdr:nvPicPr>
      <xdr:blipFill>
        <a:blip xmlns:r="http://schemas.openxmlformats.org/officeDocument/2006/relationships" r:embed="rId4"/>
        <a:stretch>
          <a:fillRect/>
        </a:stretch>
      </xdr:blipFill>
      <xdr:spPr>
        <a:xfrm>
          <a:off x="0" y="15773400"/>
          <a:ext cx="7457143" cy="3819048"/>
        </a:xfrm>
        <a:prstGeom prst="rect">
          <a:avLst/>
        </a:prstGeom>
      </xdr:spPr>
    </xdr:pic>
    <xdr:clientData/>
  </xdr:twoCellAnchor>
  <xdr:twoCellAnchor editAs="oneCell">
    <xdr:from>
      <xdr:col>0</xdr:col>
      <xdr:colOff>0</xdr:colOff>
      <xdr:row>114</xdr:row>
      <xdr:rowOff>0</xdr:rowOff>
    </xdr:from>
    <xdr:to>
      <xdr:col>10</xdr:col>
      <xdr:colOff>551524</xdr:colOff>
      <xdr:row>147</xdr:row>
      <xdr:rowOff>113579</xdr:rowOff>
    </xdr:to>
    <xdr:pic>
      <xdr:nvPicPr>
        <xdr:cNvPr id="6" name="图片 5">
          <a:extLst>
            <a:ext uri="{FF2B5EF4-FFF2-40B4-BE49-F238E27FC236}">
              <a16:creationId xmlns:a16="http://schemas.microsoft.com/office/drawing/2014/main" id="{6F3BB59E-71F0-2946-F90E-4E97C18B7995}"/>
            </a:ext>
          </a:extLst>
        </xdr:cNvPr>
        <xdr:cNvPicPr>
          <a:picLocks noChangeAspect="1"/>
        </xdr:cNvPicPr>
      </xdr:nvPicPr>
      <xdr:blipFill>
        <a:blip xmlns:r="http://schemas.openxmlformats.org/officeDocument/2006/relationships" r:embed="rId5"/>
        <a:stretch>
          <a:fillRect/>
        </a:stretch>
      </xdr:blipFill>
      <xdr:spPr>
        <a:xfrm>
          <a:off x="0" y="19545300"/>
          <a:ext cx="7409524" cy="5771429"/>
        </a:xfrm>
        <a:prstGeom prst="rect">
          <a:avLst/>
        </a:prstGeom>
      </xdr:spPr>
    </xdr:pic>
    <xdr:clientData/>
  </xdr:twoCellAnchor>
  <xdr:twoCellAnchor editAs="oneCell">
    <xdr:from>
      <xdr:col>0</xdr:col>
      <xdr:colOff>0</xdr:colOff>
      <xdr:row>148</xdr:row>
      <xdr:rowOff>0</xdr:rowOff>
    </xdr:from>
    <xdr:to>
      <xdr:col>10</xdr:col>
      <xdr:colOff>342000</xdr:colOff>
      <xdr:row>169</xdr:row>
      <xdr:rowOff>142407</xdr:rowOff>
    </xdr:to>
    <xdr:pic>
      <xdr:nvPicPr>
        <xdr:cNvPr id="7" name="图片 6">
          <a:extLst>
            <a:ext uri="{FF2B5EF4-FFF2-40B4-BE49-F238E27FC236}">
              <a16:creationId xmlns:a16="http://schemas.microsoft.com/office/drawing/2014/main" id="{861AE851-D8F1-BE0E-E8AB-9FECC3898563}"/>
            </a:ext>
          </a:extLst>
        </xdr:cNvPr>
        <xdr:cNvPicPr>
          <a:picLocks noChangeAspect="1"/>
        </xdr:cNvPicPr>
      </xdr:nvPicPr>
      <xdr:blipFill>
        <a:blip xmlns:r="http://schemas.openxmlformats.org/officeDocument/2006/relationships" r:embed="rId6"/>
        <a:stretch>
          <a:fillRect/>
        </a:stretch>
      </xdr:blipFill>
      <xdr:spPr>
        <a:xfrm>
          <a:off x="0" y="25374600"/>
          <a:ext cx="7200000" cy="3742857"/>
        </a:xfrm>
        <a:prstGeom prst="rect">
          <a:avLst/>
        </a:prstGeom>
      </xdr:spPr>
    </xdr:pic>
    <xdr:clientData/>
  </xdr:twoCellAnchor>
  <xdr:twoCellAnchor editAs="oneCell">
    <xdr:from>
      <xdr:col>0</xdr:col>
      <xdr:colOff>0</xdr:colOff>
      <xdr:row>170</xdr:row>
      <xdr:rowOff>0</xdr:rowOff>
    </xdr:from>
    <xdr:to>
      <xdr:col>10</xdr:col>
      <xdr:colOff>437238</xdr:colOff>
      <xdr:row>191</xdr:row>
      <xdr:rowOff>94788</xdr:rowOff>
    </xdr:to>
    <xdr:pic>
      <xdr:nvPicPr>
        <xdr:cNvPr id="8" name="图片 7">
          <a:extLst>
            <a:ext uri="{FF2B5EF4-FFF2-40B4-BE49-F238E27FC236}">
              <a16:creationId xmlns:a16="http://schemas.microsoft.com/office/drawing/2014/main" id="{12AE54BC-E16C-F034-424A-B8C69CDDB5EB}"/>
            </a:ext>
          </a:extLst>
        </xdr:cNvPr>
        <xdr:cNvPicPr>
          <a:picLocks noChangeAspect="1"/>
        </xdr:cNvPicPr>
      </xdr:nvPicPr>
      <xdr:blipFill>
        <a:blip xmlns:r="http://schemas.openxmlformats.org/officeDocument/2006/relationships" r:embed="rId7"/>
        <a:stretch>
          <a:fillRect/>
        </a:stretch>
      </xdr:blipFill>
      <xdr:spPr>
        <a:xfrm>
          <a:off x="0" y="29146500"/>
          <a:ext cx="7295238" cy="3695238"/>
        </a:xfrm>
        <a:prstGeom prst="rect">
          <a:avLst/>
        </a:prstGeom>
      </xdr:spPr>
    </xdr:pic>
    <xdr:clientData/>
  </xdr:twoCellAnchor>
  <xdr:twoCellAnchor editAs="oneCell">
    <xdr:from>
      <xdr:col>0</xdr:col>
      <xdr:colOff>0</xdr:colOff>
      <xdr:row>192</xdr:row>
      <xdr:rowOff>0</xdr:rowOff>
    </xdr:from>
    <xdr:to>
      <xdr:col>10</xdr:col>
      <xdr:colOff>418190</xdr:colOff>
      <xdr:row>206</xdr:row>
      <xdr:rowOff>152081</xdr:rowOff>
    </xdr:to>
    <xdr:pic>
      <xdr:nvPicPr>
        <xdr:cNvPr id="9" name="图片 8">
          <a:extLst>
            <a:ext uri="{FF2B5EF4-FFF2-40B4-BE49-F238E27FC236}">
              <a16:creationId xmlns:a16="http://schemas.microsoft.com/office/drawing/2014/main" id="{8F08B532-D88E-CF66-91BE-21D0B78565CE}"/>
            </a:ext>
          </a:extLst>
        </xdr:cNvPr>
        <xdr:cNvPicPr>
          <a:picLocks noChangeAspect="1"/>
        </xdr:cNvPicPr>
      </xdr:nvPicPr>
      <xdr:blipFill>
        <a:blip xmlns:r="http://schemas.openxmlformats.org/officeDocument/2006/relationships" r:embed="rId8"/>
        <a:stretch>
          <a:fillRect/>
        </a:stretch>
      </xdr:blipFill>
      <xdr:spPr>
        <a:xfrm>
          <a:off x="0" y="32918400"/>
          <a:ext cx="7276190" cy="2552381"/>
        </a:xfrm>
        <a:prstGeom prst="rect">
          <a:avLst/>
        </a:prstGeom>
      </xdr:spPr>
    </xdr:pic>
    <xdr:clientData/>
  </xdr:twoCellAnchor>
  <xdr:twoCellAnchor editAs="oneCell">
    <xdr:from>
      <xdr:col>0</xdr:col>
      <xdr:colOff>0</xdr:colOff>
      <xdr:row>207</xdr:row>
      <xdr:rowOff>0</xdr:rowOff>
    </xdr:from>
    <xdr:to>
      <xdr:col>10</xdr:col>
      <xdr:colOff>542000</xdr:colOff>
      <xdr:row>235</xdr:row>
      <xdr:rowOff>8924</xdr:rowOff>
    </xdr:to>
    <xdr:pic>
      <xdr:nvPicPr>
        <xdr:cNvPr id="10" name="图片 9">
          <a:extLst>
            <a:ext uri="{FF2B5EF4-FFF2-40B4-BE49-F238E27FC236}">
              <a16:creationId xmlns:a16="http://schemas.microsoft.com/office/drawing/2014/main" id="{15D9A73C-774B-2334-0528-276B3F03DC85}"/>
            </a:ext>
          </a:extLst>
        </xdr:cNvPr>
        <xdr:cNvPicPr>
          <a:picLocks noChangeAspect="1"/>
        </xdr:cNvPicPr>
      </xdr:nvPicPr>
      <xdr:blipFill>
        <a:blip xmlns:r="http://schemas.openxmlformats.org/officeDocument/2006/relationships" r:embed="rId9"/>
        <a:stretch>
          <a:fillRect/>
        </a:stretch>
      </xdr:blipFill>
      <xdr:spPr>
        <a:xfrm>
          <a:off x="0" y="35490150"/>
          <a:ext cx="7400000" cy="4809524"/>
        </a:xfrm>
        <a:prstGeom prst="rect">
          <a:avLst/>
        </a:prstGeom>
      </xdr:spPr>
    </xdr:pic>
    <xdr:clientData/>
  </xdr:twoCellAnchor>
  <xdr:twoCellAnchor editAs="oneCell">
    <xdr:from>
      <xdr:col>11</xdr:col>
      <xdr:colOff>0</xdr:colOff>
      <xdr:row>0</xdr:row>
      <xdr:rowOff>0</xdr:rowOff>
    </xdr:from>
    <xdr:to>
      <xdr:col>21</xdr:col>
      <xdr:colOff>351524</xdr:colOff>
      <xdr:row>27</xdr:row>
      <xdr:rowOff>151802</xdr:rowOff>
    </xdr:to>
    <xdr:pic>
      <xdr:nvPicPr>
        <xdr:cNvPr id="11" name="图片 10">
          <a:extLst>
            <a:ext uri="{FF2B5EF4-FFF2-40B4-BE49-F238E27FC236}">
              <a16:creationId xmlns:a16="http://schemas.microsoft.com/office/drawing/2014/main" id="{DF8D53F1-B979-293F-FB47-1C3BFA4E9D34}"/>
            </a:ext>
          </a:extLst>
        </xdr:cNvPr>
        <xdr:cNvPicPr>
          <a:picLocks noChangeAspect="1"/>
        </xdr:cNvPicPr>
      </xdr:nvPicPr>
      <xdr:blipFill>
        <a:blip xmlns:r="http://schemas.openxmlformats.org/officeDocument/2006/relationships" r:embed="rId10"/>
        <a:stretch>
          <a:fillRect/>
        </a:stretch>
      </xdr:blipFill>
      <xdr:spPr>
        <a:xfrm>
          <a:off x="7543800" y="0"/>
          <a:ext cx="7209524" cy="4780952"/>
        </a:xfrm>
        <a:prstGeom prst="rect">
          <a:avLst/>
        </a:prstGeom>
      </xdr:spPr>
    </xdr:pic>
    <xdr:clientData/>
  </xdr:twoCellAnchor>
  <xdr:twoCellAnchor editAs="oneCell">
    <xdr:from>
      <xdr:col>11</xdr:col>
      <xdr:colOff>0</xdr:colOff>
      <xdr:row>28</xdr:row>
      <xdr:rowOff>0</xdr:rowOff>
    </xdr:from>
    <xdr:to>
      <xdr:col>21</xdr:col>
      <xdr:colOff>322952</xdr:colOff>
      <xdr:row>56</xdr:row>
      <xdr:rowOff>47019</xdr:rowOff>
    </xdr:to>
    <xdr:pic>
      <xdr:nvPicPr>
        <xdr:cNvPr id="12" name="图片 11">
          <a:extLst>
            <a:ext uri="{FF2B5EF4-FFF2-40B4-BE49-F238E27FC236}">
              <a16:creationId xmlns:a16="http://schemas.microsoft.com/office/drawing/2014/main" id="{98ACED46-10C5-1236-BFA3-6C5E10399E8E}"/>
            </a:ext>
          </a:extLst>
        </xdr:cNvPr>
        <xdr:cNvPicPr>
          <a:picLocks noChangeAspect="1"/>
        </xdr:cNvPicPr>
      </xdr:nvPicPr>
      <xdr:blipFill>
        <a:blip xmlns:r="http://schemas.openxmlformats.org/officeDocument/2006/relationships" r:embed="rId11"/>
        <a:stretch>
          <a:fillRect/>
        </a:stretch>
      </xdr:blipFill>
      <xdr:spPr>
        <a:xfrm>
          <a:off x="7543800" y="4800600"/>
          <a:ext cx="7180952" cy="4847619"/>
        </a:xfrm>
        <a:prstGeom prst="rect">
          <a:avLst/>
        </a:prstGeom>
      </xdr:spPr>
    </xdr:pic>
    <xdr:clientData/>
  </xdr:twoCellAnchor>
  <xdr:twoCellAnchor editAs="oneCell">
    <xdr:from>
      <xdr:col>11</xdr:col>
      <xdr:colOff>0</xdr:colOff>
      <xdr:row>56</xdr:row>
      <xdr:rowOff>0</xdr:rowOff>
    </xdr:from>
    <xdr:to>
      <xdr:col>21</xdr:col>
      <xdr:colOff>303905</xdr:colOff>
      <xdr:row>85</xdr:row>
      <xdr:rowOff>46998</xdr:rowOff>
    </xdr:to>
    <xdr:pic>
      <xdr:nvPicPr>
        <xdr:cNvPr id="13" name="图片 12">
          <a:extLst>
            <a:ext uri="{FF2B5EF4-FFF2-40B4-BE49-F238E27FC236}">
              <a16:creationId xmlns:a16="http://schemas.microsoft.com/office/drawing/2014/main" id="{CE0E6077-9CD2-BD39-3BC4-E9D3302EA7B5}"/>
            </a:ext>
          </a:extLst>
        </xdr:cNvPr>
        <xdr:cNvPicPr>
          <a:picLocks noChangeAspect="1"/>
        </xdr:cNvPicPr>
      </xdr:nvPicPr>
      <xdr:blipFill>
        <a:blip xmlns:r="http://schemas.openxmlformats.org/officeDocument/2006/relationships" r:embed="rId12"/>
        <a:stretch>
          <a:fillRect/>
        </a:stretch>
      </xdr:blipFill>
      <xdr:spPr>
        <a:xfrm>
          <a:off x="7543800" y="9601200"/>
          <a:ext cx="7161905" cy="5019048"/>
        </a:xfrm>
        <a:prstGeom prst="rect">
          <a:avLst/>
        </a:prstGeom>
      </xdr:spPr>
    </xdr:pic>
    <xdr:clientData/>
  </xdr:twoCellAnchor>
  <xdr:twoCellAnchor editAs="oneCell">
    <xdr:from>
      <xdr:col>11</xdr:col>
      <xdr:colOff>0</xdr:colOff>
      <xdr:row>85</xdr:row>
      <xdr:rowOff>0</xdr:rowOff>
    </xdr:from>
    <xdr:to>
      <xdr:col>21</xdr:col>
      <xdr:colOff>418190</xdr:colOff>
      <xdr:row>114</xdr:row>
      <xdr:rowOff>66045</xdr:rowOff>
    </xdr:to>
    <xdr:pic>
      <xdr:nvPicPr>
        <xdr:cNvPr id="14" name="图片 13">
          <a:extLst>
            <a:ext uri="{FF2B5EF4-FFF2-40B4-BE49-F238E27FC236}">
              <a16:creationId xmlns:a16="http://schemas.microsoft.com/office/drawing/2014/main" id="{4C324661-936D-CE84-0084-DA5015E390BA}"/>
            </a:ext>
          </a:extLst>
        </xdr:cNvPr>
        <xdr:cNvPicPr>
          <a:picLocks noChangeAspect="1"/>
        </xdr:cNvPicPr>
      </xdr:nvPicPr>
      <xdr:blipFill>
        <a:blip xmlns:r="http://schemas.openxmlformats.org/officeDocument/2006/relationships" r:embed="rId13"/>
        <a:stretch>
          <a:fillRect/>
        </a:stretch>
      </xdr:blipFill>
      <xdr:spPr>
        <a:xfrm>
          <a:off x="7543800" y="14573250"/>
          <a:ext cx="7276190" cy="5038095"/>
        </a:xfrm>
        <a:prstGeom prst="rect">
          <a:avLst/>
        </a:prstGeom>
      </xdr:spPr>
    </xdr:pic>
    <xdr:clientData/>
  </xdr:twoCellAnchor>
  <xdr:twoCellAnchor editAs="oneCell">
    <xdr:from>
      <xdr:col>11</xdr:col>
      <xdr:colOff>0</xdr:colOff>
      <xdr:row>115</xdr:row>
      <xdr:rowOff>0</xdr:rowOff>
    </xdr:from>
    <xdr:to>
      <xdr:col>21</xdr:col>
      <xdr:colOff>542000</xdr:colOff>
      <xdr:row>143</xdr:row>
      <xdr:rowOff>170829</xdr:rowOff>
    </xdr:to>
    <xdr:pic>
      <xdr:nvPicPr>
        <xdr:cNvPr id="15" name="图片 14">
          <a:extLst>
            <a:ext uri="{FF2B5EF4-FFF2-40B4-BE49-F238E27FC236}">
              <a16:creationId xmlns:a16="http://schemas.microsoft.com/office/drawing/2014/main" id="{F77B9FCC-28F8-4786-09EC-B1C1F1EDD22B}"/>
            </a:ext>
          </a:extLst>
        </xdr:cNvPr>
        <xdr:cNvPicPr>
          <a:picLocks noChangeAspect="1"/>
        </xdr:cNvPicPr>
      </xdr:nvPicPr>
      <xdr:blipFill>
        <a:blip xmlns:r="http://schemas.openxmlformats.org/officeDocument/2006/relationships" r:embed="rId14"/>
        <a:stretch>
          <a:fillRect/>
        </a:stretch>
      </xdr:blipFill>
      <xdr:spPr>
        <a:xfrm>
          <a:off x="7543800" y="19716750"/>
          <a:ext cx="7400000" cy="4971429"/>
        </a:xfrm>
        <a:prstGeom prst="rect">
          <a:avLst/>
        </a:prstGeom>
      </xdr:spPr>
    </xdr:pic>
    <xdr:clientData/>
  </xdr:twoCellAnchor>
  <xdr:twoCellAnchor editAs="oneCell">
    <xdr:from>
      <xdr:col>11</xdr:col>
      <xdr:colOff>0</xdr:colOff>
      <xdr:row>144</xdr:row>
      <xdr:rowOff>0</xdr:rowOff>
    </xdr:from>
    <xdr:to>
      <xdr:col>21</xdr:col>
      <xdr:colOff>532476</xdr:colOff>
      <xdr:row>172</xdr:row>
      <xdr:rowOff>56543</xdr:rowOff>
    </xdr:to>
    <xdr:pic>
      <xdr:nvPicPr>
        <xdr:cNvPr id="16" name="图片 15">
          <a:extLst>
            <a:ext uri="{FF2B5EF4-FFF2-40B4-BE49-F238E27FC236}">
              <a16:creationId xmlns:a16="http://schemas.microsoft.com/office/drawing/2014/main" id="{79EBEF16-405B-595B-9105-1056E5658621}"/>
            </a:ext>
          </a:extLst>
        </xdr:cNvPr>
        <xdr:cNvPicPr>
          <a:picLocks noChangeAspect="1"/>
        </xdr:cNvPicPr>
      </xdr:nvPicPr>
      <xdr:blipFill>
        <a:blip xmlns:r="http://schemas.openxmlformats.org/officeDocument/2006/relationships" r:embed="rId15"/>
        <a:stretch>
          <a:fillRect/>
        </a:stretch>
      </xdr:blipFill>
      <xdr:spPr>
        <a:xfrm>
          <a:off x="7543800" y="24688800"/>
          <a:ext cx="7390476" cy="4857143"/>
        </a:xfrm>
        <a:prstGeom prst="rect">
          <a:avLst/>
        </a:prstGeom>
      </xdr:spPr>
    </xdr:pic>
    <xdr:clientData/>
  </xdr:twoCellAnchor>
  <xdr:twoCellAnchor editAs="oneCell">
    <xdr:from>
      <xdr:col>0</xdr:col>
      <xdr:colOff>0</xdr:colOff>
      <xdr:row>236</xdr:row>
      <xdr:rowOff>0</xdr:rowOff>
    </xdr:from>
    <xdr:to>
      <xdr:col>15</xdr:col>
      <xdr:colOff>65381</xdr:colOff>
      <xdr:row>271</xdr:row>
      <xdr:rowOff>151631</xdr:rowOff>
    </xdr:to>
    <xdr:pic>
      <xdr:nvPicPr>
        <xdr:cNvPr id="17" name="图片 16">
          <a:extLst>
            <a:ext uri="{FF2B5EF4-FFF2-40B4-BE49-F238E27FC236}">
              <a16:creationId xmlns:a16="http://schemas.microsoft.com/office/drawing/2014/main" id="{7F33CAB4-0AB9-B271-137A-C6E6B5693872}"/>
            </a:ext>
          </a:extLst>
        </xdr:cNvPr>
        <xdr:cNvPicPr>
          <a:picLocks noChangeAspect="1"/>
        </xdr:cNvPicPr>
      </xdr:nvPicPr>
      <xdr:blipFill>
        <a:blip xmlns:r="http://schemas.openxmlformats.org/officeDocument/2006/relationships" r:embed="rId16"/>
        <a:stretch>
          <a:fillRect/>
        </a:stretch>
      </xdr:blipFill>
      <xdr:spPr>
        <a:xfrm>
          <a:off x="0" y="40462200"/>
          <a:ext cx="10352381" cy="6152381"/>
        </a:xfrm>
        <a:prstGeom prst="rect">
          <a:avLst/>
        </a:prstGeom>
      </xdr:spPr>
    </xdr:pic>
    <xdr:clientData/>
  </xdr:twoCellAnchor>
  <xdr:twoCellAnchor editAs="oneCell">
    <xdr:from>
      <xdr:col>0</xdr:col>
      <xdr:colOff>0</xdr:colOff>
      <xdr:row>274</xdr:row>
      <xdr:rowOff>0</xdr:rowOff>
    </xdr:from>
    <xdr:to>
      <xdr:col>11</xdr:col>
      <xdr:colOff>427628</xdr:colOff>
      <xdr:row>306</xdr:row>
      <xdr:rowOff>142171</xdr:rowOff>
    </xdr:to>
    <xdr:pic>
      <xdr:nvPicPr>
        <xdr:cNvPr id="18" name="图片 17">
          <a:extLst>
            <a:ext uri="{FF2B5EF4-FFF2-40B4-BE49-F238E27FC236}">
              <a16:creationId xmlns:a16="http://schemas.microsoft.com/office/drawing/2014/main" id="{B1316E73-613B-CFE5-82F9-9CBA1298BB76}"/>
            </a:ext>
          </a:extLst>
        </xdr:cNvPr>
        <xdr:cNvPicPr>
          <a:picLocks noChangeAspect="1"/>
        </xdr:cNvPicPr>
      </xdr:nvPicPr>
      <xdr:blipFill>
        <a:blip xmlns:r="http://schemas.openxmlformats.org/officeDocument/2006/relationships" r:embed="rId17"/>
        <a:stretch>
          <a:fillRect/>
        </a:stretch>
      </xdr:blipFill>
      <xdr:spPr>
        <a:xfrm>
          <a:off x="0" y="46977300"/>
          <a:ext cx="7971428" cy="56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351609</xdr:colOff>
      <xdr:row>35</xdr:row>
      <xdr:rowOff>46869</xdr:rowOff>
    </xdr:to>
    <xdr:pic>
      <xdr:nvPicPr>
        <xdr:cNvPr id="2" name="图片 1">
          <a:extLst>
            <a:ext uri="{FF2B5EF4-FFF2-40B4-BE49-F238E27FC236}">
              <a16:creationId xmlns:a16="http://schemas.microsoft.com/office/drawing/2014/main" id="{C7B73B3A-85C2-B0EC-B304-93604EE04D2F}"/>
            </a:ext>
          </a:extLst>
        </xdr:cNvPr>
        <xdr:cNvPicPr>
          <a:picLocks noChangeAspect="1"/>
        </xdr:cNvPicPr>
      </xdr:nvPicPr>
      <xdr:blipFill>
        <a:blip xmlns:r="http://schemas.openxmlformats.org/officeDocument/2006/relationships" r:embed="rId1"/>
        <a:stretch>
          <a:fillRect/>
        </a:stretch>
      </xdr:blipFill>
      <xdr:spPr>
        <a:xfrm>
          <a:off x="0" y="0"/>
          <a:ext cx="6523809" cy="6047619"/>
        </a:xfrm>
        <a:prstGeom prst="rect">
          <a:avLst/>
        </a:prstGeom>
      </xdr:spPr>
    </xdr:pic>
    <xdr:clientData/>
  </xdr:twoCellAnchor>
  <xdr:twoCellAnchor editAs="oneCell">
    <xdr:from>
      <xdr:col>0</xdr:col>
      <xdr:colOff>0</xdr:colOff>
      <xdr:row>35</xdr:row>
      <xdr:rowOff>0</xdr:rowOff>
    </xdr:from>
    <xdr:to>
      <xdr:col>9</xdr:col>
      <xdr:colOff>246848</xdr:colOff>
      <xdr:row>50</xdr:row>
      <xdr:rowOff>47298</xdr:rowOff>
    </xdr:to>
    <xdr:pic>
      <xdr:nvPicPr>
        <xdr:cNvPr id="3" name="图片 2">
          <a:extLst>
            <a:ext uri="{FF2B5EF4-FFF2-40B4-BE49-F238E27FC236}">
              <a16:creationId xmlns:a16="http://schemas.microsoft.com/office/drawing/2014/main" id="{3CAD148C-4EEF-183B-535E-0CB415812169}"/>
            </a:ext>
          </a:extLst>
        </xdr:cNvPr>
        <xdr:cNvPicPr>
          <a:picLocks noChangeAspect="1"/>
        </xdr:cNvPicPr>
      </xdr:nvPicPr>
      <xdr:blipFill>
        <a:blip xmlns:r="http://schemas.openxmlformats.org/officeDocument/2006/relationships" r:embed="rId2"/>
        <a:stretch>
          <a:fillRect/>
        </a:stretch>
      </xdr:blipFill>
      <xdr:spPr>
        <a:xfrm>
          <a:off x="0" y="6000750"/>
          <a:ext cx="6419048" cy="2619048"/>
        </a:xfrm>
        <a:prstGeom prst="rect">
          <a:avLst/>
        </a:prstGeom>
      </xdr:spPr>
    </xdr:pic>
    <xdr:clientData/>
  </xdr:twoCellAnchor>
  <xdr:twoCellAnchor editAs="oneCell">
    <xdr:from>
      <xdr:col>11</xdr:col>
      <xdr:colOff>0</xdr:colOff>
      <xdr:row>0</xdr:row>
      <xdr:rowOff>0</xdr:rowOff>
    </xdr:from>
    <xdr:to>
      <xdr:col>21</xdr:col>
      <xdr:colOff>246762</xdr:colOff>
      <xdr:row>33</xdr:row>
      <xdr:rowOff>132626</xdr:rowOff>
    </xdr:to>
    <xdr:pic>
      <xdr:nvPicPr>
        <xdr:cNvPr id="4" name="图片 3">
          <a:extLst>
            <a:ext uri="{FF2B5EF4-FFF2-40B4-BE49-F238E27FC236}">
              <a16:creationId xmlns:a16="http://schemas.microsoft.com/office/drawing/2014/main" id="{9DAD0B6D-B701-98A2-35C1-14722B247C32}"/>
            </a:ext>
          </a:extLst>
        </xdr:cNvPr>
        <xdr:cNvPicPr>
          <a:picLocks noChangeAspect="1"/>
        </xdr:cNvPicPr>
      </xdr:nvPicPr>
      <xdr:blipFill>
        <a:blip xmlns:r="http://schemas.openxmlformats.org/officeDocument/2006/relationships" r:embed="rId3"/>
        <a:stretch>
          <a:fillRect/>
        </a:stretch>
      </xdr:blipFill>
      <xdr:spPr>
        <a:xfrm>
          <a:off x="7543800" y="0"/>
          <a:ext cx="7104762" cy="5790476"/>
        </a:xfrm>
        <a:prstGeom prst="rect">
          <a:avLst/>
        </a:prstGeom>
      </xdr:spPr>
    </xdr:pic>
    <xdr:clientData/>
  </xdr:twoCellAnchor>
  <xdr:twoCellAnchor editAs="oneCell">
    <xdr:from>
      <xdr:col>11</xdr:col>
      <xdr:colOff>0</xdr:colOff>
      <xdr:row>34</xdr:row>
      <xdr:rowOff>0</xdr:rowOff>
    </xdr:from>
    <xdr:to>
      <xdr:col>21</xdr:col>
      <xdr:colOff>494381</xdr:colOff>
      <xdr:row>59</xdr:row>
      <xdr:rowOff>37559</xdr:rowOff>
    </xdr:to>
    <xdr:pic>
      <xdr:nvPicPr>
        <xdr:cNvPr id="5" name="图片 4">
          <a:extLst>
            <a:ext uri="{FF2B5EF4-FFF2-40B4-BE49-F238E27FC236}">
              <a16:creationId xmlns:a16="http://schemas.microsoft.com/office/drawing/2014/main" id="{2C5721F5-596A-B6F7-6B7A-FD3316AA2123}"/>
            </a:ext>
          </a:extLst>
        </xdr:cNvPr>
        <xdr:cNvPicPr>
          <a:picLocks noChangeAspect="1"/>
        </xdr:cNvPicPr>
      </xdr:nvPicPr>
      <xdr:blipFill>
        <a:blip xmlns:r="http://schemas.openxmlformats.org/officeDocument/2006/relationships" r:embed="rId4"/>
        <a:stretch>
          <a:fillRect/>
        </a:stretch>
      </xdr:blipFill>
      <xdr:spPr>
        <a:xfrm>
          <a:off x="7543800" y="5829300"/>
          <a:ext cx="7352381" cy="4323809"/>
        </a:xfrm>
        <a:prstGeom prst="rect">
          <a:avLst/>
        </a:prstGeom>
      </xdr:spPr>
    </xdr:pic>
    <xdr:clientData/>
  </xdr:twoCellAnchor>
  <xdr:twoCellAnchor editAs="oneCell">
    <xdr:from>
      <xdr:col>0</xdr:col>
      <xdr:colOff>0</xdr:colOff>
      <xdr:row>60</xdr:row>
      <xdr:rowOff>0</xdr:rowOff>
    </xdr:from>
    <xdr:to>
      <xdr:col>15</xdr:col>
      <xdr:colOff>436809</xdr:colOff>
      <xdr:row>94</xdr:row>
      <xdr:rowOff>37367</xdr:rowOff>
    </xdr:to>
    <xdr:pic>
      <xdr:nvPicPr>
        <xdr:cNvPr id="6" name="图片 5">
          <a:extLst>
            <a:ext uri="{FF2B5EF4-FFF2-40B4-BE49-F238E27FC236}">
              <a16:creationId xmlns:a16="http://schemas.microsoft.com/office/drawing/2014/main" id="{43EBA3B9-A8A1-73FC-AA1A-CC1DCC3162C0}"/>
            </a:ext>
          </a:extLst>
        </xdr:cNvPr>
        <xdr:cNvPicPr>
          <a:picLocks noChangeAspect="1"/>
        </xdr:cNvPicPr>
      </xdr:nvPicPr>
      <xdr:blipFill>
        <a:blip xmlns:r="http://schemas.openxmlformats.org/officeDocument/2006/relationships" r:embed="rId5"/>
        <a:stretch>
          <a:fillRect/>
        </a:stretch>
      </xdr:blipFill>
      <xdr:spPr>
        <a:xfrm>
          <a:off x="0" y="10287000"/>
          <a:ext cx="10723809" cy="5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b3/21Wd"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湖北省黄石市房地产抵押价值预评估</v>
      </c>
    </row>
    <row r="3" spans="1:2" s="1315" customFormat="1">
      <c r="A3" s="1313" t="s">
        <v>948</v>
      </c>
      <c r="B3" s="1314" t="str">
        <f>'预评函-封皮'!B40</f>
        <v>国民信托有限公司</v>
      </c>
    </row>
    <row r="4" spans="1:2" s="1315" customFormat="1">
      <c r="A4" s="1313" t="s">
        <v>949</v>
      </c>
      <c r="B4" s="1314" t="str">
        <f ca="1">'预评函-封皮'!B46</f>
        <v>王鹏（注册号：1120050019)、郑燚（注册号：1120070131)</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受贵公司委托，我公司对湖北省黄石市房地产抵押价值进行了预评估。</v>
      </c>
    </row>
    <row r="7" spans="1:2" s="1315" customFormat="1">
      <c r="A7" s="1313" t="s">
        <v>991</v>
      </c>
      <c r="B7" s="1314" t="str">
        <f>'预评函-1'!A7</f>
        <v>估价对象为湖北省黄石市房地产，为所有。根据《国有土地使用证》[]，估价对象（分摊）出让国有建设用地使用权面积为0平方米，建筑面积为254.29平方米。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估价对象为湖北省黄石市房地产,属开发建设的商业项目，该项目尚在开发建设中。根据《国有土地使用证》[]，估价对象（分摊）出让国有建设用地使用权面积为0平方米，规划建筑面积为254.29平方米。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为估价委托人在向办理贷款手续过程中，确定房地产抵押贷款额度提供参考依据而评估房地产抵押价值。</v>
      </c>
    </row>
    <row r="12" spans="1:2" s="1315" customFormat="1">
      <c r="A12" s="1313" t="s">
        <v>953</v>
      </c>
      <c r="B12" s="1314" t="str">
        <f>'预评函-1'!A15</f>
        <v>2022年5月17日（评估专业人员实地查勘之日）</v>
      </c>
    </row>
    <row r="13" spans="1:2" s="1315" customFormat="1">
      <c r="A13" s="1313" t="s">
        <v>954</v>
      </c>
      <c r="B13" s="1314" t="str">
        <f>'预评函-1'!A18</f>
        <v>本次估价的“房地产价值”是指在正常市场情况下，在价值时点2022年5月17日，估价对象规划用途为其他商服用地/营业，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其他商服用地/营业，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f ca="1">'预评函-2'!D5</f>
        <v>228</v>
      </c>
    </row>
    <row r="21" spans="1:2" s="1315" customFormat="1">
      <c r="A21" s="1313" t="s">
        <v>962</v>
      </c>
      <c r="B21" s="1314">
        <f ca="1">'预评函-2'!D7</f>
        <v>8966</v>
      </c>
    </row>
    <row r="22" spans="1:2" s="1315" customFormat="1">
      <c r="A22" s="1313" t="s">
        <v>963</v>
      </c>
      <c r="B22" s="1314" t="str">
        <f ca="1">'预评函-2'!D6</f>
        <v>贰佰贰拾捌万元整</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f ca="1">'预评函-2'!D13</f>
        <v>228</v>
      </c>
    </row>
    <row r="31" spans="1:2" s="1315" customFormat="1">
      <c r="A31" s="1313" t="s">
        <v>1001</v>
      </c>
      <c r="B31" s="1314">
        <f ca="1">'预评函-2'!D15</f>
        <v>8966</v>
      </c>
    </row>
    <row r="32" spans="1:2" s="1315" customFormat="1">
      <c r="A32" s="1313" t="s">
        <v>968</v>
      </c>
      <c r="B32" s="1314" t="str">
        <f ca="1">'预评函-2'!D14</f>
        <v>贰佰贰拾捌万元整</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湖北省黄石市房地产</v>
      </c>
    </row>
    <row r="42" spans="1:2" s="1315" customFormat="1">
      <c r="A42" s="1313" t="s">
        <v>1015</v>
      </c>
      <c r="B42" s="1314" t="str">
        <f>'预评函-3'!B2</f>
        <v>建筑面积</v>
      </c>
    </row>
    <row r="43" spans="1:2" s="1315" customFormat="1">
      <c r="A43" s="1313" t="s">
        <v>1016</v>
      </c>
      <c r="B43" s="1314">
        <f>'预评函-3'!B4</f>
        <v>254.29000000000002</v>
      </c>
    </row>
    <row r="44" spans="1:2" s="1315" customFormat="1">
      <c r="A44" s="1313" t="s">
        <v>1000</v>
      </c>
      <c r="B44" s="1314" t="str">
        <f>'预评函-3'!C2</f>
        <v>(分摊)土地面积</v>
      </c>
    </row>
    <row r="45" spans="1:2" s="1315" customFormat="1">
      <c r="A45" s="1313" t="s">
        <v>972</v>
      </c>
      <c r="B45" s="1314">
        <f>'预评函-3'!C4</f>
        <v>0</v>
      </c>
    </row>
    <row r="46" spans="1:2" s="1315" customFormat="1">
      <c r="A46" s="1313" t="s">
        <v>998</v>
      </c>
      <c r="B46" s="1314" t="str">
        <f>'预评函-3'!D2</f>
        <v>出让国有建设用地使用权价值</v>
      </c>
    </row>
    <row r="47" spans="1:2" s="1315" customFormat="1">
      <c r="A47" s="1313" t="s">
        <v>973</v>
      </c>
      <c r="B47" s="1314" t="e">
        <f ca="1">'预评函-3'!D4</f>
        <v>#REF!</v>
      </c>
    </row>
    <row r="48" spans="1:2" s="1315" customFormat="1">
      <c r="A48" s="1313" t="s">
        <v>974</v>
      </c>
      <c r="B48" s="1314" t="e">
        <f ca="1">'预评函-3'!E4</f>
        <v>#REF!</v>
      </c>
    </row>
    <row r="49" spans="1:2" s="1315" customFormat="1">
      <c r="A49" s="1313" t="s">
        <v>975</v>
      </c>
      <c r="B49" s="1314" t="e">
        <f ca="1">'预评函-3'!D5</f>
        <v>#REF!</v>
      </c>
    </row>
    <row r="50" spans="1:2" s="1315" customFormat="1">
      <c r="A50" s="1313" t="s">
        <v>999</v>
      </c>
      <c r="B50" s="1314" t="str">
        <f>'预评函-3'!F2</f>
        <v>在建建筑物价值</v>
      </c>
    </row>
    <row r="51" spans="1:2" s="1315" customFormat="1">
      <c r="A51" s="1313" t="s">
        <v>976</v>
      </c>
      <c r="B51" s="1314" t="e">
        <f ca="1">'预评函-3'!F4</f>
        <v>#REF!</v>
      </c>
    </row>
    <row r="52" spans="1:2" s="1315" customFormat="1">
      <c r="A52" s="1313" t="s">
        <v>977</v>
      </c>
      <c r="B52" s="1314" t="e">
        <f ca="1">'预评函-3'!G4</f>
        <v>#REF!</v>
      </c>
    </row>
    <row r="53" spans="1:2" s="1315" customFormat="1">
      <c r="A53" s="1313" t="s">
        <v>1005</v>
      </c>
      <c r="B53" s="1314" t="e">
        <f ca="1">'预评函-3'!F5</f>
        <v>#REF!</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（1）根据估价对象《不动产权证书》原件、《不动产权证书》复印件，截至价值时点，估价对象抵押权未见登记。</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t="str">
        <f>'预评函-4'!A4</f>
        <v>王鹏</v>
      </c>
    </row>
    <row r="71" spans="1:2">
      <c r="A71" s="1313" t="s">
        <v>988</v>
      </c>
      <c r="B71" s="1314">
        <f ca="1">'预评函-4'!B4</f>
        <v>1120050019</v>
      </c>
    </row>
    <row r="72" spans="1:2">
      <c r="A72" s="1313" t="s">
        <v>989</v>
      </c>
      <c r="B72" s="1322" t="str">
        <f>'预评函-4'!A5</f>
        <v>郑燚</v>
      </c>
    </row>
    <row r="73" spans="1:2" s="1309" customFormat="1" ht="15" thickBot="1">
      <c r="A73" s="1316" t="s">
        <v>990</v>
      </c>
      <c r="B73" s="1317">
        <f ca="1">'预评函-4'!B5</f>
        <v>1120070131</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89" customWidth="1"/>
    <col min="2" max="2" width="23.125" style="1640" customWidth="1"/>
    <col min="3" max="3" width="13" style="1684" customWidth="1"/>
    <col min="4" max="4" width="5.62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2789</v>
      </c>
      <c r="C17" s="1680"/>
    </row>
    <row r="18" spans="1:3">
      <c r="A18" s="1679" t="s">
        <v>1491</v>
      </c>
      <c r="B18" s="1679" t="s">
        <v>2934</v>
      </c>
      <c r="C18" s="1680"/>
    </row>
    <row r="19" spans="1:3">
      <c r="A19" s="1679" t="s">
        <v>1492</v>
      </c>
      <c r="B19" s="1679" t="s">
        <v>577</v>
      </c>
      <c r="C19" s="1680"/>
    </row>
    <row r="20" spans="1:3">
      <c r="A20" s="1679" t="s">
        <v>1493</v>
      </c>
      <c r="B20" s="1679" t="s">
        <v>577</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拟使用湖北省黄石市房地产作为抵押担保物，向办理贷款手续。特委托北京康正宏基房地产评估有限公司对上述抵押物进行评估。本次评估为确定房地产抵押贷款额度提供参考依据而评估房地产抵押价值。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297"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17日，估价对象规划用途为其他商服用地/营业土地取得方式为出让，出让国有建设用地使用权剩余土地使用年限为XX年(多用途剩余年限尾数不同时，可只体现小数点后一位)，假定未设立法定优先受偿款下的房地产市场价值。</v>
      </c>
    </row>
    <row r="54" spans="1:4">
      <c r="A54" s="3297"/>
      <c r="B54" s="1687" t="s">
        <v>651</v>
      </c>
      <c r="C54" s="1684" t="s">
        <v>1008</v>
      </c>
    </row>
    <row r="55" spans="1:4">
      <c r="A55" s="3297"/>
      <c r="B55" s="1687" t="s">
        <v>652</v>
      </c>
      <c r="C55" s="1684" t="s">
        <v>1009</v>
      </c>
    </row>
    <row r="56" spans="1:4">
      <c r="A56" s="3297"/>
      <c r="B56" s="1687" t="s">
        <v>653</v>
      </c>
      <c r="C56" s="1684" t="s">
        <v>1013</v>
      </c>
    </row>
    <row r="57" spans="1:4">
      <c r="A57" s="3297"/>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Normal="100" zoomScaleSheetLayoutView="100" workbookViewId="0">
      <selection activeCell="L15" sqref="L15"/>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625" style="1879" customWidth="1"/>
    <col min="8" max="8" width="10" style="1879" customWidth="1"/>
    <col min="9" max="9" width="11.125" style="1712" customWidth="1"/>
    <col min="10" max="10" width="10" style="1877" customWidth="1"/>
    <col min="11" max="11" width="10" style="2800" customWidth="1"/>
    <col min="12" max="13" width="10" style="2801"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7" t="s">
        <v>2667</v>
      </c>
      <c r="B1" s="3298" t="str">
        <f>IF(B10="北京市","北京市",C10)&amp;F10&amp;IF(结果表!G1="在建","出让国有建设用地使用权及在建建筑物",IF(结果表!G1="土地","出让国有建设用地使用权",))&amp;B9&amp;"预评估"</f>
        <v>湖北省黄石市房地产抵押价值预评估</v>
      </c>
      <c r="C1" s="3299"/>
      <c r="D1" s="3299"/>
      <c r="E1" s="3299"/>
      <c r="F1" s="3299"/>
      <c r="G1" s="3299"/>
      <c r="H1" s="3299"/>
      <c r="I1" s="3300"/>
      <c r="J1" s="2642"/>
      <c r="K1" s="2539"/>
      <c r="L1" s="2540"/>
      <c r="M1" s="2540"/>
      <c r="N1" s="2541"/>
      <c r="O1" s="1709"/>
      <c r="P1" s="2541"/>
      <c r="Q1" s="2541"/>
      <c r="R1" s="2541"/>
      <c r="S1" s="1816" t="str">
        <f>IF(B10="北京市","北京市",C10)&amp;F10&amp;IF(结果表!G1="在建","出让国有建设用地使用权及在建建筑物房地产抵押价值",IF(结果表!G1="土地","出让国有建设用地使用权抵押价值",B9))</f>
        <v>湖北省黄石市房地产抵押价值</v>
      </c>
      <c r="T1" s="1879"/>
      <c r="U1" s="1879"/>
      <c r="V1" s="1879"/>
      <c r="W1" s="1879"/>
      <c r="X1" s="1879"/>
      <c r="Y1" s="1879"/>
      <c r="Z1" s="1879"/>
      <c r="AA1" s="1879"/>
      <c r="AB1" s="1879"/>
    </row>
    <row r="2" spans="1:28">
      <c r="A2" s="2538" t="s">
        <v>2668</v>
      </c>
      <c r="B2" s="2542"/>
      <c r="C2" s="2543"/>
      <c r="D2" s="2843"/>
      <c r="E2" s="2834"/>
      <c r="F2" s="2834"/>
      <c r="G2" s="2835"/>
      <c r="H2" s="2835"/>
      <c r="I2" s="2835"/>
      <c r="J2" s="2642"/>
      <c r="K2" s="2539"/>
      <c r="L2" s="2540"/>
      <c r="M2" s="2540"/>
      <c r="N2" s="2541"/>
      <c r="O2" s="1709"/>
      <c r="P2" s="2541"/>
      <c r="Q2" s="2541"/>
      <c r="R2" s="2541"/>
      <c r="S2" s="1816" t="str">
        <f>IF(B10="北京市","北京市",C10)&amp;F10&amp;IF(结果表!G1="在建","出让国有建设用地使用权及在建建筑物房地产",IF(结果表!G1="土地","出让国有建设用地使用权","房地产"))</f>
        <v>湖北省黄石市房地产</v>
      </c>
      <c r="T2" s="1879"/>
      <c r="U2" s="1879"/>
      <c r="V2" s="1879"/>
      <c r="W2" s="1879"/>
      <c r="X2" s="1879"/>
      <c r="Y2" s="1879"/>
      <c r="Z2" s="1879"/>
      <c r="AA2" s="1879"/>
      <c r="AB2" s="1879"/>
    </row>
    <row r="3" spans="1:28">
      <c r="A3" s="308" t="s">
        <v>2669</v>
      </c>
      <c r="B3" s="2544">
        <v>44698</v>
      </c>
      <c r="C3" s="2545" t="s">
        <v>2670</v>
      </c>
      <c r="D3" s="2544">
        <f>B3</f>
        <v>44698</v>
      </c>
      <c r="E3" s="2835"/>
      <c r="F3" s="2835"/>
      <c r="G3" s="2835"/>
      <c r="H3" s="2835"/>
      <c r="I3" s="2835"/>
      <c r="J3" s="2642"/>
      <c r="K3" s="2539"/>
      <c r="L3" s="2540"/>
      <c r="M3" s="2540"/>
      <c r="N3" s="2541"/>
      <c r="O3" s="1709"/>
      <c r="P3" s="2541"/>
      <c r="Q3" s="2541"/>
      <c r="R3" s="2541"/>
      <c r="S3" s="1816"/>
      <c r="T3" s="1879"/>
      <c r="U3" s="1879"/>
      <c r="V3" s="1879"/>
      <c r="W3" s="1879"/>
      <c r="X3" s="1879"/>
      <c r="Y3" s="1879"/>
      <c r="Z3" s="1879"/>
      <c r="AA3" s="1879"/>
      <c r="AB3" s="1879"/>
    </row>
    <row r="4" spans="1:28" ht="13.5" thickBot="1">
      <c r="A4" s="1200" t="s">
        <v>2671</v>
      </c>
      <c r="B4" s="2546" t="s">
        <v>3171</v>
      </c>
      <c r="C4" s="2547">
        <f ca="1">SUMIF(注册房地产估价师,B4,估价师及机构信息!B3:B24)</f>
        <v>1120050019</v>
      </c>
      <c r="D4" s="2546" t="s">
        <v>3172</v>
      </c>
      <c r="E4" s="2548">
        <f ca="1">SUMIF(注册房地产估价师,D4,估价师及机构信息!B3:B24)</f>
        <v>1120070131</v>
      </c>
      <c r="F4" s="2546"/>
      <c r="G4" s="2548">
        <f>SUMIF(注册房地产估价师,F4,估价师及机构信息!B3:B24)</f>
        <v>0</v>
      </c>
      <c r="H4" s="2546"/>
      <c r="I4" s="2548">
        <f>SUMIF(注册房地产估价师,H4,估价师及机构信息!B3:B24)</f>
        <v>0</v>
      </c>
      <c r="J4" s="2610"/>
      <c r="K4" s="2549" t="str">
        <f ca="1">CONCATENATE(B4,"（注册号：",C4,")、",D4,"（注册号：",E4,")")</f>
        <v>王鹏（注册号：1120050019)、郑燚（注册号：1120070131)</v>
      </c>
      <c r="L4" s="2540"/>
      <c r="M4" s="2540"/>
      <c r="N4" s="2541"/>
      <c r="O4" s="1709"/>
      <c r="P4" s="2541"/>
      <c r="Q4" s="2541"/>
      <c r="R4" s="2541"/>
      <c r="S4" s="1816"/>
      <c r="T4" s="1879"/>
      <c r="U4" s="1879"/>
      <c r="V4" s="1879"/>
      <c r="W4" s="1879"/>
      <c r="X4" s="1879"/>
      <c r="Y4" s="1879"/>
      <c r="Z4" s="1879"/>
      <c r="AA4" s="1879"/>
      <c r="AB4" s="1879"/>
    </row>
    <row r="5" spans="1:28" ht="24.75" thickTop="1">
      <c r="A5" s="2550" t="s">
        <v>2672</v>
      </c>
      <c r="B5" s="3225" t="s">
        <v>3173</v>
      </c>
      <c r="C5" s="2551"/>
      <c r="D5" s="2552"/>
      <c r="E5" s="2836"/>
      <c r="F5" s="2836"/>
      <c r="G5" s="2836"/>
      <c r="H5" s="2836"/>
      <c r="I5" s="2836"/>
      <c r="J5" s="2610"/>
      <c r="K5" s="2549" t="str">
        <f>IF(F4="——","",IF(H4="——",F4&amp;"（注册号："&amp;G4&amp;")",CONCATENATE(F4,"（注册号：",G4,")、",H4,"（注册号：",I4,")")))</f>
        <v>（注册号：0)、（注册号：0)</v>
      </c>
      <c r="L5" s="2540"/>
      <c r="M5" s="2540"/>
      <c r="N5" s="2541"/>
      <c r="O5" s="1709"/>
      <c r="P5" s="2541"/>
      <c r="Q5" s="2541"/>
      <c r="R5" s="2541"/>
      <c r="S5" s="1879"/>
      <c r="T5" s="1879"/>
      <c r="U5" s="1879"/>
      <c r="V5" s="1879"/>
      <c r="W5" s="1879"/>
      <c r="X5" s="1879"/>
      <c r="Y5" s="1879"/>
      <c r="Z5" s="1879"/>
      <c r="AA5" s="1879"/>
      <c r="AB5" s="1879"/>
    </row>
    <row r="6" spans="1:28">
      <c r="A6" s="2553" t="s">
        <v>2673</v>
      </c>
      <c r="B6" s="2554"/>
      <c r="C6" s="2555"/>
      <c r="D6" s="2556"/>
      <c r="E6" s="2834"/>
      <c r="F6" s="2836"/>
      <c r="G6" s="2836"/>
      <c r="H6" s="2836"/>
      <c r="I6" s="2836"/>
      <c r="J6" s="2610"/>
      <c r="K6" s="2786" t="str">
        <f>IF(COUNTIF(B6,"*上海银行*"),"上海银行","")</f>
        <v/>
      </c>
      <c r="L6" s="2784"/>
      <c r="M6" s="2784"/>
      <c r="N6" s="2610"/>
      <c r="O6" s="2621"/>
      <c r="P6" s="2610"/>
      <c r="Q6" s="2610"/>
      <c r="R6" s="2610"/>
    </row>
    <row r="7" spans="1:28">
      <c r="A7" s="2553" t="s">
        <v>2674</v>
      </c>
      <c r="B7" s="2557"/>
      <c r="C7" s="2555"/>
      <c r="D7" s="2556"/>
      <c r="E7" s="2834"/>
      <c r="F7" s="2836"/>
      <c r="G7" s="2836"/>
      <c r="H7" s="2836"/>
      <c r="I7" s="2836"/>
      <c r="J7" s="2610"/>
      <c r="K7" s="2787"/>
      <c r="L7" s="2784"/>
      <c r="M7" s="2784"/>
      <c r="N7" s="2610"/>
      <c r="O7" s="2621"/>
      <c r="P7" s="2610"/>
      <c r="Q7" s="2610"/>
      <c r="R7" s="2610"/>
    </row>
    <row r="8" spans="1:28">
      <c r="A8" s="2558" t="s">
        <v>2675</v>
      </c>
      <c r="B8" s="2559" t="s">
        <v>3174</v>
      </c>
      <c r="C8" s="2560"/>
      <c r="D8" s="3301" t="s">
        <v>2676</v>
      </c>
      <c r="E8" s="2561" t="s">
        <v>3175</v>
      </c>
      <c r="F8" s="2562"/>
      <c r="G8" s="2835"/>
      <c r="H8" s="2835"/>
      <c r="I8" s="2835"/>
      <c r="J8" s="2610"/>
      <c r="K8" s="2785"/>
      <c r="L8" s="2784"/>
      <c r="M8" s="2784"/>
      <c r="N8" s="2610"/>
      <c r="O8" s="2621"/>
      <c r="P8" s="2610"/>
      <c r="Q8" s="2610"/>
      <c r="R8" s="2610"/>
    </row>
    <row r="9" spans="1:28" ht="13.5" thickBot="1">
      <c r="A9" s="2563" t="s">
        <v>2677</v>
      </c>
      <c r="B9" s="2564" t="s">
        <v>3175</v>
      </c>
      <c r="C9" s="2565"/>
      <c r="D9" s="3302"/>
      <c r="E9" s="2564"/>
      <c r="F9" s="2566"/>
      <c r="G9" s="2837"/>
      <c r="H9" s="2837"/>
      <c r="I9" s="2837"/>
      <c r="J9" s="2610"/>
      <c r="K9" s="2787"/>
      <c r="L9" s="2784"/>
      <c r="M9" s="2784"/>
      <c r="N9" s="2610"/>
      <c r="O9" s="2621"/>
      <c r="P9" s="2610"/>
      <c r="Q9" s="2610"/>
      <c r="R9" s="2610"/>
    </row>
    <row r="10" spans="1:28" ht="13.5" thickTop="1">
      <c r="A10" s="2567" t="s">
        <v>2678</v>
      </c>
      <c r="B10" s="2568"/>
      <c r="C10" s="3227" t="s">
        <v>3178</v>
      </c>
      <c r="D10" s="2552"/>
      <c r="E10" s="2569" t="s">
        <v>2679</v>
      </c>
      <c r="F10" s="3226"/>
      <c r="G10" s="2838"/>
      <c r="H10" s="2839"/>
      <c r="I10" s="2840"/>
      <c r="J10" s="2610"/>
      <c r="K10" s="2787"/>
      <c r="L10" s="2784"/>
      <c r="M10" s="2784"/>
      <c r="N10" s="2610"/>
      <c r="O10" s="2621"/>
      <c r="P10" s="2610"/>
      <c r="Q10" s="2610"/>
      <c r="R10" s="2610"/>
    </row>
    <row r="11" spans="1:28">
      <c r="A11" s="2570" t="s">
        <v>2680</v>
      </c>
      <c r="B11" s="2571" t="s">
        <v>3176</v>
      </c>
      <c r="C11" s="2572"/>
      <c r="D11" s="2573"/>
      <c r="E11" s="2541"/>
      <c r="F11" s="2541"/>
      <c r="G11" s="2541"/>
      <c r="H11" s="2541"/>
      <c r="I11" s="2541"/>
      <c r="J11" s="2610"/>
      <c r="K11" s="2787"/>
      <c r="L11" s="2784"/>
      <c r="M11" s="2784"/>
      <c r="N11" s="2610"/>
      <c r="O11" s="2621"/>
      <c r="P11" s="2610"/>
      <c r="Q11" s="2610"/>
      <c r="R11" s="2610"/>
    </row>
    <row r="12" spans="1:28">
      <c r="A12" s="2574" t="s">
        <v>2681</v>
      </c>
      <c r="B12" s="2571" t="s">
        <v>3177</v>
      </c>
      <c r="C12" s="329" t="s">
        <v>2682</v>
      </c>
      <c r="D12" s="2575" t="s">
        <v>2683</v>
      </c>
      <c r="E12" s="2575" t="s">
        <v>2684</v>
      </c>
      <c r="F12" s="2575" t="s">
        <v>2685</v>
      </c>
      <c r="G12" s="2575" t="s">
        <v>2686</v>
      </c>
      <c r="H12" s="2575" t="s">
        <v>2687</v>
      </c>
      <c r="I12" s="2575" t="s">
        <v>2688</v>
      </c>
      <c r="J12" s="2610"/>
      <c r="K12" s="2787"/>
      <c r="L12" s="2784"/>
      <c r="M12" s="2784"/>
      <c r="N12" s="2610"/>
      <c r="O12" s="2621"/>
      <c r="P12" s="2610"/>
      <c r="Q12" s="2610"/>
      <c r="R12" s="2610"/>
    </row>
    <row r="13" spans="1:28">
      <c r="A13" s="1191"/>
      <c r="B13" s="2576"/>
      <c r="C13" s="2577" t="s">
        <v>2689</v>
      </c>
      <c r="D13" s="943"/>
      <c r="E13" s="943">
        <v>58150</v>
      </c>
      <c r="F13" s="943"/>
      <c r="G13" s="943"/>
      <c r="H13" s="943"/>
      <c r="I13" s="943"/>
      <c r="J13" s="2610"/>
      <c r="K13" s="2787"/>
      <c r="L13" s="2784"/>
      <c r="M13" s="2784"/>
      <c r="N13" s="2610"/>
      <c r="O13" s="2621"/>
      <c r="P13" s="2610"/>
      <c r="Q13" s="2610"/>
      <c r="R13" s="2610"/>
    </row>
    <row r="14" spans="1:28">
      <c r="A14" s="1191"/>
      <c r="B14" s="2576"/>
      <c r="C14" s="2577" t="s">
        <v>2690</v>
      </c>
      <c r="D14" s="2578"/>
      <c r="E14" s="2578">
        <v>40</v>
      </c>
      <c r="F14" s="2578"/>
      <c r="G14" s="2578"/>
      <c r="H14" s="2578"/>
      <c r="I14" s="2578"/>
      <c r="J14" s="2610"/>
      <c r="K14" s="2788"/>
      <c r="L14" s="2784"/>
      <c r="M14" s="2784"/>
      <c r="N14" s="2610"/>
      <c r="O14" s="2621"/>
      <c r="P14" s="2610"/>
      <c r="Q14" s="2610"/>
      <c r="R14" s="2610"/>
    </row>
    <row r="15" spans="1:28">
      <c r="A15" s="326"/>
      <c r="B15" s="2579"/>
      <c r="C15" s="2580" t="s">
        <v>2691</v>
      </c>
      <c r="D15" s="2581" t="str">
        <f>IF(B12="出让",IF(D13="","",ROUNDDOWN(MIN((D13-$D$3)/365,D14),2)),D14)</f>
        <v/>
      </c>
      <c r="E15" s="2581">
        <f>IF(B12="出让",IF(E13="","",ROUNDDOWN(MIN((E13-$D$3)/365,E14),2)),E14)</f>
        <v>36.85</v>
      </c>
      <c r="F15" s="2581" t="str">
        <f>IF(B12="出让",IF(F13="","",ROUNDDOWN(MIN((F13-$D$3)/365,F14),2)),F14)</f>
        <v/>
      </c>
      <c r="G15" s="2581" t="str">
        <f>IF(B12="出让",IF(G13="","",ROUNDDOWN(MIN((G13-$D$3)/365,G14),2)),G14)</f>
        <v/>
      </c>
      <c r="H15" s="2581" t="str">
        <f>IF(B12="出让",IF(H13="","",ROUNDDOWN(MIN((H13-$D$3)/365,H14),2)),H14)</f>
        <v/>
      </c>
      <c r="I15" s="2581" t="str">
        <f>IF(B12="出让",IF(I13="","",ROUNDDOWN(MIN((I13-$D$3)/365,I14),2)),I14)</f>
        <v/>
      </c>
      <c r="J15" s="2610"/>
      <c r="K15" s="2789"/>
      <c r="L15" s="2622"/>
      <c r="M15" s="2622"/>
      <c r="N15" s="2680"/>
      <c r="O15" s="2622"/>
      <c r="P15" s="2680"/>
      <c r="Q15" s="2610"/>
      <c r="R15" s="2610"/>
    </row>
    <row r="16" spans="1:28">
      <c r="A16" s="2569" t="s">
        <v>2692</v>
      </c>
      <c r="B16" s="3308" t="s">
        <v>3254</v>
      </c>
      <c r="C16" s="3309"/>
      <c r="D16" s="3310"/>
      <c r="E16" s="2584" t="s">
        <v>2693</v>
      </c>
      <c r="F16" s="3311"/>
      <c r="G16" s="3312"/>
      <c r="H16" s="3312"/>
      <c r="I16" s="3313"/>
      <c r="J16" s="2610"/>
      <c r="K16" s="2789"/>
      <c r="L16" s="2622"/>
      <c r="M16" s="2622"/>
      <c r="N16" s="2680"/>
      <c r="O16" s="2622"/>
      <c r="P16" s="2680"/>
      <c r="Q16" s="2610"/>
      <c r="R16" s="2610"/>
    </row>
    <row r="17" spans="1:28">
      <c r="A17" s="319" t="s">
        <v>2694</v>
      </c>
      <c r="B17" s="308" t="s">
        <v>2695</v>
      </c>
      <c r="C17" s="11">
        <f>'数据-汇总表'!E3</f>
        <v>254.29000000000002</v>
      </c>
      <c r="D17" s="2493" t="s">
        <v>2696</v>
      </c>
      <c r="E17" s="3314" t="s">
        <v>3253</v>
      </c>
      <c r="F17" s="3315"/>
      <c r="G17" s="3315"/>
      <c r="H17" s="3315"/>
      <c r="I17" s="3316"/>
      <c r="J17" s="2610"/>
      <c r="K17" s="2790"/>
      <c r="L17" s="2622"/>
      <c r="M17" s="2622"/>
      <c r="N17" s="2680"/>
      <c r="O17" s="2622"/>
      <c r="P17" s="2680"/>
      <c r="Q17" s="2610"/>
      <c r="R17" s="2610"/>
      <c r="S17" s="2610"/>
      <c r="T17" s="2610"/>
      <c r="U17" s="2610"/>
      <c r="V17" s="2610"/>
    </row>
    <row r="18" spans="1:28" ht="24.75" thickBot="1">
      <c r="A18" s="2585" t="s">
        <v>2697</v>
      </c>
      <c r="B18" s="1200" t="s">
        <v>2698</v>
      </c>
      <c r="C18" s="2586">
        <f>'数据-汇总表'!D3</f>
        <v>0</v>
      </c>
      <c r="D18" s="1202" t="s">
        <v>2699</v>
      </c>
      <c r="E18" s="3317" t="s">
        <v>2700</v>
      </c>
      <c r="F18" s="3318"/>
      <c r="G18" s="3318"/>
      <c r="H18" s="3318"/>
      <c r="I18" s="3319"/>
      <c r="J18" s="2610"/>
      <c r="K18" s="2790"/>
      <c r="L18" s="2622"/>
      <c r="M18" s="2622"/>
      <c r="N18" s="2680"/>
      <c r="O18" s="2622"/>
      <c r="P18" s="2680"/>
      <c r="Q18" s="2610"/>
      <c r="R18" s="2610"/>
      <c r="S18" s="2610"/>
      <c r="T18" s="2610"/>
      <c r="U18" s="2610"/>
      <c r="V18" s="2610"/>
    </row>
    <row r="19" spans="1:28" ht="37.5" thickTop="1" thickBot="1">
      <c r="A19" s="333" t="s">
        <v>1500</v>
      </c>
      <c r="B19" s="313" t="s">
        <v>2701</v>
      </c>
      <c r="C19" s="1696" t="s">
        <v>3179</v>
      </c>
      <c r="D19" s="1697" t="s">
        <v>2702</v>
      </c>
      <c r="E19" s="1698" t="s">
        <v>3179</v>
      </c>
      <c r="F19" s="1699" t="str">
        <f>IF(AND(C19="是",E19="否"),"是否提供他项权证或相关说明","")</f>
        <v/>
      </c>
      <c r="G19" s="1700"/>
      <c r="H19" s="2836"/>
      <c r="I19" s="2836"/>
      <c r="J19" s="2610"/>
      <c r="K19" s="2787"/>
      <c r="L19" s="2784"/>
      <c r="M19" s="2784"/>
      <c r="N19" s="2680"/>
      <c r="O19" s="2622"/>
      <c r="P19" s="2680"/>
      <c r="Q19" s="2610"/>
      <c r="R19" s="2610"/>
      <c r="S19" s="2610"/>
      <c r="T19" s="2610"/>
      <c r="U19" s="2610"/>
      <c r="V19" s="2610"/>
    </row>
    <row r="20" spans="1:28">
      <c r="A20" s="2804" t="s">
        <v>2703</v>
      </c>
      <c r="B20" s="3304" t="s">
        <v>2704</v>
      </c>
      <c r="C20" s="3305"/>
      <c r="D20" s="3306" t="s">
        <v>2705</v>
      </c>
      <c r="E20" s="3307"/>
      <c r="F20" s="2819" t="s">
        <v>1501</v>
      </c>
      <c r="G20" s="2836"/>
      <c r="H20" s="2836"/>
      <c r="I20" s="2836"/>
      <c r="J20" s="2610"/>
      <c r="K20" s="3303" t="s">
        <v>2706</v>
      </c>
      <c r="L20" s="690" t="str">
        <f>"根据估价对象"&amp;IF(B22="——",B21&amp;C21,B21&amp;C21&amp;"、"&amp;B22&amp;C22)&amp;"，"&amp;IF(C19="是","截至价值时点，估价对象已设定抵押。","截至价值时点，估价对象抵押权未见登记。")</f>
        <v>根据估价对象《不动产权证书》原件、《不动产权证书》复印件，截至价值时点，估价对象抵押权未见登记。</v>
      </c>
      <c r="M20" s="2540"/>
      <c r="N20" s="2583"/>
      <c r="O20" s="2582"/>
      <c r="P20" s="2583"/>
      <c r="Q20" s="2541"/>
      <c r="R20" s="2541"/>
      <c r="S20" s="2541"/>
      <c r="T20" s="2541"/>
      <c r="U20" s="2541"/>
      <c r="V20" s="2541"/>
      <c r="W20" s="1879"/>
      <c r="X20" s="1879"/>
      <c r="Y20" s="1879"/>
      <c r="Z20" s="1879"/>
      <c r="AA20" s="1879"/>
      <c r="AB20" s="1879"/>
    </row>
    <row r="21" spans="1:28" ht="26.25" thickBot="1">
      <c r="A21" s="2804"/>
      <c r="B21" s="2805" t="s">
        <v>3180</v>
      </c>
      <c r="C21" s="2806" t="s">
        <v>1502</v>
      </c>
      <c r="D21" s="1701" t="s">
        <v>2707</v>
      </c>
      <c r="E21" s="2807" t="s">
        <v>1502</v>
      </c>
      <c r="F21" s="2820"/>
      <c r="G21" s="2836"/>
      <c r="H21" s="2836"/>
      <c r="I21" s="2836"/>
      <c r="J21" s="2610"/>
      <c r="K21" s="3303"/>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0"/>
      <c r="N21" s="2583"/>
      <c r="O21" s="2582"/>
      <c r="P21" s="2583"/>
      <c r="Q21" s="2541"/>
      <c r="R21" s="2541"/>
      <c r="S21" s="2541"/>
      <c r="T21" s="2541"/>
      <c r="U21" s="2541"/>
      <c r="V21" s="2541"/>
      <c r="W21" s="1879"/>
      <c r="X21" s="1879"/>
      <c r="Y21" s="1879"/>
      <c r="Z21" s="1879"/>
      <c r="AA21" s="1879"/>
      <c r="AB21" s="1879"/>
    </row>
    <row r="22" spans="1:28" ht="26.25" thickBot="1">
      <c r="A22" s="2804"/>
      <c r="B22" s="2808" t="s">
        <v>3180</v>
      </c>
      <c r="C22" s="2806" t="s">
        <v>1503</v>
      </c>
      <c r="D22" s="2835"/>
      <c r="E22" s="2835"/>
      <c r="F22" s="2835"/>
      <c r="G22" s="2836"/>
      <c r="H22" s="2836"/>
      <c r="I22" s="2836"/>
      <c r="J22" s="2610"/>
      <c r="K22" s="3303"/>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0"/>
      <c r="N22" s="2583"/>
      <c r="O22" s="2582"/>
      <c r="P22" s="2583"/>
      <c r="Q22" s="2541"/>
      <c r="R22" s="2541"/>
      <c r="S22" s="2541"/>
      <c r="T22" s="2541"/>
      <c r="U22" s="2541"/>
      <c r="V22" s="2541"/>
      <c r="W22" s="1879"/>
      <c r="X22" s="1879"/>
      <c r="Y22" s="1879"/>
      <c r="Z22" s="1879"/>
      <c r="AA22" s="1879"/>
      <c r="AB22" s="1879"/>
    </row>
    <row r="23" spans="1:28">
      <c r="A23" s="2809" t="s">
        <v>2708</v>
      </c>
      <c r="B23" s="2673" t="s">
        <v>2709</v>
      </c>
      <c r="C23" s="2810"/>
      <c r="D23" s="2811" t="s">
        <v>2709</v>
      </c>
      <c r="E23" s="2812"/>
      <c r="F23" s="2835"/>
      <c r="G23" s="2836"/>
      <c r="H23" s="2836"/>
      <c r="I23" s="2836"/>
      <c r="J23" s="2610"/>
      <c r="K23" s="2791"/>
      <c r="L23" s="2646"/>
      <c r="M23" s="2784"/>
      <c r="N23" s="2680"/>
      <c r="O23" s="2622"/>
      <c r="P23" s="2680"/>
      <c r="Q23" s="2610"/>
      <c r="R23" s="2610"/>
      <c r="S23" s="2610"/>
      <c r="T23" s="2610"/>
      <c r="U23" s="2610"/>
      <c r="V23" s="2610"/>
    </row>
    <row r="24" spans="1:28">
      <c r="A24" s="2809"/>
      <c r="B24" s="2673" t="s">
        <v>1504</v>
      </c>
      <c r="C24" s="2813"/>
      <c r="D24" s="2809" t="s">
        <v>1504</v>
      </c>
      <c r="E24" s="2814"/>
      <c r="F24" s="2835"/>
      <c r="G24" s="2836"/>
      <c r="H24" s="2836"/>
      <c r="I24" s="2836"/>
      <c r="J24" s="2610"/>
      <c r="K24" s="2791"/>
      <c r="L24" s="2646"/>
      <c r="M24" s="2784"/>
      <c r="N24" s="2680"/>
      <c r="O24" s="2622"/>
      <c r="P24" s="2680"/>
      <c r="Q24" s="2610"/>
      <c r="R24" s="2610"/>
      <c r="S24" s="2610"/>
      <c r="T24" s="2610"/>
      <c r="U24" s="2610"/>
      <c r="V24" s="2610"/>
    </row>
    <row r="25" spans="1:28">
      <c r="A25" s="2809"/>
      <c r="B25" s="2673" t="s">
        <v>1505</v>
      </c>
      <c r="C25" s="2813"/>
      <c r="D25" s="2809" t="s">
        <v>1505</v>
      </c>
      <c r="E25" s="2814"/>
      <c r="F25" s="2835"/>
      <c r="G25" s="2836"/>
      <c r="H25" s="2836"/>
      <c r="I25" s="2836"/>
      <c r="J25" s="2610"/>
      <c r="K25" s="2787"/>
      <c r="L25" s="2784"/>
      <c r="M25" s="2784"/>
      <c r="N25" s="2680"/>
      <c r="O25" s="2622"/>
      <c r="P25" s="2680"/>
      <c r="Q25" s="2610"/>
      <c r="R25" s="2610"/>
      <c r="S25" s="2610"/>
      <c r="T25" s="2610"/>
      <c r="U25" s="2610"/>
      <c r="V25" s="2610"/>
    </row>
    <row r="26" spans="1:28" ht="13.5" thickBot="1">
      <c r="A26" s="2815"/>
      <c r="B26" s="2816" t="s">
        <v>1506</v>
      </c>
      <c r="C26" s="2817"/>
      <c r="D26" s="2815" t="s">
        <v>1506</v>
      </c>
      <c r="E26" s="2818"/>
      <c r="F26" s="2837"/>
      <c r="G26" s="2837"/>
      <c r="H26" s="2837"/>
      <c r="I26" s="2837"/>
      <c r="J26" s="2610"/>
      <c r="K26" s="2787"/>
      <c r="L26" s="2784"/>
      <c r="M26" s="2784"/>
      <c r="N26" s="2680"/>
      <c r="O26" s="2622"/>
      <c r="P26" s="2680"/>
      <c r="Q26" s="2610"/>
      <c r="R26" s="2610"/>
      <c r="S26" s="2610"/>
      <c r="T26" s="2610"/>
      <c r="U26" s="2610"/>
      <c r="V26" s="2610"/>
    </row>
    <row r="27" spans="1:28" ht="13.5" thickTop="1">
      <c r="A27" s="3321" t="s">
        <v>2710</v>
      </c>
      <c r="B27" s="326" t="s">
        <v>2711</v>
      </c>
      <c r="C27" s="2587" t="s">
        <v>3181</v>
      </c>
      <c r="D27" s="2588"/>
      <c r="E27" s="2836"/>
      <c r="F27" s="2836"/>
      <c r="G27" s="2836"/>
      <c r="H27" s="2836"/>
      <c r="I27" s="2836"/>
      <c r="J27" s="2610"/>
      <c r="K27" s="2789"/>
      <c r="L27" s="2622"/>
      <c r="M27" s="2622"/>
      <c r="N27" s="2680"/>
      <c r="O27" s="2622"/>
      <c r="P27" s="2680"/>
      <c r="Q27" s="2610"/>
      <c r="R27" s="2610"/>
      <c r="S27" s="2610"/>
      <c r="T27" s="2610"/>
      <c r="U27" s="2610"/>
      <c r="V27" s="2610"/>
    </row>
    <row r="28" spans="1:28">
      <c r="A28" s="3321"/>
      <c r="B28" s="308" t="s">
        <v>2712</v>
      </c>
      <c r="C28" s="2589" t="s">
        <v>3182</v>
      </c>
      <c r="D28" s="2590"/>
      <c r="E28" s="2836"/>
      <c r="F28" s="2836"/>
      <c r="G28" s="2836"/>
      <c r="H28" s="2836"/>
      <c r="I28" s="2836"/>
      <c r="J28" s="2610"/>
      <c r="K28" s="2787"/>
      <c r="L28" s="2784"/>
      <c r="M28" s="2784"/>
      <c r="N28" s="2610"/>
      <c r="O28" s="2621"/>
      <c r="P28" s="2610"/>
      <c r="Q28" s="2610"/>
      <c r="R28" s="2610"/>
      <c r="S28" s="2610"/>
      <c r="T28" s="2610"/>
      <c r="U28" s="2610"/>
      <c r="V28" s="2610"/>
    </row>
    <row r="29" spans="1:28">
      <c r="A29" s="3321"/>
      <c r="B29" s="308" t="s">
        <v>2713</v>
      </c>
      <c r="C29" s="2591" t="s">
        <v>3179</v>
      </c>
      <c r="D29" s="2592"/>
      <c r="E29" s="2836"/>
      <c r="F29" s="2836"/>
      <c r="G29" s="2836"/>
      <c r="H29" s="2836"/>
      <c r="I29" s="2836"/>
      <c r="J29" s="2610"/>
      <c r="K29" s="2787"/>
      <c r="L29" s="2784"/>
      <c r="M29" s="2784"/>
      <c r="N29" s="2610"/>
      <c r="O29" s="2621"/>
      <c r="P29" s="2610"/>
      <c r="Q29" s="2610"/>
      <c r="R29" s="2610"/>
      <c r="S29" s="2610"/>
      <c r="T29" s="2610"/>
      <c r="U29" s="2610"/>
      <c r="V29" s="2610"/>
    </row>
    <row r="30" spans="1:28">
      <c r="A30" s="3322"/>
      <c r="B30" s="308" t="s">
        <v>2714</v>
      </c>
      <c r="C30" s="3323"/>
      <c r="D30" s="3324"/>
      <c r="E30" s="2836"/>
      <c r="F30" s="2836"/>
      <c r="G30" s="2836"/>
      <c r="H30" s="2836"/>
      <c r="I30" s="2836"/>
      <c r="J30" s="2610"/>
      <c r="K30" s="2787"/>
      <c r="L30" s="2784"/>
      <c r="M30" s="2784"/>
      <c r="N30" s="2610"/>
      <c r="O30" s="2621"/>
      <c r="P30" s="2610"/>
      <c r="Q30" s="2610"/>
      <c r="R30" s="2610"/>
      <c r="S30" s="2610"/>
      <c r="T30" s="2610"/>
      <c r="U30" s="2610"/>
      <c r="V30" s="2610"/>
    </row>
    <row r="31" spans="1:28">
      <c r="A31" s="3325" t="s">
        <v>2715</v>
      </c>
      <c r="B31" s="2593" t="s">
        <v>3183</v>
      </c>
      <c r="C31" s="2494" t="str">
        <f>IF(B31="现房","成新及维护状况正常否",IF(B31="在建","工程状态是否正常",IF(B31="土地","是否闲置","-")))</f>
        <v>成新及维护状况正常否</v>
      </c>
      <c r="D31" s="1505"/>
      <c r="E31" s="2594"/>
      <c r="F31" s="2836"/>
      <c r="G31" s="2836"/>
      <c r="H31" s="2836"/>
      <c r="I31" s="2836"/>
      <c r="J31" s="2610"/>
      <c r="K31" s="2786"/>
      <c r="L31" s="2784"/>
      <c r="M31" s="2784"/>
      <c r="N31" s="2610"/>
      <c r="O31" s="2621"/>
      <c r="P31" s="2610"/>
      <c r="Q31" s="2610"/>
      <c r="R31" s="2610"/>
      <c r="S31" s="2610"/>
      <c r="T31" s="2610"/>
      <c r="U31" s="2610"/>
      <c r="V31" s="2610"/>
    </row>
    <row r="32" spans="1:28">
      <c r="A32" s="3326"/>
      <c r="B32" s="2593"/>
      <c r="C32" s="2494" t="str">
        <f>IF(B32="现房","成新及维护状况是否正常",IF(B32="在建","工程状态是否正常",IF(B32="土地","是否闲置","-")))</f>
        <v>-</v>
      </c>
      <c r="D32" s="1505"/>
      <c r="E32" s="2594"/>
      <c r="F32" s="2836"/>
      <c r="G32" s="2836"/>
      <c r="H32" s="2836"/>
      <c r="I32" s="2836"/>
      <c r="J32" s="2610"/>
      <c r="K32" s="2787"/>
      <c r="L32" s="2784"/>
      <c r="M32" s="2784"/>
      <c r="N32" s="2610"/>
      <c r="O32" s="2621"/>
      <c r="P32" s="2610"/>
      <c r="Q32" s="2610"/>
      <c r="R32" s="2610"/>
      <c r="S32" s="2610"/>
      <c r="T32" s="2610"/>
      <c r="U32" s="2610"/>
      <c r="V32" s="2610"/>
    </row>
    <row r="33" spans="1:30">
      <c r="A33" s="3326"/>
      <c r="B33" s="2596"/>
      <c r="C33" s="1723" t="str">
        <f>IF(B33="现房","成新及维护状况是否正常",IF(B33="在建","工程状态是否正常",IF(B33="土地","是否闲置","-")))</f>
        <v>-</v>
      </c>
      <c r="D33" s="1497"/>
      <c r="E33" s="2597"/>
      <c r="F33" s="2836"/>
      <c r="G33" s="2836"/>
      <c r="H33" s="2836"/>
      <c r="I33" s="2836"/>
      <c r="J33" s="2610"/>
      <c r="K33" s="2787"/>
      <c r="L33" s="2784"/>
      <c r="M33" s="2784"/>
      <c r="N33" s="2610"/>
      <c r="O33" s="2621"/>
      <c r="P33" s="2610"/>
      <c r="Q33" s="2610"/>
      <c r="R33" s="2610"/>
      <c r="S33" s="2610"/>
      <c r="T33" s="2610"/>
      <c r="U33" s="2610"/>
      <c r="V33" s="2610"/>
    </row>
    <row r="34" spans="1:30">
      <c r="A34" s="308" t="s">
        <v>2716</v>
      </c>
      <c r="B34" s="2162" t="s">
        <v>3184</v>
      </c>
      <c r="C34" s="2162" t="s">
        <v>3185</v>
      </c>
      <c r="D34" s="2162" t="s">
        <v>3186</v>
      </c>
      <c r="E34" s="2162" t="s">
        <v>3187</v>
      </c>
      <c r="F34" s="2162" t="s">
        <v>3188</v>
      </c>
      <c r="G34" s="2162" t="s">
        <v>3189</v>
      </c>
      <c r="H34" s="2162"/>
      <c r="I34" s="2836"/>
      <c r="J34" s="2610"/>
      <c r="K34" s="2598">
        <f>COUNTIF(B34:H34,"——")</f>
        <v>0</v>
      </c>
      <c r="L34" s="329" t="s">
        <v>2717</v>
      </c>
      <c r="M34" s="329" t="s">
        <v>2718</v>
      </c>
      <c r="N34" s="329" t="s">
        <v>2719</v>
      </c>
      <c r="O34" s="329" t="s">
        <v>2720</v>
      </c>
      <c r="P34" s="329" t="s">
        <v>2721</v>
      </c>
      <c r="Q34" s="329" t="s">
        <v>2722</v>
      </c>
      <c r="R34" s="329" t="s">
        <v>2723</v>
      </c>
      <c r="S34" s="3320" t="s">
        <v>2724</v>
      </c>
      <c r="T34" s="2599" t="str">
        <f>NUMBERSTRING(7-K34,1)&amp;"通"</f>
        <v>七通</v>
      </c>
      <c r="U34" s="2610"/>
      <c r="V34" s="2610"/>
    </row>
    <row r="35" spans="1:30" ht="25.5">
      <c r="A35" s="2600"/>
      <c r="B35" s="3327" t="s">
        <v>2725</v>
      </c>
      <c r="C35" s="3327"/>
      <c r="D35" s="3327"/>
      <c r="E35" s="3327"/>
      <c r="F35" s="670" t="str">
        <f>C10</f>
        <v>湖北省黄石市</v>
      </c>
      <c r="G35" s="2836"/>
      <c r="H35" s="2836"/>
      <c r="I35" s="2836"/>
      <c r="J35" s="2610"/>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20"/>
      <c r="T35" s="335" t="str">
        <f>IF(T34="一通",L35,IF(T34="二通",M35,IF(T34="三通",N35,IF(T34="四通",O35,IF(T34="五通",P35,IF(T34="六通",Q35,R35))))))</f>
        <v>通路、通电、通讯、通上水、通下水、燃气、</v>
      </c>
      <c r="U35" s="2610"/>
      <c r="V35" s="2610"/>
    </row>
    <row r="36" spans="1:30">
      <c r="A36" s="2601"/>
      <c r="B36" s="670" t="s">
        <v>2684</v>
      </c>
      <c r="C36" s="670" t="s">
        <v>2685</v>
      </c>
      <c r="D36" s="670" t="s">
        <v>2683</v>
      </c>
      <c r="E36" s="670" t="s">
        <v>2688</v>
      </c>
      <c r="F36" s="2841"/>
      <c r="G36" s="2836"/>
      <c r="H36" s="2836"/>
      <c r="I36" s="2836"/>
      <c r="J36" s="2610"/>
      <c r="K36" s="2787"/>
      <c r="L36" s="2784"/>
      <c r="M36" s="2784"/>
      <c r="N36" s="2610"/>
      <c r="O36" s="2621"/>
      <c r="P36" s="2610"/>
      <c r="Q36" s="2610"/>
      <c r="R36" s="2610"/>
      <c r="S36" s="2610"/>
      <c r="T36" s="2610"/>
      <c r="U36" s="2610"/>
      <c r="V36" s="2610"/>
    </row>
    <row r="37" spans="1:30">
      <c r="A37" s="2802" t="s">
        <v>2726</v>
      </c>
      <c r="B37" s="2602"/>
      <c r="C37" s="2602"/>
      <c r="D37" s="2602"/>
      <c r="E37" s="2602"/>
      <c r="F37" s="2841"/>
      <c r="G37" s="2836"/>
      <c r="H37" s="2836"/>
      <c r="I37" s="2836"/>
      <c r="J37" s="2610"/>
      <c r="K37" s="2787"/>
      <c r="L37" s="2784"/>
      <c r="M37" s="2784"/>
      <c r="N37" s="2610"/>
      <c r="O37" s="2621"/>
      <c r="P37" s="2610"/>
      <c r="Q37" s="2610"/>
      <c r="R37" s="2610"/>
      <c r="S37" s="2610"/>
      <c r="T37" s="2610"/>
      <c r="U37" s="2610"/>
      <c r="V37" s="2610"/>
    </row>
    <row r="38" spans="1:30" ht="13.5" thickBot="1">
      <c r="A38" s="2803" t="s">
        <v>2727</v>
      </c>
      <c r="B38" s="2603"/>
      <c r="C38" s="2603"/>
      <c r="D38" s="2603"/>
      <c r="E38" s="2603"/>
      <c r="F38" s="2842"/>
      <c r="G38" s="2837"/>
      <c r="H38" s="2837"/>
      <c r="I38" s="2837"/>
      <c r="J38" s="2610"/>
      <c r="K38" s="2787"/>
      <c r="L38" s="2784"/>
      <c r="M38" s="2784"/>
      <c r="N38" s="2610"/>
      <c r="O38" s="2621"/>
      <c r="P38" s="2610"/>
      <c r="Q38" s="2610"/>
      <c r="R38" s="2610"/>
      <c r="S38" s="2610"/>
      <c r="T38" s="2610"/>
      <c r="U38" s="2610"/>
      <c r="V38" s="2610"/>
    </row>
    <row r="39" spans="1:30" s="2606" customFormat="1" ht="14.25" thickTop="1" thickBot="1">
      <c r="A39" s="2604" t="s">
        <v>2728</v>
      </c>
      <c r="B39" s="2605"/>
      <c r="C39" s="2605"/>
      <c r="D39" s="2605"/>
      <c r="E39" s="2605"/>
      <c r="F39" s="2605"/>
      <c r="G39" s="2605"/>
      <c r="H39" s="2605"/>
      <c r="I39" s="2605"/>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41"/>
      <c r="B40" s="2541"/>
      <c r="C40" s="2541"/>
      <c r="D40" s="2541"/>
      <c r="E40" s="2541"/>
      <c r="F40" s="2541"/>
      <c r="G40" s="2541"/>
      <c r="H40" s="2541"/>
      <c r="I40" s="1711"/>
      <c r="J40" s="2680"/>
      <c r="K40" s="2786"/>
      <c r="L40" s="2622"/>
      <c r="M40" s="2622"/>
      <c r="N40" s="2680"/>
      <c r="O40" s="2622"/>
      <c r="P40" s="2610"/>
      <c r="Q40" s="2610"/>
      <c r="R40" s="2610"/>
      <c r="S40" s="2610"/>
      <c r="T40" s="2610"/>
      <c r="U40" s="2610"/>
      <c r="V40" s="2610"/>
    </row>
    <row r="41" spans="1:30">
      <c r="A41" s="2607" t="s">
        <v>2729</v>
      </c>
      <c r="B41" s="1891"/>
      <c r="C41" s="1505"/>
      <c r="D41" s="2541"/>
      <c r="E41" s="2541"/>
      <c r="F41" s="2541"/>
      <c r="G41" s="2541"/>
      <c r="H41" s="2541"/>
      <c r="I41" s="1709"/>
      <c r="J41" s="2610"/>
      <c r="K41" s="2787"/>
      <c r="L41" s="2784"/>
      <c r="M41" s="2784"/>
      <c r="N41" s="2610"/>
      <c r="O41" s="2621"/>
      <c r="P41" s="2610"/>
      <c r="Q41" s="2610"/>
      <c r="R41" s="2610"/>
      <c r="S41" s="2610"/>
      <c r="T41" s="2610"/>
      <c r="U41" s="2610"/>
      <c r="V41" s="2610"/>
    </row>
    <row r="42" spans="1:30" ht="25.5">
      <c r="A42" s="329" t="s">
        <v>2730</v>
      </c>
      <c r="B42" s="11" t="s">
        <v>2731</v>
      </c>
      <c r="C42" s="11" t="s">
        <v>2732</v>
      </c>
      <c r="D42" s="11" t="s">
        <v>2733</v>
      </c>
      <c r="E42" s="11" t="s">
        <v>2734</v>
      </c>
      <c r="F42" s="11" t="s">
        <v>2735</v>
      </c>
      <c r="G42" s="11" t="s">
        <v>2736</v>
      </c>
      <c r="H42" s="11" t="s">
        <v>2737</v>
      </c>
      <c r="I42" s="11" t="s">
        <v>2738</v>
      </c>
      <c r="J42" s="2798" t="s">
        <v>2739</v>
      </c>
      <c r="K42" s="2799" t="s">
        <v>2740</v>
      </c>
      <c r="L42" s="2799" t="s">
        <v>2741</v>
      </c>
      <c r="M42" s="2799" t="s">
        <v>2742</v>
      </c>
      <c r="N42" s="2792" t="s">
        <v>2743</v>
      </c>
      <c r="O42" s="2792" t="s">
        <v>2744</v>
      </c>
      <c r="P42" s="2792" t="s">
        <v>2745</v>
      </c>
      <c r="Q42" s="2793" t="s">
        <v>2746</v>
      </c>
      <c r="R42" s="2793" t="s">
        <v>2747</v>
      </c>
      <c r="S42" s="2610"/>
      <c r="T42" s="2610"/>
      <c r="U42" s="2610"/>
      <c r="V42" s="2610"/>
    </row>
    <row r="43" spans="1:30" s="1877" customFormat="1">
      <c r="A43" s="1703"/>
      <c r="B43" s="1160"/>
      <c r="C43" s="1160"/>
      <c r="D43" s="1160"/>
      <c r="E43" s="1160"/>
      <c r="F43" s="1160"/>
      <c r="G43" s="1160"/>
      <c r="H43" s="1160"/>
      <c r="I43" s="1160"/>
      <c r="J43" s="2608"/>
      <c r="K43" s="2609"/>
      <c r="L43" s="2609"/>
      <c r="M43" s="1160"/>
      <c r="N43" s="1160"/>
      <c r="O43" s="1160"/>
      <c r="P43" s="1160"/>
      <c r="Q43" s="1160"/>
      <c r="R43" s="1160"/>
      <c r="S43" s="2610"/>
      <c r="T43" s="2610"/>
      <c r="U43" s="2610"/>
      <c r="V43" s="2610"/>
    </row>
    <row r="44" spans="1:30" s="1877" customFormat="1">
      <c r="A44" s="1703"/>
      <c r="B44" s="1703"/>
      <c r="C44" s="1160"/>
      <c r="D44" s="1160"/>
      <c r="E44" s="1160"/>
      <c r="F44" s="1160"/>
      <c r="G44" s="1160"/>
      <c r="H44" s="1160"/>
      <c r="I44" s="1160"/>
      <c r="J44" s="2608"/>
      <c r="K44" s="2609"/>
      <c r="L44" s="2609"/>
      <c r="M44" s="1160"/>
      <c r="N44" s="1160"/>
      <c r="O44" s="1160"/>
      <c r="P44" s="1160"/>
      <c r="Q44" s="1160"/>
      <c r="R44" s="1160"/>
      <c r="S44" s="2610"/>
      <c r="T44" s="2610"/>
      <c r="U44" s="2610"/>
      <c r="V44" s="2610"/>
    </row>
    <row r="45" spans="1:30" s="1877" customFormat="1">
      <c r="A45" s="1703"/>
      <c r="B45" s="1703"/>
      <c r="C45" s="1160"/>
      <c r="D45" s="1160"/>
      <c r="E45" s="1160"/>
      <c r="F45" s="1160"/>
      <c r="G45" s="1160"/>
      <c r="H45" s="1160"/>
      <c r="I45" s="1160"/>
      <c r="J45" s="2608"/>
      <c r="K45" s="2609"/>
      <c r="L45" s="2609"/>
      <c r="M45" s="1160"/>
      <c r="N45" s="1160"/>
      <c r="O45" s="1160"/>
      <c r="P45" s="1160"/>
      <c r="Q45" s="1160"/>
      <c r="R45" s="1160"/>
      <c r="S45" s="2610"/>
      <c r="T45" s="2610"/>
      <c r="U45" s="2610"/>
      <c r="V45" s="2610"/>
    </row>
    <row r="46" spans="1:30" s="1877" customFormat="1">
      <c r="A46" s="1703"/>
      <c r="B46" s="1703"/>
      <c r="C46" s="1160"/>
      <c r="D46" s="1160"/>
      <c r="E46" s="1160"/>
      <c r="F46" s="1160"/>
      <c r="G46" s="1160"/>
      <c r="H46" s="1160"/>
      <c r="I46" s="1160"/>
      <c r="J46" s="2608"/>
      <c r="K46" s="2609"/>
      <c r="L46" s="2609"/>
      <c r="M46" s="1160"/>
      <c r="N46" s="1160"/>
      <c r="O46" s="1160"/>
      <c r="P46" s="1160"/>
      <c r="Q46" s="1160"/>
      <c r="R46" s="1160"/>
      <c r="S46" s="2610"/>
      <c r="T46" s="2610"/>
      <c r="U46" s="2610"/>
      <c r="V46" s="2610"/>
    </row>
    <row r="47" spans="1:30" s="1877" customFormat="1">
      <c r="A47" s="1703"/>
      <c r="B47" s="1703"/>
      <c r="C47" s="1160"/>
      <c r="D47" s="1160"/>
      <c r="E47" s="1160"/>
      <c r="F47" s="1160"/>
      <c r="G47" s="1160"/>
      <c r="H47" s="1160"/>
      <c r="I47" s="1160"/>
      <c r="J47" s="2608"/>
      <c r="K47" s="2609"/>
      <c r="L47" s="2609"/>
      <c r="M47" s="1160"/>
      <c r="N47" s="1160"/>
      <c r="O47" s="1160"/>
      <c r="P47" s="1160"/>
      <c r="Q47" s="1160"/>
      <c r="R47" s="1160"/>
      <c r="S47" s="2610"/>
      <c r="T47" s="2610"/>
      <c r="U47" s="2610"/>
      <c r="V47" s="2610"/>
    </row>
    <row r="48" spans="1:30" s="1877" customFormat="1">
      <c r="A48" s="1703"/>
      <c r="B48" s="1703"/>
      <c r="C48" s="1160"/>
      <c r="D48" s="1160"/>
      <c r="E48" s="1160"/>
      <c r="F48" s="1160"/>
      <c r="G48" s="1160"/>
      <c r="H48" s="1160"/>
      <c r="I48" s="1160"/>
      <c r="J48" s="2608"/>
      <c r="K48" s="2609"/>
      <c r="L48" s="2609"/>
      <c r="M48" s="1160"/>
      <c r="N48" s="1160"/>
      <c r="O48" s="1160"/>
      <c r="P48" s="1160"/>
      <c r="Q48" s="1160"/>
      <c r="R48" s="1160"/>
      <c r="S48" s="2610"/>
      <c r="T48" s="2610"/>
      <c r="U48" s="2610"/>
      <c r="V48" s="2610"/>
    </row>
    <row r="49" spans="1:22" s="1877" customFormat="1">
      <c r="A49" s="1703"/>
      <c r="B49" s="1703"/>
      <c r="C49" s="1160"/>
      <c r="D49" s="1160"/>
      <c r="E49" s="1160"/>
      <c r="F49" s="1160"/>
      <c r="G49" s="1160"/>
      <c r="H49" s="1160"/>
      <c r="I49" s="1160"/>
      <c r="J49" s="2608"/>
      <c r="K49" s="2609"/>
      <c r="L49" s="2609"/>
      <c r="M49" s="1160"/>
      <c r="N49" s="1160"/>
      <c r="O49" s="1160"/>
      <c r="P49" s="1160"/>
      <c r="Q49" s="1160"/>
      <c r="R49" s="1160"/>
      <c r="S49" s="2610"/>
      <c r="T49" s="2610"/>
      <c r="U49" s="2610"/>
      <c r="V49" s="2610"/>
    </row>
    <row r="50" spans="1:22" s="1877" customFormat="1">
      <c r="A50" s="1703"/>
      <c r="B50" s="1703"/>
      <c r="C50" s="1160"/>
      <c r="D50" s="1160"/>
      <c r="E50" s="1160"/>
      <c r="F50" s="1160"/>
      <c r="G50" s="1160"/>
      <c r="H50" s="1160"/>
      <c r="I50" s="1160"/>
      <c r="J50" s="2608"/>
      <c r="K50" s="2609"/>
      <c r="L50" s="2609"/>
      <c r="M50" s="1160"/>
      <c r="N50" s="1160"/>
      <c r="O50" s="1160"/>
      <c r="P50" s="1160"/>
      <c r="Q50" s="1160"/>
      <c r="R50" s="1160"/>
      <c r="S50" s="2610"/>
      <c r="T50" s="2610"/>
      <c r="U50" s="2610"/>
      <c r="V50" s="2610"/>
    </row>
    <row r="51" spans="1:22" s="1877" customFormat="1">
      <c r="A51" s="1703"/>
      <c r="B51" s="1703"/>
      <c r="C51" s="1160"/>
      <c r="D51" s="1160"/>
      <c r="E51" s="1160"/>
      <c r="F51" s="1160"/>
      <c r="G51" s="1160"/>
      <c r="H51" s="1160"/>
      <c r="I51" s="1160"/>
      <c r="J51" s="2608"/>
      <c r="K51" s="2609"/>
      <c r="L51" s="2609"/>
      <c r="M51" s="1160"/>
      <c r="N51" s="1160"/>
      <c r="O51" s="1160"/>
      <c r="P51" s="1160"/>
      <c r="Q51" s="1160"/>
      <c r="R51" s="1160"/>
    </row>
    <row r="52" spans="1:22" s="1877" customFormat="1">
      <c r="A52" s="1703"/>
      <c r="B52" s="1703"/>
      <c r="C52" s="1703"/>
      <c r="D52" s="1703"/>
      <c r="E52" s="1703"/>
      <c r="F52" s="1160"/>
      <c r="G52" s="1703"/>
      <c r="H52" s="1703"/>
      <c r="I52" s="1703"/>
      <c r="J52" s="2611"/>
      <c r="K52" s="2609"/>
      <c r="L52" s="2609"/>
      <c r="M52" s="2609"/>
      <c r="N52" s="1703"/>
      <c r="O52" s="1703"/>
      <c r="P52" s="1703"/>
      <c r="Q52" s="1703"/>
      <c r="R52" s="1703"/>
    </row>
    <row r="53" spans="1:22" s="1877" customFormat="1">
      <c r="A53" s="1703"/>
      <c r="B53" s="1703"/>
      <c r="C53" s="1703"/>
      <c r="D53" s="1703"/>
      <c r="E53" s="1703"/>
      <c r="F53" s="1160"/>
      <c r="G53" s="1703"/>
      <c r="H53" s="1703"/>
      <c r="I53" s="1703"/>
      <c r="J53" s="2611"/>
      <c r="K53" s="2609"/>
      <c r="L53" s="2609"/>
      <c r="M53" s="2609"/>
      <c r="N53" s="1703"/>
      <c r="O53" s="1703"/>
      <c r="P53" s="1703"/>
      <c r="Q53" s="1703"/>
      <c r="R53" s="1703"/>
    </row>
    <row r="54" spans="1:22" s="1877" customFormat="1">
      <c r="A54" s="1703"/>
      <c r="B54" s="1703"/>
      <c r="C54" s="1703"/>
      <c r="D54" s="1703"/>
      <c r="E54" s="1703"/>
      <c r="F54" s="1160"/>
      <c r="G54" s="1703"/>
      <c r="H54" s="1703"/>
      <c r="I54" s="1703"/>
      <c r="J54" s="2611"/>
      <c r="K54" s="2609"/>
      <c r="L54" s="2609"/>
      <c r="M54" s="2609"/>
      <c r="N54" s="1703"/>
      <c r="O54" s="1703"/>
      <c r="P54" s="1703"/>
      <c r="Q54" s="1703"/>
      <c r="R54" s="1703"/>
    </row>
    <row r="55" spans="1:22" s="1877" customFormat="1">
      <c r="A55" s="1703"/>
      <c r="B55" s="1703"/>
      <c r="C55" s="1703"/>
      <c r="D55" s="1703"/>
      <c r="E55" s="1703"/>
      <c r="F55" s="1160"/>
      <c r="G55" s="1703"/>
      <c r="H55" s="1703"/>
      <c r="I55" s="1703"/>
      <c r="J55" s="2611"/>
      <c r="K55" s="2609"/>
      <c r="L55" s="2609"/>
      <c r="M55" s="2609"/>
      <c r="N55" s="1703"/>
      <c r="O55" s="1703"/>
      <c r="P55" s="1703"/>
      <c r="Q55" s="1703"/>
      <c r="R55" s="1703"/>
    </row>
    <row r="56" spans="1:22" s="1877" customFormat="1">
      <c r="A56" s="1703"/>
      <c r="B56" s="1703"/>
      <c r="C56" s="1703"/>
      <c r="D56" s="1703"/>
      <c r="E56" s="1703"/>
      <c r="F56" s="1160"/>
      <c r="G56" s="1703"/>
      <c r="H56" s="1703"/>
      <c r="I56" s="1703"/>
      <c r="J56" s="2611"/>
      <c r="K56" s="2609"/>
      <c r="L56" s="2609"/>
      <c r="M56" s="2609"/>
      <c r="N56" s="1703"/>
      <c r="O56" s="1703"/>
      <c r="P56" s="1703"/>
      <c r="Q56" s="1703"/>
      <c r="R56" s="170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625" style="1706" customWidth="1"/>
    <col min="17" max="17" width="9.375" style="1706" customWidth="1"/>
    <col min="18" max="18" width="9.125" style="1706" customWidth="1"/>
    <col min="19" max="19" width="10.875" style="1706" customWidth="1"/>
    <col min="20" max="21" width="10.625" style="1706" customWidth="1"/>
    <col min="22" max="22" width="10.875" style="1706" customWidth="1"/>
    <col min="23" max="27" width="10.625" style="1706" customWidth="1"/>
    <col min="28" max="28" width="10.875" style="1706" customWidth="1"/>
    <col min="29" max="29" width="11" style="1706" bestFit="1" customWidth="1"/>
    <col min="30" max="30" width="10" style="1706" bestFit="1" customWidth="1"/>
    <col min="31" max="31" width="9.625" style="1706" customWidth="1"/>
    <col min="32" max="46" width="9.5" style="1706" customWidth="1"/>
    <col min="47" max="47" width="18.125" style="1706" customWidth="1"/>
    <col min="48" max="50" width="9.62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c r="B3" s="14">
        <f>IF(C3="否",G5-AT5,G5)</f>
        <v>254.29000000000002</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254.29000000000002</v>
      </c>
      <c r="H5" s="16">
        <f t="shared" ref="H5:AT5" si="0">SUM(H13:H656)</f>
        <v>254.29000000000002</v>
      </c>
      <c r="I5" s="16">
        <f t="shared" si="0"/>
        <v>254.29000000000002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254.29000000000002</v>
      </c>
      <c r="BA5" s="18">
        <f t="shared" si="1"/>
        <v>254.29000000000002</v>
      </c>
      <c r="BB5" s="18">
        <f t="shared" si="1"/>
        <v>254.29000000000002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3191</v>
      </c>
      <c r="J9" s="896"/>
      <c r="K9" s="1736"/>
      <c r="L9" s="896"/>
      <c r="M9" s="1736"/>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c r="L10" s="896"/>
      <c r="M10" s="1742"/>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地上</v>
      </c>
      <c r="BC10" s="29">
        <f>K9</f>
        <v>0</v>
      </c>
      <c r="BD10" s="29">
        <f>M9</f>
        <v>0</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c r="J11" s="1748"/>
      <c r="K11" s="1747"/>
      <c r="L11" s="1748"/>
      <c r="M11" s="1747"/>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f>K10</f>
        <v>0</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f>I11</f>
        <v>0</v>
      </c>
      <c r="BC12" s="1757">
        <f>K11</f>
        <v>0</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160"/>
      <c r="B13" s="1160"/>
      <c r="C13" s="1160"/>
      <c r="D13" s="1758" t="s">
        <v>3190</v>
      </c>
      <c r="E13" s="16">
        <f>IF($C$3="是",ROUND($A$3*G13/$B$3,2),ROUND($A$3*(G13-AT13)/$B$3,2))</f>
        <v>0</v>
      </c>
      <c r="F13" s="32"/>
      <c r="G13" s="33">
        <f>H13+AC13+AT13</f>
        <v>254.29000000000002</v>
      </c>
      <c r="H13" s="20">
        <f>SUMIF(I$12:AB$12,"总值",I13:AB13)</f>
        <v>254.29000000000002</v>
      </c>
      <c r="I13" s="1759">
        <f>Sheet3!J3</f>
        <v>254.29000000000002</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f t="shared" ref="AV13:AX17" si="6">A13</f>
        <v>0</v>
      </c>
      <c r="AW13" s="11">
        <f t="shared" si="6"/>
        <v>0</v>
      </c>
      <c r="AX13" s="11">
        <f t="shared" si="6"/>
        <v>0</v>
      </c>
      <c r="AY13" s="1481">
        <f>ROUND($AY$6*AZ13/$AZ$5,2)</f>
        <v>0</v>
      </c>
      <c r="AZ13" s="16">
        <f>BA13+BL13</f>
        <v>254.29000000000002</v>
      </c>
      <c r="BA13" s="16">
        <f>SUM(BB13:BK13)</f>
        <v>254.29000000000002</v>
      </c>
      <c r="BB13" s="16">
        <f>IF($D13="是",I13-J13,0)</f>
        <v>254.29000000000002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c r="B14" s="1160"/>
      <c r="C14" s="1703"/>
      <c r="D14" s="1758"/>
      <c r="E14" s="16">
        <f>IF($C$3="是",ROUND($A$3*G14/$B$3,2),ROUND($A$3*(G14-AT14)/$B$3,2))</f>
        <v>0</v>
      </c>
      <c r="F14" s="32"/>
      <c r="G14" s="33">
        <f>H14+AC14+AT14</f>
        <v>0</v>
      </c>
      <c r="H14" s="20">
        <f>SUMIF(I$12:AB$12,"总值",I14:AB14)</f>
        <v>0</v>
      </c>
      <c r="I14" s="1759"/>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0</v>
      </c>
      <c r="AW14" s="11">
        <f t="shared" si="6"/>
        <v>0</v>
      </c>
      <c r="AX14" s="11">
        <f t="shared" si="6"/>
        <v>0</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160"/>
      <c r="B15" s="1160"/>
      <c r="C15" s="1703"/>
      <c r="D15" s="1758"/>
      <c r="E15" s="16">
        <f>IF($C$3="是",ROUND($A$3*G15/$B$3,2),ROUND($A$3*(G15-AT15)/$B$3,2))</f>
        <v>0</v>
      </c>
      <c r="F15" s="32"/>
      <c r="G15" s="33">
        <f>H15+AC15+AT15</f>
        <v>0</v>
      </c>
      <c r="H15" s="20">
        <f>SUMIF(I$12:AB$12,"总值",I15:AB15)</f>
        <v>0</v>
      </c>
      <c r="I15" s="1759"/>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0</v>
      </c>
      <c r="AW15" s="11">
        <f t="shared" si="6"/>
        <v>0</v>
      </c>
      <c r="AX15" s="11">
        <f t="shared" si="6"/>
        <v>0</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1160"/>
      <c r="C16" s="1703"/>
      <c r="D16" s="1758"/>
      <c r="E16" s="16">
        <f>IF($C$3="是",ROUND($A$3*G16/$B$3,2),ROUND($A$3*(G16-AT16)/$B$3,2))</f>
        <v>0</v>
      </c>
      <c r="F16" s="32"/>
      <c r="G16" s="33">
        <f>H16+AC16+AT16</f>
        <v>0</v>
      </c>
      <c r="H16" s="20">
        <f>SUMIF(I$12:AB$12,"总值",I16:AB16)</f>
        <v>0</v>
      </c>
      <c r="I16" s="1759"/>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0</v>
      </c>
      <c r="AX16" s="11">
        <f t="shared" si="6"/>
        <v>0</v>
      </c>
      <c r="AY16" s="148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1703"/>
      <c r="D17" s="1758"/>
      <c r="E17" s="16">
        <f>IF($C$3="是",ROUND($A$3*G17/$B$3,2),ROUND($A$3*(G17-AT17)/$B$3,2))</f>
        <v>0</v>
      </c>
      <c r="F17" s="32"/>
      <c r="G17" s="33">
        <f>H17+AC17+AT17</f>
        <v>0</v>
      </c>
      <c r="H17" s="20">
        <f>SUMIF(I$12:AB$12,"总值",I17:AB17)</f>
        <v>0</v>
      </c>
      <c r="I17" s="1759"/>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f t="shared" si="6"/>
        <v>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0</v>
      </c>
      <c r="AX32" s="14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 t="shared" si="11"/>
        <v>0</v>
      </c>
      <c r="AW72" s="1475">
        <f t="shared" si="12"/>
        <v>0</v>
      </c>
      <c r="AX72" s="14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328" t="s">
        <v>0</v>
      </c>
      <c r="B1" s="3328" t="s">
        <v>4</v>
      </c>
      <c r="C1" s="3328" t="s">
        <v>5</v>
      </c>
      <c r="D1" s="3329" t="s">
        <v>53</v>
      </c>
      <c r="E1" s="3329" t="s">
        <v>54</v>
      </c>
      <c r="F1" s="3329"/>
      <c r="G1" s="3329"/>
      <c r="H1" s="3329"/>
      <c r="I1" s="3329"/>
      <c r="J1" s="3329"/>
      <c r="K1" s="3329"/>
      <c r="L1" s="3329"/>
      <c r="M1" s="3329"/>
    </row>
    <row r="2" spans="1:13" ht="27" customHeight="1">
      <c r="A2" s="3328"/>
      <c r="B2" s="3328"/>
      <c r="C2" s="3328"/>
      <c r="D2" s="3329"/>
      <c r="E2" s="3329" t="s">
        <v>37</v>
      </c>
      <c r="F2" s="3329" t="s">
        <v>38</v>
      </c>
      <c r="G2" s="3329"/>
      <c r="H2" s="3329"/>
      <c r="I2" s="3329"/>
      <c r="J2" s="3329" t="s">
        <v>39</v>
      </c>
      <c r="K2" s="3329"/>
      <c r="L2" s="3329"/>
      <c r="M2" s="3329"/>
    </row>
    <row r="3" spans="1:13" ht="28.5">
      <c r="A3" s="3328"/>
      <c r="B3" s="3328"/>
      <c r="C3" s="3328"/>
      <c r="D3" s="3329"/>
      <c r="E3" s="33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9" t="s">
        <v>55</v>
      </c>
      <c r="B9" s="3329"/>
      <c r="C9" s="33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04C81-7CF6-4EFD-8CCF-21363948B6BF}">
  <dimension ref="A2:N84"/>
  <sheetViews>
    <sheetView tabSelected="1" workbookViewId="0">
      <pane xSplit="6" ySplit="2" topLeftCell="G3" activePane="bottomRight" state="frozen"/>
      <selection pane="topRight" activeCell="G1" sqref="G1"/>
      <selection pane="bottomLeft" activeCell="A3" sqref="A3"/>
      <selection pane="bottomRight" activeCell="E9" sqref="E9:E16"/>
    </sheetView>
  </sheetViews>
  <sheetFormatPr defaultColWidth="9" defaultRowHeight="15" customHeight="1"/>
  <cols>
    <col min="1" max="1" width="5.875" style="3236" customWidth="1"/>
    <col min="2" max="2" width="15.125" style="3236" customWidth="1"/>
    <col min="3" max="3" width="19.125" style="3236" customWidth="1"/>
    <col min="4" max="4" width="16.625" style="3236" customWidth="1"/>
    <col min="5" max="5" width="11.625" style="3236" customWidth="1"/>
    <col min="6" max="6" width="8.625" style="3236" customWidth="1"/>
    <col min="7" max="7" width="9" style="3236"/>
    <col min="8" max="9" width="13.125" style="3236" customWidth="1"/>
    <col min="10" max="10" width="11.5" style="3236" customWidth="1"/>
    <col min="11" max="11" width="12.125" style="3236" customWidth="1"/>
    <col min="12" max="12" width="8.125" style="3236" customWidth="1"/>
    <col min="13" max="13" width="9" style="3236" customWidth="1"/>
    <col min="14" max="14" width="11.625" style="3236" customWidth="1"/>
    <col min="15" max="16384" width="9" style="3236"/>
  </cols>
  <sheetData>
    <row r="2" spans="1:14" ht="37.5" customHeight="1">
      <c r="A2" s="3238" t="s">
        <v>3242</v>
      </c>
      <c r="B2" s="3238" t="s">
        <v>3243</v>
      </c>
      <c r="C2" s="3238" t="s">
        <v>3244</v>
      </c>
      <c r="D2" s="3238" t="s">
        <v>3245</v>
      </c>
      <c r="E2" s="3238" t="s">
        <v>3246</v>
      </c>
      <c r="F2" s="3238" t="s">
        <v>3259</v>
      </c>
      <c r="G2" s="3238" t="s">
        <v>3260</v>
      </c>
      <c r="H2" s="3238" t="s">
        <v>3262</v>
      </c>
      <c r="I2" s="3238" t="s">
        <v>3263</v>
      </c>
      <c r="J2" s="3238" t="s">
        <v>3247</v>
      </c>
      <c r="K2" s="3238" t="s">
        <v>3248</v>
      </c>
      <c r="L2" s="3238" t="s">
        <v>3250</v>
      </c>
      <c r="M2" s="3238" t="s">
        <v>3251</v>
      </c>
      <c r="N2" s="3238" t="s">
        <v>3249</v>
      </c>
    </row>
    <row r="3" spans="1:14" ht="15" customHeight="1">
      <c r="A3" s="3331">
        <v>1</v>
      </c>
      <c r="B3" s="3330" t="s">
        <v>3252</v>
      </c>
      <c r="C3" s="3330" t="s">
        <v>3256</v>
      </c>
      <c r="D3" s="3330" t="s">
        <v>3257</v>
      </c>
      <c r="E3" s="3330" t="s">
        <v>3255</v>
      </c>
      <c r="F3" s="3330" t="s">
        <v>3261</v>
      </c>
      <c r="G3" s="3237">
        <v>1</v>
      </c>
      <c r="H3" s="3237">
        <v>174.24</v>
      </c>
      <c r="I3" s="3237">
        <v>80.05</v>
      </c>
      <c r="J3" s="3237">
        <f>H3+I3</f>
        <v>254.29000000000002</v>
      </c>
      <c r="K3" s="3331">
        <v>14114.62</v>
      </c>
      <c r="L3" s="3330" t="s">
        <v>3258</v>
      </c>
      <c r="M3" s="3331">
        <v>1993</v>
      </c>
      <c r="N3" s="3332">
        <v>58150</v>
      </c>
    </row>
    <row r="4" spans="1:14" ht="15" customHeight="1">
      <c r="A4" s="3331"/>
      <c r="B4" s="3330"/>
      <c r="C4" s="3330"/>
      <c r="D4" s="3330"/>
      <c r="E4" s="3330"/>
      <c r="F4" s="3330"/>
      <c r="G4" s="3237">
        <v>2</v>
      </c>
      <c r="H4" s="3237">
        <v>196.02</v>
      </c>
      <c r="I4" s="3237">
        <v>90.06</v>
      </c>
      <c r="J4" s="3237">
        <f t="shared" ref="J4:J22" si="0">H4+I4</f>
        <v>286.08000000000004</v>
      </c>
      <c r="K4" s="3331"/>
      <c r="L4" s="3330"/>
      <c r="M4" s="3331"/>
      <c r="N4" s="3332"/>
    </row>
    <row r="5" spans="1:14" ht="15" customHeight="1">
      <c r="A5" s="3331"/>
      <c r="B5" s="3330"/>
      <c r="C5" s="3330"/>
      <c r="D5" s="3330"/>
      <c r="E5" s="3330"/>
      <c r="F5" s="3330"/>
      <c r="G5" s="3237">
        <v>2</v>
      </c>
      <c r="H5" s="3237">
        <v>87.12</v>
      </c>
      <c r="I5" s="3237">
        <v>40.03</v>
      </c>
      <c r="J5" s="3237">
        <f t="shared" si="0"/>
        <v>127.15</v>
      </c>
      <c r="K5" s="3331"/>
      <c r="L5" s="3330"/>
      <c r="M5" s="3331"/>
      <c r="N5" s="3332"/>
    </row>
    <row r="6" spans="1:14" ht="15" customHeight="1">
      <c r="A6" s="3331"/>
      <c r="B6" s="3330"/>
      <c r="C6" s="3330"/>
      <c r="D6" s="3330"/>
      <c r="E6" s="3330"/>
      <c r="F6" s="3330"/>
      <c r="G6" s="3237">
        <v>2</v>
      </c>
      <c r="H6" s="3237">
        <v>217.8</v>
      </c>
      <c r="I6" s="3237">
        <v>100.06</v>
      </c>
      <c r="J6" s="3237">
        <f t="shared" si="0"/>
        <v>317.86</v>
      </c>
      <c r="K6" s="3331"/>
      <c r="L6" s="3330"/>
      <c r="M6" s="3331"/>
      <c r="N6" s="3332"/>
    </row>
    <row r="7" spans="1:14" ht="15" customHeight="1">
      <c r="A7" s="3331"/>
      <c r="B7" s="3330"/>
      <c r="C7" s="3330"/>
      <c r="D7" s="3330"/>
      <c r="E7" s="3330"/>
      <c r="F7" s="3330"/>
      <c r="G7" s="3237">
        <v>2</v>
      </c>
      <c r="H7" s="3237">
        <v>87.12</v>
      </c>
      <c r="I7" s="3237">
        <v>40.03</v>
      </c>
      <c r="J7" s="3237">
        <f t="shared" si="0"/>
        <v>127.15</v>
      </c>
      <c r="K7" s="3331"/>
      <c r="L7" s="3330"/>
      <c r="M7" s="3331"/>
      <c r="N7" s="3332"/>
    </row>
    <row r="8" spans="1:14" ht="15" customHeight="1">
      <c r="A8" s="3331"/>
      <c r="B8" s="3330"/>
      <c r="C8" s="3330"/>
      <c r="D8" s="3330"/>
      <c r="E8" s="3330"/>
      <c r="F8" s="3330"/>
      <c r="G8" s="3237">
        <v>3</v>
      </c>
      <c r="H8" s="3237">
        <v>95.04</v>
      </c>
      <c r="I8" s="3237">
        <v>43.66</v>
      </c>
      <c r="J8" s="3237">
        <f t="shared" si="0"/>
        <v>138.69999999999999</v>
      </c>
      <c r="K8" s="3331"/>
      <c r="L8" s="3330"/>
      <c r="M8" s="3331"/>
      <c r="N8" s="3332"/>
    </row>
    <row r="9" spans="1:14" ht="15" customHeight="1">
      <c r="A9" s="3331">
        <v>2</v>
      </c>
      <c r="B9" s="3330" t="s">
        <v>3252</v>
      </c>
      <c r="C9" s="3330" t="s">
        <v>3265</v>
      </c>
      <c r="D9" s="3330" t="s">
        <v>3257</v>
      </c>
      <c r="E9" s="3330" t="s">
        <v>3255</v>
      </c>
      <c r="F9" s="3330" t="s">
        <v>3261</v>
      </c>
      <c r="G9" s="3237">
        <v>1</v>
      </c>
      <c r="H9" s="3237">
        <v>196.02</v>
      </c>
      <c r="I9" s="3237">
        <v>90.06</v>
      </c>
      <c r="J9" s="3237">
        <f t="shared" si="0"/>
        <v>286.08000000000004</v>
      </c>
      <c r="K9" s="3331">
        <v>14114.62</v>
      </c>
      <c r="L9" s="3330" t="s">
        <v>3258</v>
      </c>
      <c r="M9" s="3331">
        <v>1993</v>
      </c>
      <c r="N9" s="3332">
        <v>58150</v>
      </c>
    </row>
    <row r="10" spans="1:14" ht="15" customHeight="1">
      <c r="A10" s="3331"/>
      <c r="B10" s="3330"/>
      <c r="C10" s="3330"/>
      <c r="D10" s="3330"/>
      <c r="E10" s="3330"/>
      <c r="F10" s="3330"/>
      <c r="G10" s="3237">
        <v>1</v>
      </c>
      <c r="H10" s="3237">
        <v>217.8</v>
      </c>
      <c r="I10" s="3237">
        <v>100.06</v>
      </c>
      <c r="J10" s="3237">
        <f t="shared" si="0"/>
        <v>317.86</v>
      </c>
      <c r="K10" s="3331"/>
      <c r="L10" s="3330"/>
      <c r="M10" s="3331"/>
      <c r="N10" s="3332"/>
    </row>
    <row r="11" spans="1:14" ht="15" customHeight="1">
      <c r="A11" s="3331"/>
      <c r="B11" s="3330"/>
      <c r="C11" s="3330"/>
      <c r="D11" s="3330"/>
      <c r="E11" s="3330"/>
      <c r="F11" s="3330"/>
      <c r="G11" s="3237">
        <v>1</v>
      </c>
      <c r="H11" s="3237">
        <v>21.78</v>
      </c>
      <c r="I11" s="3237">
        <v>10.01</v>
      </c>
      <c r="J11" s="3237">
        <f t="shared" si="0"/>
        <v>31.79</v>
      </c>
      <c r="K11" s="3331"/>
      <c r="L11" s="3330"/>
      <c r="M11" s="3331"/>
      <c r="N11" s="3332"/>
    </row>
    <row r="12" spans="1:14" ht="15" customHeight="1">
      <c r="A12" s="3331"/>
      <c r="B12" s="3330"/>
      <c r="C12" s="3330"/>
      <c r="D12" s="3330"/>
      <c r="E12" s="3330"/>
      <c r="F12" s="3330"/>
      <c r="G12" s="3237">
        <v>2</v>
      </c>
      <c r="H12" s="3237">
        <v>196.02</v>
      </c>
      <c r="I12" s="3237">
        <v>90.06</v>
      </c>
      <c r="J12" s="3237">
        <f t="shared" si="0"/>
        <v>286.08000000000004</v>
      </c>
      <c r="K12" s="3331"/>
      <c r="L12" s="3330"/>
      <c r="M12" s="3331"/>
      <c r="N12" s="3332"/>
    </row>
    <row r="13" spans="1:14" ht="15" customHeight="1">
      <c r="A13" s="3331"/>
      <c r="B13" s="3330"/>
      <c r="C13" s="3330"/>
      <c r="D13" s="3330"/>
      <c r="E13" s="3330"/>
      <c r="F13" s="3330"/>
      <c r="G13" s="3237">
        <v>2</v>
      </c>
      <c r="H13" s="3237">
        <v>87.12</v>
      </c>
      <c r="I13" s="3237">
        <v>40.03</v>
      </c>
      <c r="J13" s="3237">
        <f t="shared" si="0"/>
        <v>127.15</v>
      </c>
      <c r="K13" s="3331"/>
      <c r="L13" s="3330"/>
      <c r="M13" s="3331"/>
      <c r="N13" s="3332"/>
    </row>
    <row r="14" spans="1:14" ht="15" customHeight="1">
      <c r="A14" s="3331"/>
      <c r="B14" s="3330"/>
      <c r="C14" s="3330"/>
      <c r="D14" s="3330"/>
      <c r="E14" s="3330"/>
      <c r="F14" s="3330"/>
      <c r="G14" s="3237">
        <v>2</v>
      </c>
      <c r="H14" s="3237">
        <v>217.8</v>
      </c>
      <c r="I14" s="3237">
        <v>100.06</v>
      </c>
      <c r="J14" s="3237">
        <f t="shared" si="0"/>
        <v>317.86</v>
      </c>
      <c r="K14" s="3331"/>
      <c r="L14" s="3330"/>
      <c r="M14" s="3331"/>
      <c r="N14" s="3332"/>
    </row>
    <row r="15" spans="1:14" ht="15" customHeight="1">
      <c r="A15" s="3331"/>
      <c r="B15" s="3330"/>
      <c r="C15" s="3330"/>
      <c r="D15" s="3330"/>
      <c r="E15" s="3330"/>
      <c r="F15" s="3330"/>
      <c r="G15" s="3237">
        <v>2</v>
      </c>
      <c r="H15" s="3237">
        <v>87.12</v>
      </c>
      <c r="I15" s="3237">
        <v>40.03</v>
      </c>
      <c r="J15" s="3237">
        <f t="shared" si="0"/>
        <v>127.15</v>
      </c>
      <c r="K15" s="3331"/>
      <c r="L15" s="3330"/>
      <c r="M15" s="3331"/>
      <c r="N15" s="3332"/>
    </row>
    <row r="16" spans="1:14" ht="15" customHeight="1">
      <c r="A16" s="3331"/>
      <c r="B16" s="3330"/>
      <c r="C16" s="3330"/>
      <c r="D16" s="3330"/>
      <c r="E16" s="3330"/>
      <c r="F16" s="3330"/>
      <c r="G16" s="3237">
        <v>3</v>
      </c>
      <c r="H16" s="3237">
        <v>95.04</v>
      </c>
      <c r="I16" s="3237">
        <v>43.66</v>
      </c>
      <c r="J16" s="3237">
        <f t="shared" si="0"/>
        <v>138.69999999999999</v>
      </c>
      <c r="K16" s="3331"/>
      <c r="L16" s="3330"/>
      <c r="M16" s="3331"/>
      <c r="N16" s="3332"/>
    </row>
    <row r="17" spans="1:14" ht="15" customHeight="1">
      <c r="A17" s="3331">
        <v>3</v>
      </c>
      <c r="B17" s="3330" t="s">
        <v>3252</v>
      </c>
      <c r="C17" s="3330" t="s">
        <v>3266</v>
      </c>
      <c r="D17" s="3330" t="s">
        <v>3257</v>
      </c>
      <c r="E17" s="3330" t="s">
        <v>3255</v>
      </c>
      <c r="F17" s="3330" t="s">
        <v>3261</v>
      </c>
      <c r="G17" s="3237">
        <v>2</v>
      </c>
      <c r="H17" s="3237">
        <v>236.94</v>
      </c>
      <c r="I17" s="3237">
        <v>108.86</v>
      </c>
      <c r="J17" s="3237">
        <f t="shared" si="0"/>
        <v>345.8</v>
      </c>
      <c r="K17" s="3331">
        <v>14114.62</v>
      </c>
      <c r="L17" s="3330" t="s">
        <v>3258</v>
      </c>
      <c r="M17" s="3331">
        <v>1993</v>
      </c>
      <c r="N17" s="3332">
        <v>58150</v>
      </c>
    </row>
    <row r="18" spans="1:14" ht="15" customHeight="1">
      <c r="A18" s="3331"/>
      <c r="B18" s="3330"/>
      <c r="C18" s="3330"/>
      <c r="D18" s="3330"/>
      <c r="E18" s="3330"/>
      <c r="F18" s="3330"/>
      <c r="G18" s="3237">
        <v>2</v>
      </c>
      <c r="H18" s="3237">
        <v>87.12</v>
      </c>
      <c r="I18" s="3237">
        <v>40.03</v>
      </c>
      <c r="J18" s="3237">
        <f t="shared" si="0"/>
        <v>127.15</v>
      </c>
      <c r="K18" s="3331"/>
      <c r="L18" s="3330"/>
      <c r="M18" s="3331"/>
      <c r="N18" s="3332"/>
    </row>
    <row r="19" spans="1:14" ht="15" customHeight="1">
      <c r="A19" s="3331"/>
      <c r="B19" s="3330"/>
      <c r="C19" s="3330"/>
      <c r="D19" s="3330"/>
      <c r="E19" s="3330"/>
      <c r="F19" s="3330"/>
      <c r="G19" s="3237">
        <v>2</v>
      </c>
      <c r="H19" s="3237">
        <v>236.94</v>
      </c>
      <c r="I19" s="3237">
        <v>108.86</v>
      </c>
      <c r="J19" s="3237">
        <f t="shared" si="0"/>
        <v>345.8</v>
      </c>
      <c r="K19" s="3331"/>
      <c r="L19" s="3330"/>
      <c r="M19" s="3331"/>
      <c r="N19" s="3332"/>
    </row>
    <row r="20" spans="1:14" ht="15" customHeight="1">
      <c r="A20" s="3331"/>
      <c r="B20" s="3330"/>
      <c r="C20" s="3330"/>
      <c r="D20" s="3330"/>
      <c r="E20" s="3330"/>
      <c r="F20" s="3330"/>
      <c r="G20" s="3237">
        <v>3</v>
      </c>
      <c r="H20" s="3237">
        <v>231</v>
      </c>
      <c r="I20" s="3237">
        <v>106.13</v>
      </c>
      <c r="J20" s="3237">
        <f t="shared" si="0"/>
        <v>337.13</v>
      </c>
      <c r="K20" s="3331"/>
      <c r="L20" s="3330"/>
      <c r="M20" s="3331"/>
      <c r="N20" s="3332"/>
    </row>
    <row r="21" spans="1:14" ht="15" customHeight="1">
      <c r="A21" s="3331"/>
      <c r="B21" s="3330"/>
      <c r="C21" s="3330"/>
      <c r="D21" s="3330"/>
      <c r="E21" s="3330"/>
      <c r="F21" s="3330"/>
      <c r="G21" s="3237">
        <v>3</v>
      </c>
      <c r="H21" s="3237">
        <v>231</v>
      </c>
      <c r="I21" s="3237">
        <v>106.13</v>
      </c>
      <c r="J21" s="3237">
        <f t="shared" si="0"/>
        <v>337.13</v>
      </c>
      <c r="K21" s="3331"/>
      <c r="L21" s="3330"/>
      <c r="M21" s="3331"/>
      <c r="N21" s="3332"/>
    </row>
    <row r="22" spans="1:14" ht="15" customHeight="1">
      <c r="A22" s="3331">
        <v>4</v>
      </c>
      <c r="B22" s="3330" t="s">
        <v>3252</v>
      </c>
      <c r="C22" s="3330" t="s">
        <v>3267</v>
      </c>
      <c r="D22" s="3330" t="s">
        <v>3257</v>
      </c>
      <c r="E22" s="3330" t="s">
        <v>3255</v>
      </c>
      <c r="F22" s="3330" t="s">
        <v>3261</v>
      </c>
      <c r="G22" s="3237">
        <v>1</v>
      </c>
      <c r="H22" s="3237">
        <v>236.94</v>
      </c>
      <c r="I22" s="3237">
        <v>108.86</v>
      </c>
      <c r="J22" s="3237">
        <f t="shared" si="0"/>
        <v>345.8</v>
      </c>
      <c r="K22" s="3331">
        <v>14114.62</v>
      </c>
      <c r="L22" s="3330" t="s">
        <v>3258</v>
      </c>
      <c r="M22" s="3331">
        <v>1993</v>
      </c>
      <c r="N22" s="3332">
        <v>58150</v>
      </c>
    </row>
    <row r="23" spans="1:14" ht="15" customHeight="1">
      <c r="A23" s="3331"/>
      <c r="B23" s="3330"/>
      <c r="C23" s="3330"/>
      <c r="D23" s="3330"/>
      <c r="E23" s="3330"/>
      <c r="F23" s="3330"/>
      <c r="G23" s="3237">
        <v>1</v>
      </c>
      <c r="H23" s="3237">
        <v>236.94</v>
      </c>
      <c r="I23" s="3237">
        <v>108.86</v>
      </c>
      <c r="J23" s="3237">
        <f t="shared" ref="J23:J29" si="1">H23+I23</f>
        <v>345.8</v>
      </c>
      <c r="K23" s="3331"/>
      <c r="L23" s="3330"/>
      <c r="M23" s="3331"/>
      <c r="N23" s="3332"/>
    </row>
    <row r="24" spans="1:14" ht="15" customHeight="1">
      <c r="A24" s="3331"/>
      <c r="B24" s="3330"/>
      <c r="C24" s="3330"/>
      <c r="D24" s="3330"/>
      <c r="E24" s="3330"/>
      <c r="F24" s="3330"/>
      <c r="G24" s="3237">
        <v>1</v>
      </c>
      <c r="H24" s="3237">
        <v>21.78</v>
      </c>
      <c r="I24" s="3237">
        <v>10.01</v>
      </c>
      <c r="J24" s="3237">
        <f t="shared" si="1"/>
        <v>31.79</v>
      </c>
      <c r="K24" s="3331"/>
      <c r="L24" s="3330"/>
      <c r="M24" s="3331"/>
      <c r="N24" s="3332"/>
    </row>
    <row r="25" spans="1:14" ht="15" customHeight="1">
      <c r="A25" s="3331"/>
      <c r="B25" s="3330"/>
      <c r="C25" s="3330"/>
      <c r="D25" s="3330"/>
      <c r="E25" s="3330"/>
      <c r="F25" s="3330"/>
      <c r="G25" s="3237">
        <v>2</v>
      </c>
      <c r="H25" s="3237">
        <v>236.94</v>
      </c>
      <c r="I25" s="3237">
        <v>108.86</v>
      </c>
      <c r="J25" s="3237">
        <f t="shared" si="1"/>
        <v>345.8</v>
      </c>
      <c r="K25" s="3331"/>
      <c r="L25" s="3330"/>
      <c r="M25" s="3331"/>
      <c r="N25" s="3332"/>
    </row>
    <row r="26" spans="1:14" ht="15" customHeight="1">
      <c r="A26" s="3331"/>
      <c r="B26" s="3330"/>
      <c r="C26" s="3330"/>
      <c r="D26" s="3330"/>
      <c r="E26" s="3330"/>
      <c r="F26" s="3330"/>
      <c r="G26" s="3237">
        <v>2</v>
      </c>
      <c r="H26" s="3237">
        <v>149.82</v>
      </c>
      <c r="I26" s="3237">
        <v>68.83</v>
      </c>
      <c r="J26" s="3237">
        <f t="shared" si="1"/>
        <v>218.64999999999998</v>
      </c>
      <c r="K26" s="3331"/>
      <c r="L26" s="3330"/>
      <c r="M26" s="3331"/>
      <c r="N26" s="3332"/>
    </row>
    <row r="27" spans="1:14" ht="15" customHeight="1">
      <c r="A27" s="3331"/>
      <c r="B27" s="3330"/>
      <c r="C27" s="3330"/>
      <c r="D27" s="3330"/>
      <c r="E27" s="3330"/>
      <c r="F27" s="3330"/>
      <c r="G27" s="3237">
        <v>2</v>
      </c>
      <c r="H27" s="3237">
        <v>65.34</v>
      </c>
      <c r="I27" s="3237">
        <v>30.02</v>
      </c>
      <c r="J27" s="3237">
        <f t="shared" si="1"/>
        <v>95.36</v>
      </c>
      <c r="K27" s="3331"/>
      <c r="L27" s="3330"/>
      <c r="M27" s="3331"/>
      <c r="N27" s="3332"/>
    </row>
    <row r="28" spans="1:14" ht="15" customHeight="1">
      <c r="A28" s="3331"/>
      <c r="B28" s="3330"/>
      <c r="C28" s="3330"/>
      <c r="D28" s="3330"/>
      <c r="E28" s="3330"/>
      <c r="F28" s="3330"/>
      <c r="G28" s="3237">
        <v>2</v>
      </c>
      <c r="H28" s="3237">
        <v>87.12</v>
      </c>
      <c r="I28" s="3237">
        <v>40.03</v>
      </c>
      <c r="J28" s="3237">
        <f t="shared" si="1"/>
        <v>127.15</v>
      </c>
      <c r="K28" s="3331"/>
      <c r="L28" s="3330"/>
      <c r="M28" s="3331"/>
      <c r="N28" s="3332"/>
    </row>
    <row r="29" spans="1:14" ht="15" customHeight="1">
      <c r="A29" s="3331"/>
      <c r="B29" s="3330"/>
      <c r="C29" s="3330"/>
      <c r="D29" s="3330"/>
      <c r="E29" s="3330"/>
      <c r="F29" s="3330"/>
      <c r="G29" s="3237">
        <v>3</v>
      </c>
      <c r="H29" s="3237">
        <v>231</v>
      </c>
      <c r="I29" s="3237">
        <v>106.13</v>
      </c>
      <c r="J29" s="3237">
        <f t="shared" si="1"/>
        <v>337.13</v>
      </c>
      <c r="K29" s="3331"/>
      <c r="L29" s="3330"/>
      <c r="M29" s="3331"/>
      <c r="N29" s="3332"/>
    </row>
    <row r="30" spans="1:14" ht="15" customHeight="1">
      <c r="A30" s="3331"/>
      <c r="B30" s="3330"/>
      <c r="C30" s="3330"/>
      <c r="D30" s="3330"/>
      <c r="E30" s="3330"/>
      <c r="F30" s="3330"/>
      <c r="G30" s="3237">
        <v>3</v>
      </c>
      <c r="H30" s="3237">
        <v>231</v>
      </c>
      <c r="I30" s="3237">
        <v>106.13</v>
      </c>
      <c r="J30" s="3237">
        <f t="shared" ref="J30:J39" si="2">H30+I30</f>
        <v>337.13</v>
      </c>
      <c r="K30" s="3331"/>
      <c r="L30" s="3330"/>
      <c r="M30" s="3331"/>
      <c r="N30" s="3332"/>
    </row>
    <row r="31" spans="1:14" ht="15" customHeight="1">
      <c r="A31" s="3331">
        <v>5</v>
      </c>
      <c r="B31" s="3330" t="s">
        <v>3252</v>
      </c>
      <c r="C31" s="3330" t="s">
        <v>3268</v>
      </c>
      <c r="D31" s="3330" t="s">
        <v>3257</v>
      </c>
      <c r="E31" s="3330" t="s">
        <v>3255</v>
      </c>
      <c r="F31" s="3330" t="s">
        <v>3261</v>
      </c>
      <c r="G31" s="3237">
        <v>2</v>
      </c>
      <c r="H31" s="3237">
        <v>196.02</v>
      </c>
      <c r="I31" s="3237">
        <v>90.06</v>
      </c>
      <c r="J31" s="3237">
        <f t="shared" si="2"/>
        <v>286.08000000000004</v>
      </c>
      <c r="K31" s="3331">
        <v>14114.62</v>
      </c>
      <c r="L31" s="3330" t="s">
        <v>3258</v>
      </c>
      <c r="M31" s="3331">
        <v>1993</v>
      </c>
      <c r="N31" s="3332">
        <v>58150</v>
      </c>
    </row>
    <row r="32" spans="1:14" ht="15" customHeight="1">
      <c r="A32" s="3331"/>
      <c r="B32" s="3330"/>
      <c r="C32" s="3330"/>
      <c r="D32" s="3330"/>
      <c r="E32" s="3330"/>
      <c r="F32" s="3330"/>
      <c r="G32" s="3237">
        <v>2</v>
      </c>
      <c r="H32" s="3237">
        <v>217.8</v>
      </c>
      <c r="I32" s="3237">
        <v>100.06</v>
      </c>
      <c r="J32" s="3237">
        <f t="shared" si="2"/>
        <v>317.86</v>
      </c>
      <c r="K32" s="3331"/>
      <c r="L32" s="3330"/>
      <c r="M32" s="3331"/>
      <c r="N32" s="3332"/>
    </row>
    <row r="33" spans="1:14" ht="15" customHeight="1">
      <c r="A33" s="3331"/>
      <c r="B33" s="3330"/>
      <c r="C33" s="3330"/>
      <c r="D33" s="3330"/>
      <c r="E33" s="3330"/>
      <c r="F33" s="3330"/>
      <c r="G33" s="3237">
        <v>2</v>
      </c>
      <c r="H33" s="3237">
        <v>65.34</v>
      </c>
      <c r="I33" s="3237">
        <v>30.02</v>
      </c>
      <c r="J33" s="3237">
        <f t="shared" si="2"/>
        <v>95.36</v>
      </c>
      <c r="K33" s="3331"/>
      <c r="L33" s="3330"/>
      <c r="M33" s="3331"/>
      <c r="N33" s="3332"/>
    </row>
    <row r="34" spans="1:14" ht="15" customHeight="1">
      <c r="A34" s="3331"/>
      <c r="B34" s="3330"/>
      <c r="C34" s="3330"/>
      <c r="D34" s="3330"/>
      <c r="E34" s="3330"/>
      <c r="F34" s="3330"/>
      <c r="G34" s="3237">
        <v>2</v>
      </c>
      <c r="H34" s="3237">
        <v>87.12</v>
      </c>
      <c r="I34" s="3237">
        <v>40.03</v>
      </c>
      <c r="J34" s="3237">
        <f t="shared" si="2"/>
        <v>127.15</v>
      </c>
      <c r="K34" s="3331"/>
      <c r="L34" s="3330"/>
      <c r="M34" s="3331"/>
      <c r="N34" s="3332"/>
    </row>
    <row r="35" spans="1:14" ht="15" customHeight="1">
      <c r="A35" s="3331">
        <v>6</v>
      </c>
      <c r="B35" s="3330" t="s">
        <v>3252</v>
      </c>
      <c r="C35" s="3330" t="s">
        <v>3269</v>
      </c>
      <c r="D35" s="3330" t="s">
        <v>3257</v>
      </c>
      <c r="E35" s="3330" t="s">
        <v>3255</v>
      </c>
      <c r="F35" s="3330" t="s">
        <v>3261</v>
      </c>
      <c r="G35" s="3237">
        <v>1</v>
      </c>
      <c r="H35" s="3237">
        <v>43.56</v>
      </c>
      <c r="I35" s="3237">
        <v>20.010000000000002</v>
      </c>
      <c r="J35" s="3237">
        <f t="shared" si="2"/>
        <v>63.570000000000007</v>
      </c>
      <c r="K35" s="3331">
        <v>14114.62</v>
      </c>
      <c r="L35" s="3330" t="s">
        <v>3258</v>
      </c>
      <c r="M35" s="3331">
        <v>1993</v>
      </c>
      <c r="N35" s="3332">
        <v>58150</v>
      </c>
    </row>
    <row r="36" spans="1:14" ht="15" customHeight="1">
      <c r="A36" s="3331"/>
      <c r="B36" s="3330"/>
      <c r="C36" s="3330"/>
      <c r="D36" s="3330"/>
      <c r="E36" s="3330"/>
      <c r="F36" s="3330"/>
      <c r="G36" s="3237">
        <v>1</v>
      </c>
      <c r="H36" s="3237">
        <v>196.02</v>
      </c>
      <c r="I36" s="3237">
        <v>90.06</v>
      </c>
      <c r="J36" s="3237">
        <f t="shared" si="2"/>
        <v>286.08000000000004</v>
      </c>
      <c r="K36" s="3331"/>
      <c r="L36" s="3330"/>
      <c r="M36" s="3331"/>
      <c r="N36" s="3332"/>
    </row>
    <row r="37" spans="1:14" ht="15" customHeight="1">
      <c r="A37" s="3331"/>
      <c r="B37" s="3330"/>
      <c r="C37" s="3330"/>
      <c r="D37" s="3330"/>
      <c r="E37" s="3330"/>
      <c r="F37" s="3330"/>
      <c r="G37" s="3237">
        <v>1</v>
      </c>
      <c r="H37" s="3237">
        <v>217.8</v>
      </c>
      <c r="I37" s="3237">
        <v>100.06</v>
      </c>
      <c r="J37" s="3237">
        <f t="shared" si="2"/>
        <v>317.86</v>
      </c>
      <c r="K37" s="3331"/>
      <c r="L37" s="3330"/>
      <c r="M37" s="3331"/>
      <c r="N37" s="3332"/>
    </row>
    <row r="38" spans="1:14" ht="15" customHeight="1">
      <c r="A38" s="3331"/>
      <c r="B38" s="3330"/>
      <c r="C38" s="3330"/>
      <c r="D38" s="3330"/>
      <c r="E38" s="3330"/>
      <c r="F38" s="3330"/>
      <c r="G38" s="3237">
        <v>2</v>
      </c>
      <c r="H38" s="3237">
        <v>196.02</v>
      </c>
      <c r="I38" s="3237">
        <v>90.06</v>
      </c>
      <c r="J38" s="3237">
        <f t="shared" si="2"/>
        <v>286.08000000000004</v>
      </c>
      <c r="K38" s="3331"/>
      <c r="L38" s="3330"/>
      <c r="M38" s="3331"/>
      <c r="N38" s="3332"/>
    </row>
    <row r="39" spans="1:14" ht="15" customHeight="1">
      <c r="A39" s="3331"/>
      <c r="B39" s="3330"/>
      <c r="C39" s="3330"/>
      <c r="D39" s="3330"/>
      <c r="E39" s="3330"/>
      <c r="F39" s="3330"/>
      <c r="G39" s="3237">
        <v>2</v>
      </c>
      <c r="H39" s="3237">
        <v>87.12</v>
      </c>
      <c r="I39" s="3237">
        <v>40.03</v>
      </c>
      <c r="J39" s="3237">
        <f t="shared" si="2"/>
        <v>127.15</v>
      </c>
      <c r="K39" s="3331"/>
      <c r="L39" s="3330"/>
      <c r="M39" s="3331"/>
      <c r="N39" s="3332"/>
    </row>
    <row r="40" spans="1:14" ht="15" customHeight="1">
      <c r="A40" s="3331"/>
      <c r="B40" s="3330"/>
      <c r="C40" s="3330"/>
      <c r="D40" s="3330"/>
      <c r="E40" s="3330"/>
      <c r="F40" s="3330"/>
      <c r="G40" s="3237">
        <v>2</v>
      </c>
      <c r="H40" s="3237">
        <v>217.8</v>
      </c>
      <c r="I40" s="3237">
        <v>100.06</v>
      </c>
      <c r="J40" s="3237">
        <f t="shared" ref="J40:J45" si="3">H40+I40</f>
        <v>317.86</v>
      </c>
      <c r="K40" s="3331"/>
      <c r="L40" s="3330"/>
      <c r="M40" s="3331"/>
      <c r="N40" s="3332"/>
    </row>
    <row r="41" spans="1:14" ht="15" customHeight="1">
      <c r="A41" s="3331"/>
      <c r="B41" s="3330"/>
      <c r="C41" s="3330"/>
      <c r="D41" s="3330"/>
      <c r="E41" s="3330"/>
      <c r="F41" s="3330"/>
      <c r="G41" s="3237">
        <v>2</v>
      </c>
      <c r="H41" s="3237">
        <v>87.12</v>
      </c>
      <c r="I41" s="3237">
        <v>40.03</v>
      </c>
      <c r="J41" s="3237">
        <f t="shared" si="3"/>
        <v>127.15</v>
      </c>
      <c r="K41" s="3331"/>
      <c r="L41" s="3330"/>
      <c r="M41" s="3331"/>
      <c r="N41" s="3332"/>
    </row>
    <row r="42" spans="1:14" ht="15" customHeight="1">
      <c r="A42" s="3331">
        <v>7</v>
      </c>
      <c r="B42" s="3330" t="s">
        <v>3252</v>
      </c>
      <c r="C42" s="3330" t="s">
        <v>3270</v>
      </c>
      <c r="D42" s="3330" t="s">
        <v>3257</v>
      </c>
      <c r="E42" s="3330" t="s">
        <v>3255</v>
      </c>
      <c r="F42" s="3330" t="s">
        <v>3261</v>
      </c>
      <c r="G42" s="3237">
        <v>2</v>
      </c>
      <c r="H42" s="3237">
        <v>217.8</v>
      </c>
      <c r="I42" s="3237">
        <v>100.06</v>
      </c>
      <c r="J42" s="3237">
        <f t="shared" si="3"/>
        <v>317.86</v>
      </c>
      <c r="K42" s="3331">
        <v>14114.62</v>
      </c>
      <c r="L42" s="3330" t="s">
        <v>3258</v>
      </c>
      <c r="M42" s="3331">
        <v>1993</v>
      </c>
      <c r="N42" s="3332">
        <v>58150</v>
      </c>
    </row>
    <row r="43" spans="1:14" ht="15" customHeight="1">
      <c r="A43" s="3331"/>
      <c r="B43" s="3330"/>
      <c r="C43" s="3330"/>
      <c r="D43" s="3330"/>
      <c r="E43" s="3330"/>
      <c r="F43" s="3330"/>
      <c r="G43" s="3237">
        <v>2</v>
      </c>
      <c r="H43" s="3237">
        <v>87.12</v>
      </c>
      <c r="I43" s="3237">
        <v>40.03</v>
      </c>
      <c r="J43" s="3237">
        <f t="shared" si="3"/>
        <v>127.15</v>
      </c>
      <c r="K43" s="3331"/>
      <c r="L43" s="3330"/>
      <c r="M43" s="3331"/>
      <c r="N43" s="3332"/>
    </row>
    <row r="44" spans="1:14" ht="15" customHeight="1">
      <c r="A44" s="3331"/>
      <c r="B44" s="3330"/>
      <c r="C44" s="3330"/>
      <c r="D44" s="3330"/>
      <c r="E44" s="3330"/>
      <c r="F44" s="3330"/>
      <c r="G44" s="3237">
        <v>2</v>
      </c>
      <c r="H44" s="3237">
        <v>196.02</v>
      </c>
      <c r="I44" s="3237">
        <v>90.06</v>
      </c>
      <c r="J44" s="3237">
        <f t="shared" si="3"/>
        <v>286.08000000000004</v>
      </c>
      <c r="K44" s="3331"/>
      <c r="L44" s="3330"/>
      <c r="M44" s="3331"/>
      <c r="N44" s="3332"/>
    </row>
    <row r="45" spans="1:14" ht="15" customHeight="1">
      <c r="A45" s="3331"/>
      <c r="B45" s="3330"/>
      <c r="C45" s="3330"/>
      <c r="D45" s="3330"/>
      <c r="E45" s="3330"/>
      <c r="F45" s="3330"/>
      <c r="G45" s="3237">
        <v>2</v>
      </c>
      <c r="H45" s="3237">
        <v>65.34</v>
      </c>
      <c r="I45" s="3237">
        <v>30.02</v>
      </c>
      <c r="J45" s="3237">
        <f t="shared" si="3"/>
        <v>95.36</v>
      </c>
      <c r="K45" s="3331"/>
      <c r="L45" s="3330"/>
      <c r="M45" s="3331"/>
      <c r="N45" s="3332"/>
    </row>
    <row r="46" spans="1:14" ht="15" customHeight="1">
      <c r="A46" s="3331">
        <v>8</v>
      </c>
      <c r="B46" s="3330" t="s">
        <v>3252</v>
      </c>
      <c r="C46" s="3330" t="s">
        <v>3264</v>
      </c>
      <c r="D46" s="3330" t="s">
        <v>3257</v>
      </c>
      <c r="E46" s="3330" t="s">
        <v>3255</v>
      </c>
      <c r="F46" s="3330" t="s">
        <v>3261</v>
      </c>
      <c r="G46" s="3237">
        <v>1</v>
      </c>
      <c r="H46" s="3237">
        <v>217.8</v>
      </c>
      <c r="I46" s="3237">
        <v>100.06</v>
      </c>
      <c r="J46" s="3237">
        <f t="shared" ref="J46:J48" si="4">H46+I46</f>
        <v>317.86</v>
      </c>
      <c r="K46" s="3331">
        <v>14114.62</v>
      </c>
      <c r="L46" s="3330" t="s">
        <v>3258</v>
      </c>
      <c r="M46" s="3331">
        <v>1993</v>
      </c>
      <c r="N46" s="3332">
        <v>58150</v>
      </c>
    </row>
    <row r="47" spans="1:14" ht="15" customHeight="1">
      <c r="A47" s="3331"/>
      <c r="B47" s="3330"/>
      <c r="C47" s="3330"/>
      <c r="D47" s="3330"/>
      <c r="E47" s="3330"/>
      <c r="F47" s="3330"/>
      <c r="G47" s="3237">
        <v>1</v>
      </c>
      <c r="H47" s="3237">
        <v>196.02</v>
      </c>
      <c r="I47" s="3237">
        <v>90.06</v>
      </c>
      <c r="J47" s="3237">
        <f t="shared" si="4"/>
        <v>286.08000000000004</v>
      </c>
      <c r="K47" s="3331"/>
      <c r="L47" s="3330"/>
      <c r="M47" s="3331"/>
      <c r="N47" s="3332"/>
    </row>
    <row r="48" spans="1:14" ht="15" customHeight="1">
      <c r="A48" s="3331"/>
      <c r="B48" s="3330"/>
      <c r="C48" s="3330"/>
      <c r="D48" s="3330"/>
      <c r="E48" s="3330"/>
      <c r="F48" s="3330"/>
      <c r="G48" s="3237">
        <v>2</v>
      </c>
      <c r="H48" s="3237">
        <v>87.12</v>
      </c>
      <c r="I48" s="3237">
        <v>40.03</v>
      </c>
      <c r="J48" s="3237">
        <f t="shared" si="4"/>
        <v>127.15</v>
      </c>
      <c r="K48" s="3331"/>
      <c r="L48" s="3330"/>
      <c r="M48" s="3331"/>
      <c r="N48" s="3332"/>
    </row>
    <row r="49" spans="1:14" ht="15" customHeight="1">
      <c r="A49" s="3331"/>
      <c r="B49" s="3330"/>
      <c r="C49" s="3330"/>
      <c r="D49" s="3330"/>
      <c r="E49" s="3330"/>
      <c r="F49" s="3330"/>
      <c r="G49" s="3237">
        <v>2</v>
      </c>
      <c r="H49" s="3237">
        <v>217.8</v>
      </c>
      <c r="I49" s="3237">
        <v>100.06</v>
      </c>
      <c r="J49" s="3237">
        <f t="shared" ref="J49:J54" si="5">H49+I49</f>
        <v>317.86</v>
      </c>
      <c r="K49" s="3331"/>
      <c r="L49" s="3330"/>
      <c r="M49" s="3331"/>
      <c r="N49" s="3332"/>
    </row>
    <row r="50" spans="1:14" ht="15" customHeight="1">
      <c r="A50" s="3331"/>
      <c r="B50" s="3330"/>
      <c r="C50" s="3330"/>
      <c r="D50" s="3330"/>
      <c r="E50" s="3330"/>
      <c r="F50" s="3330"/>
      <c r="G50" s="3237">
        <v>2</v>
      </c>
      <c r="H50" s="3237">
        <v>196.02</v>
      </c>
      <c r="I50" s="3237">
        <v>90.06</v>
      </c>
      <c r="J50" s="3237">
        <f t="shared" si="5"/>
        <v>286.08000000000004</v>
      </c>
      <c r="K50" s="3331"/>
      <c r="L50" s="3330"/>
      <c r="M50" s="3331"/>
      <c r="N50" s="3332"/>
    </row>
    <row r="51" spans="1:14" ht="15" customHeight="1">
      <c r="A51" s="3331"/>
      <c r="B51" s="3330"/>
      <c r="C51" s="3330"/>
      <c r="D51" s="3330"/>
      <c r="E51" s="3330"/>
      <c r="F51" s="3330"/>
      <c r="G51" s="3237">
        <v>2</v>
      </c>
      <c r="H51" s="3237">
        <v>87.12</v>
      </c>
      <c r="I51" s="3237">
        <v>40.03</v>
      </c>
      <c r="J51" s="3237">
        <f t="shared" si="5"/>
        <v>127.15</v>
      </c>
      <c r="K51" s="3331"/>
      <c r="L51" s="3330"/>
      <c r="M51" s="3331"/>
      <c r="N51" s="3332"/>
    </row>
    <row r="52" spans="1:14" ht="65.25" customHeight="1">
      <c r="A52" s="3237">
        <v>9</v>
      </c>
      <c r="B52" s="3238" t="s">
        <v>3252</v>
      </c>
      <c r="C52" s="3238" t="s">
        <v>3271</v>
      </c>
      <c r="D52" s="3238" t="s">
        <v>3272</v>
      </c>
      <c r="E52" s="3238" t="s">
        <v>3255</v>
      </c>
      <c r="F52" s="3238" t="s">
        <v>3261</v>
      </c>
      <c r="G52" s="3237">
        <v>1</v>
      </c>
      <c r="H52" s="3237">
        <v>130.68</v>
      </c>
      <c r="I52" s="3237">
        <v>60.04</v>
      </c>
      <c r="J52" s="3237">
        <f t="shared" si="5"/>
        <v>190.72</v>
      </c>
      <c r="K52" s="3237">
        <v>14114.62</v>
      </c>
      <c r="L52" s="3238" t="s">
        <v>3258</v>
      </c>
      <c r="M52" s="3237">
        <v>1993</v>
      </c>
      <c r="N52" s="3239">
        <v>58150</v>
      </c>
    </row>
    <row r="53" spans="1:14" ht="56.25" customHeight="1">
      <c r="A53" s="3237">
        <v>10</v>
      </c>
      <c r="B53" s="3238" t="s">
        <v>3252</v>
      </c>
      <c r="C53" s="3238" t="s">
        <v>3273</v>
      </c>
      <c r="D53" s="3238" t="s">
        <v>3279</v>
      </c>
      <c r="E53" s="3238" t="s">
        <v>3255</v>
      </c>
      <c r="F53" s="3238" t="s">
        <v>3261</v>
      </c>
      <c r="G53" s="3237">
        <v>1</v>
      </c>
      <c r="H53" s="3237">
        <v>21.78</v>
      </c>
      <c r="I53" s="3237">
        <v>10.01</v>
      </c>
      <c r="J53" s="3237">
        <f t="shared" si="5"/>
        <v>31.79</v>
      </c>
      <c r="K53" s="3237">
        <v>14114.62</v>
      </c>
      <c r="L53" s="3238" t="s">
        <v>3258</v>
      </c>
      <c r="M53" s="3237">
        <v>1993</v>
      </c>
      <c r="N53" s="3239">
        <v>58150</v>
      </c>
    </row>
    <row r="54" spans="1:14" ht="63.75" customHeight="1">
      <c r="A54" s="3237">
        <v>11</v>
      </c>
      <c r="B54" s="3238" t="s">
        <v>3252</v>
      </c>
      <c r="C54" s="3238" t="s">
        <v>3274</v>
      </c>
      <c r="D54" s="3238" t="s">
        <v>3280</v>
      </c>
      <c r="E54" s="3238" t="s">
        <v>3255</v>
      </c>
      <c r="F54" s="3238" t="s">
        <v>3261</v>
      </c>
      <c r="G54" s="3237">
        <v>2</v>
      </c>
      <c r="H54" s="3237">
        <v>236.94</v>
      </c>
      <c r="I54" s="3237">
        <v>108.86</v>
      </c>
      <c r="J54" s="3237">
        <f t="shared" si="5"/>
        <v>345.8</v>
      </c>
      <c r="K54" s="3237">
        <v>14114.62</v>
      </c>
      <c r="L54" s="3238" t="s">
        <v>3258</v>
      </c>
      <c r="M54" s="3237">
        <v>1993</v>
      </c>
      <c r="N54" s="3239">
        <v>58150</v>
      </c>
    </row>
    <row r="55" spans="1:14" ht="68.25" customHeight="1">
      <c r="A55" s="3237">
        <v>12</v>
      </c>
      <c r="B55" s="3238" t="s">
        <v>3252</v>
      </c>
      <c r="C55" s="3238" t="s">
        <v>3275</v>
      </c>
      <c r="D55" s="3238" t="s">
        <v>3281</v>
      </c>
      <c r="E55" s="3238" t="s">
        <v>3255</v>
      </c>
      <c r="F55" s="3238" t="s">
        <v>3261</v>
      </c>
      <c r="G55" s="3237">
        <v>2</v>
      </c>
      <c r="H55" s="3237">
        <v>236.94</v>
      </c>
      <c r="I55" s="3237">
        <v>108.86</v>
      </c>
      <c r="J55" s="3237">
        <f t="shared" ref="J55:J57" si="6">H55+I55</f>
        <v>345.8</v>
      </c>
      <c r="K55" s="3237">
        <v>14114.62</v>
      </c>
      <c r="L55" s="3238" t="s">
        <v>3258</v>
      </c>
      <c r="M55" s="3237">
        <v>1993</v>
      </c>
      <c r="N55" s="3239">
        <v>58150</v>
      </c>
    </row>
    <row r="56" spans="1:14" ht="70.5" customHeight="1">
      <c r="A56" s="3237">
        <v>13</v>
      </c>
      <c r="B56" s="3238" t="s">
        <v>3252</v>
      </c>
      <c r="C56" s="3238" t="s">
        <v>3276</v>
      </c>
      <c r="D56" s="3238" t="s">
        <v>3282</v>
      </c>
      <c r="E56" s="3238" t="s">
        <v>3255</v>
      </c>
      <c r="F56" s="3238" t="s">
        <v>3261</v>
      </c>
      <c r="G56" s="3237">
        <v>2</v>
      </c>
      <c r="H56" s="3237">
        <v>87.12</v>
      </c>
      <c r="I56" s="3237">
        <v>40.03</v>
      </c>
      <c r="J56" s="3237">
        <f t="shared" si="6"/>
        <v>127.15</v>
      </c>
      <c r="K56" s="3237">
        <v>14114.62</v>
      </c>
      <c r="L56" s="3238" t="s">
        <v>3258</v>
      </c>
      <c r="M56" s="3237">
        <v>1993</v>
      </c>
      <c r="N56" s="3239">
        <v>58150</v>
      </c>
    </row>
    <row r="57" spans="1:14" ht="69.75" customHeight="1">
      <c r="A57" s="3237">
        <v>14</v>
      </c>
      <c r="B57" s="3238" t="s">
        <v>3252</v>
      </c>
      <c r="C57" s="3238" t="s">
        <v>3277</v>
      </c>
      <c r="D57" s="3238" t="s">
        <v>3283</v>
      </c>
      <c r="E57" s="3238" t="s">
        <v>3255</v>
      </c>
      <c r="F57" s="3238" t="s">
        <v>3261</v>
      </c>
      <c r="G57" s="3237">
        <v>3</v>
      </c>
      <c r="H57" s="3237">
        <v>231</v>
      </c>
      <c r="I57" s="3237">
        <v>106.13</v>
      </c>
      <c r="J57" s="3237">
        <f t="shared" si="6"/>
        <v>337.13</v>
      </c>
      <c r="K57" s="3237">
        <v>14114.62</v>
      </c>
      <c r="L57" s="3238" t="s">
        <v>3258</v>
      </c>
      <c r="M57" s="3237">
        <v>1993</v>
      </c>
      <c r="N57" s="3239">
        <v>58150</v>
      </c>
    </row>
    <row r="58" spans="1:14" ht="63.75" customHeight="1">
      <c r="A58" s="3237">
        <v>15</v>
      </c>
      <c r="B58" s="3238" t="s">
        <v>3252</v>
      </c>
      <c r="C58" s="3238" t="s">
        <v>3278</v>
      </c>
      <c r="D58" s="3238" t="s">
        <v>3284</v>
      </c>
      <c r="E58" s="3238" t="s">
        <v>3255</v>
      </c>
      <c r="F58" s="3238" t="s">
        <v>3261</v>
      </c>
      <c r="G58" s="3237">
        <v>3</v>
      </c>
      <c r="H58" s="3237">
        <v>231</v>
      </c>
      <c r="I58" s="3237">
        <v>106.13</v>
      </c>
      <c r="J58" s="3237">
        <f t="shared" ref="J58:J59" si="7">H58+I58</f>
        <v>337.13</v>
      </c>
      <c r="K58" s="3237">
        <v>14114.62</v>
      </c>
      <c r="L58" s="3238" t="s">
        <v>3258</v>
      </c>
      <c r="M58" s="3237">
        <v>1993</v>
      </c>
      <c r="N58" s="3239">
        <v>58150</v>
      </c>
    </row>
    <row r="59" spans="1:14" ht="15" customHeight="1">
      <c r="A59" s="3331">
        <v>16</v>
      </c>
      <c r="B59" s="3330" t="s">
        <v>3252</v>
      </c>
      <c r="C59" s="3330" t="s">
        <v>3285</v>
      </c>
      <c r="D59" s="3330" t="s">
        <v>3257</v>
      </c>
      <c r="E59" s="3330" t="s">
        <v>3255</v>
      </c>
      <c r="F59" s="3330" t="s">
        <v>3261</v>
      </c>
      <c r="G59" s="3237">
        <v>1</v>
      </c>
      <c r="H59" s="3237">
        <v>236.94</v>
      </c>
      <c r="I59" s="3237">
        <v>108.86</v>
      </c>
      <c r="J59" s="3237">
        <f t="shared" si="7"/>
        <v>345.8</v>
      </c>
      <c r="K59" s="3331">
        <v>14114.62</v>
      </c>
      <c r="L59" s="3330" t="s">
        <v>3258</v>
      </c>
      <c r="M59" s="3331">
        <v>1993</v>
      </c>
      <c r="N59" s="3332">
        <v>58150</v>
      </c>
    </row>
    <row r="60" spans="1:14" ht="15" customHeight="1">
      <c r="A60" s="3331"/>
      <c r="B60" s="3330"/>
      <c r="C60" s="3330"/>
      <c r="D60" s="3330"/>
      <c r="E60" s="3330"/>
      <c r="F60" s="3330"/>
      <c r="G60" s="3237">
        <v>1</v>
      </c>
      <c r="H60" s="3237">
        <v>236.94</v>
      </c>
      <c r="I60" s="3237">
        <v>108.86</v>
      </c>
      <c r="J60" s="3237">
        <f t="shared" ref="J60" si="8">H60+I60</f>
        <v>345.8</v>
      </c>
      <c r="K60" s="3331"/>
      <c r="L60" s="3330"/>
      <c r="M60" s="3331"/>
      <c r="N60" s="3332"/>
    </row>
    <row r="61" spans="1:14" ht="15" customHeight="1">
      <c r="A61" s="3331"/>
      <c r="B61" s="3330"/>
      <c r="C61" s="3330"/>
      <c r="D61" s="3330"/>
      <c r="E61" s="3330"/>
      <c r="F61" s="3330"/>
      <c r="G61" s="3237">
        <v>2</v>
      </c>
      <c r="H61" s="3237">
        <v>236.94</v>
      </c>
      <c r="I61" s="3237">
        <v>108.86</v>
      </c>
      <c r="J61" s="3237">
        <f t="shared" ref="J61:J64" si="9">H61+I61</f>
        <v>345.8</v>
      </c>
      <c r="K61" s="3331"/>
      <c r="L61" s="3330"/>
      <c r="M61" s="3331"/>
      <c r="N61" s="3332"/>
    </row>
    <row r="62" spans="1:14" ht="15" customHeight="1">
      <c r="A62" s="3331"/>
      <c r="B62" s="3330"/>
      <c r="C62" s="3330"/>
      <c r="D62" s="3330"/>
      <c r="E62" s="3330"/>
      <c r="F62" s="3330"/>
      <c r="G62" s="3237">
        <v>2</v>
      </c>
      <c r="H62" s="3237">
        <v>215.16</v>
      </c>
      <c r="I62" s="3237">
        <v>98.85</v>
      </c>
      <c r="J62" s="3237">
        <f t="shared" si="9"/>
        <v>314.01</v>
      </c>
      <c r="K62" s="3331"/>
      <c r="L62" s="3330"/>
      <c r="M62" s="3331"/>
      <c r="N62" s="3332"/>
    </row>
    <row r="63" spans="1:14" ht="15" customHeight="1">
      <c r="A63" s="3331"/>
      <c r="B63" s="3330"/>
      <c r="C63" s="3330"/>
      <c r="D63" s="3330"/>
      <c r="E63" s="3330"/>
      <c r="F63" s="3330"/>
      <c r="G63" s="3237">
        <v>2</v>
      </c>
      <c r="H63" s="3237">
        <v>87.12</v>
      </c>
      <c r="I63" s="3237">
        <v>40.03</v>
      </c>
      <c r="J63" s="3237">
        <f t="shared" si="9"/>
        <v>127.15</v>
      </c>
      <c r="K63" s="3331"/>
      <c r="L63" s="3330"/>
      <c r="M63" s="3331"/>
      <c r="N63" s="3332"/>
    </row>
    <row r="64" spans="1:14" ht="15" customHeight="1">
      <c r="A64" s="3331"/>
      <c r="B64" s="3330"/>
      <c r="C64" s="3330"/>
      <c r="D64" s="3330"/>
      <c r="E64" s="3330"/>
      <c r="F64" s="3330"/>
      <c r="G64" s="3237">
        <v>3</v>
      </c>
      <c r="H64" s="3237">
        <v>231</v>
      </c>
      <c r="I64" s="3237">
        <v>106.13</v>
      </c>
      <c r="J64" s="3237">
        <f t="shared" si="9"/>
        <v>337.13</v>
      </c>
      <c r="K64" s="3331"/>
      <c r="L64" s="3330"/>
      <c r="M64" s="3331"/>
      <c r="N64" s="3332"/>
    </row>
    <row r="65" spans="1:14" ht="15" customHeight="1">
      <c r="A65" s="3331"/>
      <c r="B65" s="3330"/>
      <c r="C65" s="3330"/>
      <c r="D65" s="3330"/>
      <c r="E65" s="3330"/>
      <c r="F65" s="3330"/>
      <c r="G65" s="3237">
        <v>3</v>
      </c>
      <c r="H65" s="3237">
        <v>231</v>
      </c>
      <c r="I65" s="3237">
        <v>106.13</v>
      </c>
      <c r="J65" s="3237">
        <f t="shared" ref="J65:J72" si="10">H65+I65</f>
        <v>337.13</v>
      </c>
      <c r="K65" s="3331"/>
      <c r="L65" s="3330"/>
      <c r="M65" s="3331"/>
      <c r="N65" s="3332"/>
    </row>
    <row r="66" spans="1:14" ht="15" customHeight="1">
      <c r="A66" s="3331">
        <v>17</v>
      </c>
      <c r="B66" s="3330" t="s">
        <v>3252</v>
      </c>
      <c r="C66" s="3330" t="s">
        <v>3286</v>
      </c>
      <c r="D66" s="3330" t="s">
        <v>3257</v>
      </c>
      <c r="E66" s="3330" t="s">
        <v>3255</v>
      </c>
      <c r="F66" s="3330" t="s">
        <v>3261</v>
      </c>
      <c r="G66" s="3237">
        <v>1</v>
      </c>
      <c r="H66" s="3237">
        <v>65.34</v>
      </c>
      <c r="I66" s="3237">
        <v>30.02</v>
      </c>
      <c r="J66" s="3237">
        <f t="shared" si="10"/>
        <v>95.36</v>
      </c>
      <c r="K66" s="3331">
        <v>14114.62</v>
      </c>
      <c r="L66" s="3330" t="s">
        <v>3258</v>
      </c>
      <c r="M66" s="3331">
        <v>1993</v>
      </c>
      <c r="N66" s="3332">
        <v>58150</v>
      </c>
    </row>
    <row r="67" spans="1:14" ht="15" customHeight="1">
      <c r="A67" s="3331"/>
      <c r="B67" s="3330"/>
      <c r="C67" s="3330"/>
      <c r="D67" s="3330"/>
      <c r="E67" s="3330"/>
      <c r="F67" s="3330"/>
      <c r="G67" s="3237">
        <v>1</v>
      </c>
      <c r="H67" s="3237">
        <v>152.46</v>
      </c>
      <c r="I67" s="3237">
        <v>70.040000000000006</v>
      </c>
      <c r="J67" s="3237">
        <f t="shared" si="10"/>
        <v>222.5</v>
      </c>
      <c r="K67" s="3331"/>
      <c r="L67" s="3330"/>
      <c r="M67" s="3331"/>
      <c r="N67" s="3332"/>
    </row>
    <row r="68" spans="1:14" ht="15" customHeight="1">
      <c r="A68" s="3331"/>
      <c r="B68" s="3330"/>
      <c r="C68" s="3330"/>
      <c r="D68" s="3330"/>
      <c r="E68" s="3330"/>
      <c r="F68" s="3330"/>
      <c r="G68" s="3237">
        <v>1</v>
      </c>
      <c r="H68" s="3237">
        <v>130.68</v>
      </c>
      <c r="I68" s="3237">
        <v>60.04</v>
      </c>
      <c r="J68" s="3237">
        <f t="shared" si="10"/>
        <v>190.72</v>
      </c>
      <c r="K68" s="3331"/>
      <c r="L68" s="3330"/>
      <c r="M68" s="3331"/>
      <c r="N68" s="3332"/>
    </row>
    <row r="69" spans="1:14" ht="15" customHeight="1">
      <c r="A69" s="3331"/>
      <c r="B69" s="3330"/>
      <c r="C69" s="3330"/>
      <c r="D69" s="3330"/>
      <c r="E69" s="3330"/>
      <c r="F69" s="3330"/>
      <c r="G69" s="3237">
        <v>1</v>
      </c>
      <c r="H69" s="3237">
        <v>21.78</v>
      </c>
      <c r="I69" s="3237">
        <v>10.01</v>
      </c>
      <c r="J69" s="3237">
        <f t="shared" si="10"/>
        <v>31.79</v>
      </c>
      <c r="K69" s="3331"/>
      <c r="L69" s="3330"/>
      <c r="M69" s="3331"/>
      <c r="N69" s="3332"/>
    </row>
    <row r="70" spans="1:14" ht="15" customHeight="1">
      <c r="A70" s="3331"/>
      <c r="B70" s="3330"/>
      <c r="C70" s="3330"/>
      <c r="D70" s="3330"/>
      <c r="E70" s="3330"/>
      <c r="F70" s="3330"/>
      <c r="G70" s="3237">
        <v>2</v>
      </c>
      <c r="H70" s="3237">
        <v>87.12</v>
      </c>
      <c r="I70" s="3237">
        <v>40.03</v>
      </c>
      <c r="J70" s="3237">
        <f t="shared" si="10"/>
        <v>127.15</v>
      </c>
      <c r="K70" s="3331"/>
      <c r="L70" s="3330"/>
      <c r="M70" s="3331"/>
      <c r="N70" s="3332"/>
    </row>
    <row r="71" spans="1:14" ht="15" customHeight="1">
      <c r="A71" s="3331"/>
      <c r="B71" s="3330"/>
      <c r="C71" s="3330"/>
      <c r="D71" s="3330"/>
      <c r="E71" s="3330"/>
      <c r="F71" s="3330"/>
      <c r="G71" s="3237">
        <v>2</v>
      </c>
      <c r="H71" s="3237">
        <v>217.8</v>
      </c>
      <c r="I71" s="3237">
        <v>100.06</v>
      </c>
      <c r="J71" s="3237">
        <f t="shared" si="10"/>
        <v>317.86</v>
      </c>
      <c r="K71" s="3331"/>
      <c r="L71" s="3330"/>
      <c r="M71" s="3331"/>
      <c r="N71" s="3332"/>
    </row>
    <row r="72" spans="1:14" ht="15" customHeight="1">
      <c r="A72" s="3331"/>
      <c r="B72" s="3330"/>
      <c r="C72" s="3330"/>
      <c r="D72" s="3330"/>
      <c r="E72" s="3330"/>
      <c r="F72" s="3330"/>
      <c r="G72" s="3237">
        <v>2</v>
      </c>
      <c r="H72" s="3237">
        <v>196.02</v>
      </c>
      <c r="I72" s="3237">
        <v>90.06</v>
      </c>
      <c r="J72" s="3237">
        <f t="shared" si="10"/>
        <v>286.08000000000004</v>
      </c>
      <c r="K72" s="3331"/>
      <c r="L72" s="3330"/>
      <c r="M72" s="3331"/>
      <c r="N72" s="3332"/>
    </row>
    <row r="73" spans="1:14" ht="15" customHeight="1">
      <c r="A73" s="3331"/>
      <c r="B73" s="3330"/>
      <c r="C73" s="3330"/>
      <c r="D73" s="3330"/>
      <c r="E73" s="3330"/>
      <c r="F73" s="3330"/>
      <c r="G73" s="3237">
        <v>2</v>
      </c>
      <c r="H73" s="3237">
        <v>87.12</v>
      </c>
      <c r="I73" s="3237">
        <v>40.03</v>
      </c>
      <c r="J73" s="3237">
        <f t="shared" ref="J73:J81" si="11">H73+I73</f>
        <v>127.15</v>
      </c>
      <c r="K73" s="3331"/>
      <c r="L73" s="3330"/>
      <c r="M73" s="3331"/>
      <c r="N73" s="3332"/>
    </row>
    <row r="74" spans="1:14" ht="15" customHeight="1">
      <c r="A74" s="3331"/>
      <c r="B74" s="3330"/>
      <c r="C74" s="3330"/>
      <c r="D74" s="3330"/>
      <c r="E74" s="3330"/>
      <c r="F74" s="3330"/>
      <c r="G74" s="3237">
        <v>3</v>
      </c>
      <c r="H74" s="3237">
        <v>95.04</v>
      </c>
      <c r="I74" s="3237">
        <v>43.66</v>
      </c>
      <c r="J74" s="3237">
        <f t="shared" si="11"/>
        <v>138.69999999999999</v>
      </c>
      <c r="K74" s="3331"/>
      <c r="L74" s="3330"/>
      <c r="M74" s="3331"/>
      <c r="N74" s="3332"/>
    </row>
    <row r="75" spans="1:14" ht="15" customHeight="1">
      <c r="A75" s="3331">
        <v>18</v>
      </c>
      <c r="B75" s="3330" t="s">
        <v>3252</v>
      </c>
      <c r="C75" s="3330" t="s">
        <v>3287</v>
      </c>
      <c r="D75" s="3330" t="s">
        <v>3257</v>
      </c>
      <c r="E75" s="3330" t="s">
        <v>3255</v>
      </c>
      <c r="F75" s="3330" t="s">
        <v>3261</v>
      </c>
      <c r="G75" s="3237">
        <v>1</v>
      </c>
      <c r="H75" s="3237">
        <v>65.34</v>
      </c>
      <c r="I75" s="3237">
        <v>30.02</v>
      </c>
      <c r="J75" s="3237">
        <f t="shared" si="11"/>
        <v>95.36</v>
      </c>
      <c r="K75" s="3331">
        <v>14114.62</v>
      </c>
      <c r="L75" s="3330" t="s">
        <v>3258</v>
      </c>
      <c r="M75" s="3331">
        <v>1993</v>
      </c>
      <c r="N75" s="3332">
        <v>58150</v>
      </c>
    </row>
    <row r="76" spans="1:14" ht="15" customHeight="1">
      <c r="A76" s="3331"/>
      <c r="B76" s="3330"/>
      <c r="C76" s="3330"/>
      <c r="D76" s="3330"/>
      <c r="E76" s="3330"/>
      <c r="F76" s="3330"/>
      <c r="G76" s="3237">
        <v>1</v>
      </c>
      <c r="H76" s="3237">
        <v>217.8</v>
      </c>
      <c r="I76" s="3237">
        <v>100.06</v>
      </c>
      <c r="J76" s="3237">
        <f t="shared" ref="J76" si="12">H76+I76</f>
        <v>317.86</v>
      </c>
      <c r="K76" s="3331"/>
      <c r="L76" s="3330"/>
      <c r="M76" s="3331"/>
      <c r="N76" s="3332"/>
    </row>
    <row r="77" spans="1:14" ht="15" customHeight="1">
      <c r="A77" s="3331"/>
      <c r="B77" s="3330"/>
      <c r="C77" s="3330"/>
      <c r="D77" s="3330"/>
      <c r="E77" s="3330"/>
      <c r="F77" s="3330"/>
      <c r="G77" s="3237">
        <v>1</v>
      </c>
      <c r="H77" s="3237">
        <v>174.24</v>
      </c>
      <c r="I77" s="3237">
        <v>80.05</v>
      </c>
      <c r="J77" s="3237">
        <f t="shared" si="11"/>
        <v>254.29000000000002</v>
      </c>
      <c r="K77" s="3331"/>
      <c r="L77" s="3330"/>
      <c r="M77" s="3331"/>
      <c r="N77" s="3332"/>
    </row>
    <row r="78" spans="1:14" ht="15" customHeight="1">
      <c r="A78" s="3331"/>
      <c r="B78" s="3330"/>
      <c r="C78" s="3330"/>
      <c r="D78" s="3330"/>
      <c r="E78" s="3330"/>
      <c r="F78" s="3330"/>
      <c r="G78" s="3237">
        <v>1</v>
      </c>
      <c r="H78" s="3237">
        <v>87.12</v>
      </c>
      <c r="I78" s="3237">
        <v>40.03</v>
      </c>
      <c r="J78" s="3237">
        <f t="shared" ref="J78" si="13">H78+I78</f>
        <v>127.15</v>
      </c>
      <c r="K78" s="3331"/>
      <c r="L78" s="3330"/>
      <c r="M78" s="3331"/>
      <c r="N78" s="3332"/>
    </row>
    <row r="79" spans="1:14" ht="15" customHeight="1">
      <c r="A79" s="3331"/>
      <c r="B79" s="3330"/>
      <c r="C79" s="3330"/>
      <c r="D79" s="3330"/>
      <c r="E79" s="3330"/>
      <c r="F79" s="3330"/>
      <c r="G79" s="3237">
        <v>2</v>
      </c>
      <c r="H79" s="3237">
        <v>87.12</v>
      </c>
      <c r="I79" s="3237">
        <v>40.03</v>
      </c>
      <c r="J79" s="3237">
        <f t="shared" si="11"/>
        <v>127.15</v>
      </c>
      <c r="K79" s="3331"/>
      <c r="L79" s="3330"/>
      <c r="M79" s="3331"/>
      <c r="N79" s="3332"/>
    </row>
    <row r="80" spans="1:14" ht="15" customHeight="1">
      <c r="A80" s="3331"/>
      <c r="B80" s="3330"/>
      <c r="C80" s="3330"/>
      <c r="D80" s="3330"/>
      <c r="E80" s="3330"/>
      <c r="F80" s="3330"/>
      <c r="G80" s="3237">
        <v>2</v>
      </c>
      <c r="H80" s="3237">
        <v>217.8</v>
      </c>
      <c r="I80" s="3237">
        <v>100.06</v>
      </c>
      <c r="J80" s="3237">
        <f t="shared" si="11"/>
        <v>317.86</v>
      </c>
      <c r="K80" s="3331"/>
      <c r="L80" s="3330"/>
      <c r="M80" s="3331"/>
      <c r="N80" s="3332"/>
    </row>
    <row r="81" spans="1:14" ht="15" customHeight="1">
      <c r="A81" s="3331"/>
      <c r="B81" s="3330"/>
      <c r="C81" s="3330"/>
      <c r="D81" s="3330"/>
      <c r="E81" s="3330"/>
      <c r="F81" s="3330"/>
      <c r="G81" s="3237">
        <v>2</v>
      </c>
      <c r="H81" s="3237">
        <v>196.02</v>
      </c>
      <c r="I81" s="3237">
        <v>90.06</v>
      </c>
      <c r="J81" s="3237">
        <f t="shared" si="11"/>
        <v>286.08000000000004</v>
      </c>
      <c r="K81" s="3331"/>
      <c r="L81" s="3330"/>
      <c r="M81" s="3331"/>
      <c r="N81" s="3332"/>
    </row>
    <row r="82" spans="1:14" ht="15" customHeight="1">
      <c r="A82" s="3331"/>
      <c r="B82" s="3330"/>
      <c r="C82" s="3330"/>
      <c r="D82" s="3330"/>
      <c r="E82" s="3330"/>
      <c r="F82" s="3330"/>
      <c r="G82" s="3237">
        <v>2</v>
      </c>
      <c r="H82" s="3237">
        <v>87.12</v>
      </c>
      <c r="I82" s="3237">
        <v>40.03</v>
      </c>
      <c r="J82" s="3237">
        <f t="shared" ref="J82:J83" si="14">H82+I82</f>
        <v>127.15</v>
      </c>
      <c r="K82" s="3331"/>
      <c r="L82" s="3330"/>
      <c r="M82" s="3331"/>
      <c r="N82" s="3332"/>
    </row>
    <row r="83" spans="1:14" ht="15" customHeight="1">
      <c r="A83" s="3331"/>
      <c r="B83" s="3330"/>
      <c r="C83" s="3330"/>
      <c r="D83" s="3330"/>
      <c r="E83" s="3330"/>
      <c r="F83" s="3330"/>
      <c r="G83" s="3237">
        <v>3</v>
      </c>
      <c r="H83" s="3237">
        <v>95.04</v>
      </c>
      <c r="I83" s="3237">
        <v>43.66</v>
      </c>
      <c r="J83" s="3237">
        <f t="shared" si="14"/>
        <v>138.69999999999999</v>
      </c>
      <c r="K83" s="3331"/>
      <c r="L83" s="3330"/>
      <c r="M83" s="3331"/>
      <c r="N83" s="3332"/>
    </row>
    <row r="84" spans="1:14" ht="15" customHeight="1">
      <c r="A84" s="3238" t="s">
        <v>3288</v>
      </c>
      <c r="B84" s="3237"/>
      <c r="C84" s="3237"/>
      <c r="D84" s="3237"/>
      <c r="E84" s="3237"/>
      <c r="F84" s="3237"/>
      <c r="G84" s="3237"/>
      <c r="H84" s="3237">
        <f>SUM(H3:H83)</f>
        <v>12607.320000000011</v>
      </c>
      <c r="I84" s="3237">
        <f>SUM(I3:I83)</f>
        <v>5792.2800000000025</v>
      </c>
      <c r="J84" s="3240">
        <f>SUM(J3:J83)</f>
        <v>18399.600000000006</v>
      </c>
      <c r="K84" s="3237"/>
      <c r="L84" s="3237"/>
      <c r="M84" s="3237"/>
      <c r="N84" s="3237"/>
    </row>
  </sheetData>
  <mergeCells count="110">
    <mergeCell ref="B3:B8"/>
    <mergeCell ref="A3:A8"/>
    <mergeCell ref="C3:C8"/>
    <mergeCell ref="D3:D8"/>
    <mergeCell ref="E3:E8"/>
    <mergeCell ref="K3:K8"/>
    <mergeCell ref="L3:L8"/>
    <mergeCell ref="M3:M8"/>
    <mergeCell ref="N3:N8"/>
    <mergeCell ref="F3:F8"/>
    <mergeCell ref="F9:F16"/>
    <mergeCell ref="K9:K16"/>
    <mergeCell ref="L9:L16"/>
    <mergeCell ref="M9:M16"/>
    <mergeCell ref="N9:N16"/>
    <mergeCell ref="A9:A16"/>
    <mergeCell ref="B9:B16"/>
    <mergeCell ref="C9:C16"/>
    <mergeCell ref="D9:D16"/>
    <mergeCell ref="E9:E16"/>
    <mergeCell ref="F17:F21"/>
    <mergeCell ref="K17:K21"/>
    <mergeCell ref="L17:L21"/>
    <mergeCell ref="M17:M21"/>
    <mergeCell ref="N17:N21"/>
    <mergeCell ref="A17:A21"/>
    <mergeCell ref="B17:B21"/>
    <mergeCell ref="C17:C21"/>
    <mergeCell ref="D17:D21"/>
    <mergeCell ref="E17:E21"/>
    <mergeCell ref="F22:F30"/>
    <mergeCell ref="K22:K30"/>
    <mergeCell ref="L22:L30"/>
    <mergeCell ref="M22:M30"/>
    <mergeCell ref="N22:N30"/>
    <mergeCell ref="A22:A30"/>
    <mergeCell ref="B22:B30"/>
    <mergeCell ref="C22:C30"/>
    <mergeCell ref="D22:D30"/>
    <mergeCell ref="E22:E30"/>
    <mergeCell ref="F31:F34"/>
    <mergeCell ref="K31:K34"/>
    <mergeCell ref="L31:L34"/>
    <mergeCell ref="M31:M34"/>
    <mergeCell ref="N31:N34"/>
    <mergeCell ref="A31:A34"/>
    <mergeCell ref="B31:B34"/>
    <mergeCell ref="C31:C34"/>
    <mergeCell ref="D31:D34"/>
    <mergeCell ref="E31:E34"/>
    <mergeCell ref="F35:F41"/>
    <mergeCell ref="K35:K41"/>
    <mergeCell ref="L35:L41"/>
    <mergeCell ref="M35:M41"/>
    <mergeCell ref="N35:N41"/>
    <mergeCell ref="A35:A41"/>
    <mergeCell ref="B35:B41"/>
    <mergeCell ref="C35:C41"/>
    <mergeCell ref="D35:D41"/>
    <mergeCell ref="E35:E41"/>
    <mergeCell ref="F42:F45"/>
    <mergeCell ref="K42:K45"/>
    <mergeCell ref="L42:L45"/>
    <mergeCell ref="M42:M45"/>
    <mergeCell ref="N42:N45"/>
    <mergeCell ref="A42:A45"/>
    <mergeCell ref="B42:B45"/>
    <mergeCell ref="C42:C45"/>
    <mergeCell ref="D42:D45"/>
    <mergeCell ref="E42:E45"/>
    <mergeCell ref="F46:F51"/>
    <mergeCell ref="K46:K51"/>
    <mergeCell ref="L46:L51"/>
    <mergeCell ref="M46:M51"/>
    <mergeCell ref="N46:N51"/>
    <mergeCell ref="A46:A51"/>
    <mergeCell ref="B46:B51"/>
    <mergeCell ref="C46:C51"/>
    <mergeCell ref="D46:D51"/>
    <mergeCell ref="E46:E51"/>
    <mergeCell ref="F59:F65"/>
    <mergeCell ref="K59:K65"/>
    <mergeCell ref="L59:L65"/>
    <mergeCell ref="M59:M65"/>
    <mergeCell ref="N59:N65"/>
    <mergeCell ref="A59:A65"/>
    <mergeCell ref="B59:B65"/>
    <mergeCell ref="C59:C65"/>
    <mergeCell ref="D59:D65"/>
    <mergeCell ref="E59:E65"/>
    <mergeCell ref="F66:F74"/>
    <mergeCell ref="K66:K74"/>
    <mergeCell ref="L66:L74"/>
    <mergeCell ref="M66:M74"/>
    <mergeCell ref="N66:N74"/>
    <mergeCell ref="A66:A74"/>
    <mergeCell ref="B66:B74"/>
    <mergeCell ref="C66:C74"/>
    <mergeCell ref="D66:D74"/>
    <mergeCell ref="E66:E74"/>
    <mergeCell ref="F75:F83"/>
    <mergeCell ref="K75:K83"/>
    <mergeCell ref="L75:L83"/>
    <mergeCell ref="M75:M83"/>
    <mergeCell ref="N75:N83"/>
    <mergeCell ref="A75:A83"/>
    <mergeCell ref="B75:B83"/>
    <mergeCell ref="C75:C83"/>
    <mergeCell ref="D75:D83"/>
    <mergeCell ref="E75:E83"/>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10" zoomScale="90" zoomScaleNormal="100" zoomScaleSheetLayoutView="90" workbookViewId="0">
      <selection activeCell="F19" sqref="F19"/>
    </sheetView>
  </sheetViews>
  <sheetFormatPr defaultColWidth="9.125" defaultRowHeight="14.25"/>
  <cols>
    <col min="1" max="1" width="12.125" style="1771" customWidth="1"/>
    <col min="2" max="2" width="10.1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1" customWidth="1"/>
    <col min="11" max="16" width="10" style="1771" customWidth="1"/>
    <col min="17" max="17" width="2.625" style="1771" customWidth="1"/>
    <col min="18" max="18" width="9.375" style="1771" bestFit="1" customWidth="1"/>
    <col min="19" max="19" width="10.5" style="1771" bestFit="1" customWidth="1"/>
    <col min="20" max="16384" width="9.1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42" t="s">
        <v>1576</v>
      </c>
      <c r="B2" s="3342"/>
      <c r="C2" s="3342"/>
      <c r="D2" s="882" t="s">
        <v>1552</v>
      </c>
      <c r="E2" s="1772" t="s">
        <v>1553</v>
      </c>
      <c r="F2" s="2831"/>
      <c r="G2" s="2822"/>
      <c r="H2" s="2823"/>
      <c r="I2" s="2496" t="s">
        <v>1577</v>
      </c>
      <c r="J2" s="2831"/>
      <c r="K2" s="2831"/>
      <c r="L2" s="2831"/>
      <c r="M2" s="2831"/>
      <c r="N2" s="2833"/>
      <c r="O2" s="2831"/>
      <c r="P2" s="2831"/>
    </row>
    <row r="3" spans="1:16" ht="15.75" thickBot="1">
      <c r="A3" s="3343" t="s">
        <v>1550</v>
      </c>
      <c r="B3" s="3343"/>
      <c r="C3" s="3343"/>
      <c r="D3" s="46">
        <f>'数据-基础表'!AY6</f>
        <v>0</v>
      </c>
      <c r="E3" s="46">
        <f>'数据-基础表'!AZ5</f>
        <v>254.29000000000002</v>
      </c>
      <c r="F3" s="2831"/>
      <c r="G3" s="1257"/>
      <c r="H3" s="1135" t="s">
        <v>1551</v>
      </c>
      <c r="I3" s="942" t="e">
        <f>ROUND('数据-基础表'!B3/'数据-基础表'!A3,2)</f>
        <v>#DIV/0!</v>
      </c>
      <c r="J3" s="2831"/>
      <c r="K3" s="2831"/>
      <c r="L3" s="2831"/>
      <c r="M3" s="2831"/>
      <c r="N3" s="2833"/>
      <c r="O3" s="2831"/>
      <c r="P3" s="2831"/>
    </row>
    <row r="4" spans="1:16" ht="15">
      <c r="A4" s="3344"/>
      <c r="B4" s="3345"/>
      <c r="C4" s="3346"/>
      <c r="D4" s="1774" t="s">
        <v>1552</v>
      </c>
      <c r="E4" s="1775" t="s">
        <v>1553</v>
      </c>
      <c r="F4" s="2831"/>
      <c r="G4" s="2824" t="s">
        <v>1578</v>
      </c>
      <c r="H4" s="1135" t="s">
        <v>1558</v>
      </c>
      <c r="I4" s="942" t="e">
        <f>ROUND(SUMIF('数据-基础表'!I9:AS9,"地上",'数据-基础表'!I5:AS5)/'数据-基础表'!A3,2)</f>
        <v>#DIV/0!</v>
      </c>
      <c r="J4" s="2831"/>
      <c r="K4" s="2831"/>
      <c r="L4" s="2831"/>
      <c r="M4" s="2831"/>
      <c r="N4" s="2833"/>
      <c r="O4" s="2831"/>
      <c r="P4" s="2831"/>
    </row>
    <row r="5" spans="1:16">
      <c r="A5" s="47" t="s">
        <v>1554</v>
      </c>
      <c r="B5" s="3347" t="s">
        <v>1555</v>
      </c>
      <c r="C5" s="3347"/>
      <c r="D5" s="48">
        <f>ROUND($D$3*E5/$E$3,2)</f>
        <v>0</v>
      </c>
      <c r="E5" s="49">
        <f>SUMIF('数据-基础表'!$11:$11,"住宅",'数据-基础表'!$5:$5)</f>
        <v>0</v>
      </c>
      <c r="F5" s="2831"/>
      <c r="G5" s="1257"/>
      <c r="H5" s="1135" t="s">
        <v>1551</v>
      </c>
      <c r="I5" s="942" t="e">
        <f>ROUND(E31/D31,2)</f>
        <v>#DIV/0!</v>
      </c>
      <c r="J5" s="2831"/>
      <c r="K5" s="2831"/>
      <c r="L5" s="2831"/>
      <c r="M5" s="2831"/>
      <c r="N5" s="2831"/>
      <c r="O5" s="2831"/>
      <c r="P5" s="2831"/>
    </row>
    <row r="6" spans="1:16" ht="15" thickBot="1">
      <c r="A6" s="1777"/>
      <c r="B6" s="3347" t="s">
        <v>1556</v>
      </c>
      <c r="C6" s="3347"/>
      <c r="D6" s="48">
        <f>ROUND($D$3*E6/$E$3,2)</f>
        <v>0</v>
      </c>
      <c r="E6" s="49">
        <f>E3-E5</f>
        <v>254.29000000000002</v>
      </c>
      <c r="F6" s="2831"/>
      <c r="G6" s="2825" t="s">
        <v>1557</v>
      </c>
      <c r="H6" s="1258" t="s">
        <v>1558</v>
      </c>
      <c r="I6" s="2826" t="e">
        <f>ROUND(F31/D31,2)</f>
        <v>#DIV/0!</v>
      </c>
      <c r="J6" s="2831"/>
      <c r="K6" s="2831"/>
      <c r="L6" s="2831"/>
      <c r="M6" s="2831"/>
      <c r="N6" s="2831"/>
      <c r="O6" s="2831"/>
      <c r="P6" s="2831"/>
    </row>
    <row r="7" spans="1:16" ht="15.75" thickBot="1">
      <c r="A7" s="3339"/>
      <c r="B7" s="3340"/>
      <c r="C7" s="3341"/>
      <c r="D7" s="1774" t="s">
        <v>1552</v>
      </c>
      <c r="E7" s="1778" t="s">
        <v>1559</v>
      </c>
      <c r="F7" s="2831"/>
      <c r="G7" s="2827" t="s">
        <v>1560</v>
      </c>
      <c r="H7" s="2828"/>
      <c r="I7" s="2829"/>
      <c r="J7" s="2831"/>
      <c r="K7" s="2831"/>
      <c r="L7" s="2831"/>
      <c r="M7" s="2831"/>
      <c r="N7" s="2831"/>
      <c r="O7" s="2831"/>
      <c r="P7" s="2831"/>
    </row>
    <row r="8" spans="1:16">
      <c r="A8" s="47" t="s">
        <v>1561</v>
      </c>
      <c r="B8" s="50" t="s">
        <v>1562</v>
      </c>
      <c r="C8" s="48" t="s">
        <v>1563</v>
      </c>
      <c r="D8" s="48">
        <f t="shared" ref="D8:D15" si="0">ROUND($D$3*E8/$E$3,2)</f>
        <v>0</v>
      </c>
      <c r="E8" s="51">
        <f>SUMIF('数据-基础表'!BB10:BK10,"地上",'数据-基础表'!BB5:BK5)</f>
        <v>254.29000000000002</v>
      </c>
      <c r="F8" s="2831"/>
      <c r="G8" s="2832"/>
      <c r="H8" s="2832"/>
      <c r="I8" s="2831"/>
      <c r="J8" s="2831"/>
      <c r="K8" s="2831"/>
      <c r="L8" s="2831"/>
      <c r="M8" s="2831"/>
      <c r="N8" s="2831"/>
      <c r="O8" s="2831"/>
      <c r="P8" s="2831"/>
    </row>
    <row r="9" spans="1:16">
      <c r="A9" s="1779"/>
      <c r="B9" s="1780"/>
      <c r="C9" s="48" t="s">
        <v>1564</v>
      </c>
      <c r="D9" s="48">
        <f t="shared" si="0"/>
        <v>0</v>
      </c>
      <c r="E9" s="52">
        <v>0</v>
      </c>
      <c r="F9" s="2831"/>
      <c r="G9" s="2832"/>
      <c r="H9" s="2832"/>
      <c r="I9" s="2831"/>
      <c r="J9" s="2831"/>
      <c r="K9" s="2831"/>
      <c r="L9" s="2831"/>
      <c r="M9" s="2831"/>
      <c r="N9" s="2831"/>
      <c r="O9" s="2831"/>
      <c r="P9" s="2831"/>
    </row>
    <row r="10" spans="1:16">
      <c r="A10" s="1779"/>
      <c r="B10" s="1780"/>
      <c r="C10" s="48" t="s">
        <v>1573</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79"/>
      <c r="B11" s="1780"/>
      <c r="C11" s="48" t="s">
        <v>1565</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79"/>
      <c r="B12" s="1780"/>
      <c r="C12" s="48" t="s">
        <v>1566</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79"/>
      <c r="B13" s="1780"/>
      <c r="C13" s="48" t="s">
        <v>1567</v>
      </c>
      <c r="D13" s="48">
        <f t="shared" si="0"/>
        <v>0</v>
      </c>
      <c r="E13" s="51">
        <f>SUMPRODUCT(('数据-基础表'!BB10:BK10="地下")*('数据-基础表'!BB11:BK11="车库")*('数据-基础表'!BB5:BK5))</f>
        <v>0</v>
      </c>
      <c r="F13" s="2831"/>
      <c r="G13" s="2832"/>
      <c r="H13" s="2832"/>
      <c r="I13" s="2831"/>
      <c r="J13" s="2831"/>
      <c r="K13" s="2831"/>
      <c r="L13" s="2831"/>
      <c r="M13" s="2831"/>
      <c r="N13" s="2831"/>
      <c r="O13" s="2831"/>
      <c r="P13" s="2831"/>
    </row>
    <row r="14" spans="1:16">
      <c r="A14" s="1779"/>
      <c r="B14" s="1780"/>
      <c r="C14" s="48" t="s">
        <v>1579</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79"/>
      <c r="B15" s="1780"/>
      <c r="C15" s="48" t="s">
        <v>1574</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7"/>
      <c r="B16" s="1780"/>
      <c r="C16" s="50" t="s">
        <v>1568</v>
      </c>
      <c r="D16" s="50">
        <f>SUM(D8:D15)</f>
        <v>0</v>
      </c>
      <c r="E16" s="53">
        <f>SUM(E8:E15)</f>
        <v>254.29000000000002</v>
      </c>
      <c r="F16" s="2831"/>
      <c r="G16" s="2832"/>
      <c r="H16" s="1781" t="s">
        <v>1580</v>
      </c>
      <c r="I16" s="1782"/>
      <c r="J16" s="1251"/>
      <c r="K16" s="3336" t="s">
        <v>1580</v>
      </c>
      <c r="L16" s="3337"/>
      <c r="M16" s="3337"/>
      <c r="N16" s="3337"/>
      <c r="O16" s="3337"/>
      <c r="P16" s="3338"/>
    </row>
    <row r="17" spans="1:19" ht="15">
      <c r="A17" s="1783" t="s">
        <v>1581</v>
      </c>
      <c r="B17" s="1784" t="s">
        <v>1582</v>
      </c>
      <c r="C17" s="1785" t="s">
        <v>1583</v>
      </c>
      <c r="D17" s="1786" t="s">
        <v>1571</v>
      </c>
      <c r="E17" s="1787" t="s">
        <v>1572</v>
      </c>
      <c r="F17" s="1788"/>
      <c r="G17" s="1789"/>
      <c r="H17" s="1790" t="s">
        <v>1584</v>
      </c>
      <c r="I17" s="1791" t="s">
        <v>1569</v>
      </c>
      <c r="J17" s="1251"/>
      <c r="K17" s="3333" t="s">
        <v>1585</v>
      </c>
      <c r="L17" s="3334"/>
      <c r="M17" s="3335"/>
      <c r="N17" s="3333" t="s">
        <v>1586</v>
      </c>
      <c r="O17" s="3334"/>
      <c r="P17" s="3335"/>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28" t="s">
        <v>3193</v>
      </c>
      <c r="D19" s="48">
        <f>ROUND($D$3*E19/$E$3,2)</f>
        <v>0</v>
      </c>
      <c r="E19" s="56">
        <f t="shared" ref="E19:E26" si="1">SUM(F19:G19)</f>
        <v>254.29000000000002</v>
      </c>
      <c r="F19" s="2970">
        <f>'数据-基础表'!I13</f>
        <v>254.29000000000002</v>
      </c>
      <c r="G19" s="2971"/>
      <c r="H19" s="676">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0</v>
      </c>
      <c r="S19" s="1136">
        <f t="shared" si="5"/>
        <v>254.29000000000002</v>
      </c>
    </row>
    <row r="20" spans="1:19">
      <c r="A20" s="1804"/>
      <c r="B20" s="50" t="s">
        <v>1598</v>
      </c>
      <c r="C20" s="1801"/>
      <c r="D20" s="48">
        <f t="shared" ref="D20:D26" si="6">ROUND($D$3*E20/$E$3,2)</f>
        <v>0</v>
      </c>
      <c r="E20" s="56">
        <f t="shared" si="1"/>
        <v>0</v>
      </c>
      <c r="F20" s="2970"/>
      <c r="G20" s="2971"/>
      <c r="H20" s="676">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0</v>
      </c>
      <c r="S20" s="1136">
        <f t="shared" si="5"/>
        <v>0</v>
      </c>
    </row>
    <row r="21" spans="1:19">
      <c r="A21" s="1804"/>
      <c r="B21" s="50" t="s">
        <v>1598</v>
      </c>
      <c r="C21" s="1801"/>
      <c r="D21" s="48">
        <f t="shared" si="6"/>
        <v>0</v>
      </c>
      <c r="E21" s="56">
        <f t="shared" si="1"/>
        <v>0</v>
      </c>
      <c r="F21" s="2970"/>
      <c r="G21" s="2971"/>
      <c r="H21" s="676">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1598</v>
      </c>
      <c r="C22" s="58"/>
      <c r="D22" s="48">
        <f t="shared" si="6"/>
        <v>0</v>
      </c>
      <c r="E22" s="56">
        <f t="shared" si="1"/>
        <v>0</v>
      </c>
      <c r="F22" s="2972"/>
      <c r="G22" s="2973"/>
      <c r="H22" s="676">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1598</v>
      </c>
      <c r="C23" s="58"/>
      <c r="D23" s="48">
        <f>ROUND($D$3*E23/$E$3,2)</f>
        <v>0</v>
      </c>
      <c r="E23" s="56">
        <f>SUM(F23:G23)</f>
        <v>0</v>
      </c>
      <c r="F23" s="2972"/>
      <c r="G23" s="2973"/>
      <c r="H23" s="676">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1598</v>
      </c>
      <c r="C24" s="58"/>
      <c r="D24" s="48">
        <f>ROUND($D$3*E24/$E$3,2)</f>
        <v>0</v>
      </c>
      <c r="E24" s="56">
        <f>SUM(F24:G24)</f>
        <v>0</v>
      </c>
      <c r="F24" s="2972"/>
      <c r="G24" s="2973"/>
      <c r="H24" s="676">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1598</v>
      </c>
      <c r="C25" s="58"/>
      <c r="D25" s="48">
        <f t="shared" si="6"/>
        <v>0</v>
      </c>
      <c r="E25" s="56">
        <f t="shared" si="1"/>
        <v>0</v>
      </c>
      <c r="F25" s="2972"/>
      <c r="G25" s="2973"/>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1598</v>
      </c>
      <c r="C26" s="59"/>
      <c r="D26" s="48">
        <f t="shared" si="6"/>
        <v>0</v>
      </c>
      <c r="E26" s="56">
        <f t="shared" si="1"/>
        <v>0</v>
      </c>
      <c r="F26" s="2972"/>
      <c r="G26" s="2973"/>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1599</v>
      </c>
      <c r="D27" s="1252">
        <f>SUM(D19:D26)</f>
        <v>0</v>
      </c>
      <c r="E27" s="1253">
        <f>IF(SUM(E19:E26)='数据-基础表'!BA5,SUM(E19:E26),IF(F27="地上面积有误","面积有误","地下面积有误"))</f>
        <v>254.29000000000002</v>
      </c>
      <c r="F27" s="1252">
        <f>IF(SUM(F19:F26)=E8,SUM(F19:F26),"地上面积有误")</f>
        <v>254.29000000000002</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0</v>
      </c>
      <c r="S27" s="1135">
        <f>IF(SUM(S19:S26)=$E$3,SUM(S19:S26),SUM(S19:S26)&amp;"误差"&amp;ROUND(SUM(S19:S26)-E3,2))</f>
        <v>254.29000000000002</v>
      </c>
    </row>
    <row r="28" spans="1:19">
      <c r="A28" s="1804"/>
      <c r="B28" s="50" t="s">
        <v>1600</v>
      </c>
      <c r="C28" s="1147" t="s">
        <v>1601</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4"/>
      <c r="B29" s="50" t="s">
        <v>1600</v>
      </c>
      <c r="C29" s="1808" t="s">
        <v>1602</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4"/>
      <c r="B30" s="50"/>
      <c r="C30" s="1809" t="s">
        <v>1599</v>
      </c>
      <c r="D30" s="1252">
        <f>SUM(D28:D29)</f>
        <v>0</v>
      </c>
      <c r="E30" s="1252">
        <f>SUM(E28:E29)</f>
        <v>0</v>
      </c>
      <c r="F30" s="1252">
        <f>SUM(F28:F29)</f>
        <v>0</v>
      </c>
      <c r="G30" s="1254">
        <f>SUM(G28:G29)</f>
        <v>0</v>
      </c>
      <c r="H30" s="2831"/>
      <c r="I30" s="2831"/>
      <c r="J30" s="2831"/>
      <c r="K30" s="2831"/>
      <c r="L30" s="2831"/>
      <c r="M30" s="2831"/>
      <c r="N30" s="2831"/>
      <c r="O30" s="2831"/>
      <c r="P30" s="2831"/>
    </row>
    <row r="31" spans="1:19" ht="15.75" thickBot="1">
      <c r="A31" s="1810"/>
      <c r="B31" s="1811"/>
      <c r="C31" s="922" t="s">
        <v>1603</v>
      </c>
      <c r="D31" s="682">
        <f>D27+D30</f>
        <v>0</v>
      </c>
      <c r="E31" s="682">
        <f>E27+E30</f>
        <v>254.29000000000002</v>
      </c>
      <c r="F31" s="683">
        <f>F27+F30</f>
        <v>254.29000000000002</v>
      </c>
      <c r="G31" s="684">
        <f>G27+G30</f>
        <v>0</v>
      </c>
      <c r="H31" s="2831"/>
      <c r="I31" s="2831"/>
      <c r="J31" s="2831"/>
      <c r="K31" s="2831"/>
      <c r="L31" s="2831"/>
      <c r="M31" s="2831"/>
      <c r="N31" s="2831"/>
      <c r="O31" s="2831"/>
      <c r="P31" s="2831"/>
    </row>
    <row r="32" spans="1:19">
      <c r="A32" s="1776"/>
      <c r="B32" s="1776" t="s">
        <v>1604</v>
      </c>
      <c r="C32" s="1776"/>
      <c r="D32" s="1776"/>
      <c r="E32" s="1162">
        <f>SUMIF(C19:C26,"*住宅*",E19:E26)</f>
        <v>0</v>
      </c>
      <c r="F32" s="1776"/>
      <c r="G32" s="1776"/>
      <c r="H32" s="2831"/>
      <c r="I32" s="2831"/>
      <c r="J32" s="2831"/>
      <c r="K32" s="2831"/>
      <c r="L32" s="2831"/>
      <c r="M32" s="2831"/>
      <c r="N32" s="2831"/>
      <c r="O32" s="2831"/>
      <c r="P32" s="2831"/>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A27" sqref="AA27"/>
    </sheetView>
  </sheetViews>
  <sheetFormatPr defaultColWidth="13.625" defaultRowHeight="12.75"/>
  <cols>
    <col min="1" max="1" width="20.875" style="1879" customWidth="1"/>
    <col min="2" max="2" width="12" style="1816" customWidth="1"/>
    <col min="3" max="3" width="12.62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625" style="1816" customWidth="1"/>
    <col min="31" max="31" width="8" style="1816" customWidth="1"/>
    <col min="32" max="34" width="7.125" style="1816" customWidth="1"/>
    <col min="35" max="39" width="8" style="1816" customWidth="1"/>
    <col min="40" max="40" width="13.625" style="1815"/>
    <col min="41" max="41" width="11.625" style="1815" customWidth="1"/>
    <col min="42" max="42" width="9.625" style="1815" customWidth="1"/>
    <col min="43" max="67" width="13.625" style="1815"/>
    <col min="68" max="16384" width="13.625" style="1816"/>
  </cols>
  <sheetData>
    <row r="1" spans="1:67" ht="19.5" thickBot="1">
      <c r="A1" s="1813" t="s">
        <v>1605</v>
      </c>
      <c r="B1" s="685"/>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4"/>
      <c r="AO1" s="2844"/>
      <c r="AP1" s="2844"/>
      <c r="AQ1" s="2844"/>
      <c r="AR1" s="2844"/>
    </row>
    <row r="2" spans="1:67" s="1692" customFormat="1" ht="15.75" thickBot="1">
      <c r="A2" s="1817" t="s">
        <v>1606</v>
      </c>
      <c r="B2" s="1154">
        <f>项目基本情况!D3</f>
        <v>44698</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6"/>
      <c r="AO2" s="2846"/>
      <c r="AP2" s="2846"/>
      <c r="AQ2" s="2846"/>
      <c r="AR2" s="2846"/>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6"/>
      <c r="AO3" s="2846"/>
      <c r="AP3" s="2846"/>
      <c r="AQ3" s="2846"/>
      <c r="AR3" s="2846"/>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1607</v>
      </c>
      <c r="B4" s="1822"/>
      <c r="C4" s="1823"/>
      <c r="D4" s="1824"/>
      <c r="E4" s="1823" t="s">
        <v>1608</v>
      </c>
      <c r="F4" s="1823"/>
      <c r="G4" s="1823"/>
      <c r="H4" s="1823"/>
      <c r="I4" s="1823"/>
      <c r="J4" s="1825"/>
      <c r="K4" s="1826"/>
      <c r="L4" s="1827"/>
      <c r="M4" s="1823"/>
      <c r="N4" s="1823" t="s">
        <v>1609</v>
      </c>
      <c r="O4" s="1823"/>
      <c r="P4" s="1823"/>
      <c r="Q4" s="1823"/>
      <c r="R4" s="1823"/>
      <c r="S4" s="1825"/>
      <c r="T4" s="2830" t="str">
        <f>'数据-汇总表'!I17</f>
        <v>按面积比例</v>
      </c>
      <c r="U4" s="1822" t="s">
        <v>1610</v>
      </c>
      <c r="V4" s="1823"/>
      <c r="W4" s="1823"/>
      <c r="X4" s="1823"/>
      <c r="Y4" s="1825"/>
      <c r="Z4" s="1785" t="s">
        <v>1611</v>
      </c>
      <c r="AA4" s="1785"/>
      <c r="AB4" s="1785"/>
      <c r="AC4" s="1785"/>
      <c r="AD4" s="1785"/>
      <c r="AE4" s="1783" t="s">
        <v>1612</v>
      </c>
      <c r="AF4" s="1785"/>
      <c r="AG4" s="1828"/>
      <c r="AH4" s="1822"/>
      <c r="AI4" s="1823"/>
      <c r="AJ4" s="1823"/>
      <c r="AK4" s="1823"/>
      <c r="AL4" s="1823"/>
      <c r="AM4" s="1825"/>
      <c r="AN4" s="2846"/>
      <c r="AO4" s="2846"/>
      <c r="AP4" s="2846"/>
      <c r="AQ4" s="2846"/>
      <c r="AR4" s="2846"/>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1613</v>
      </c>
      <c r="B5" s="1830" t="s">
        <v>1614</v>
      </c>
      <c r="C5" s="1831" t="s">
        <v>1615</v>
      </c>
      <c r="D5" s="1832" t="s">
        <v>1616</v>
      </c>
      <c r="E5" s="1156" t="s">
        <v>1617</v>
      </c>
      <c r="F5" s="1833" t="s">
        <v>1618</v>
      </c>
      <c r="G5" s="1156" t="s">
        <v>1619</v>
      </c>
      <c r="H5" s="1156" t="s">
        <v>1620</v>
      </c>
      <c r="I5" s="1156" t="s">
        <v>1621</v>
      </c>
      <c r="J5" s="1834" t="s">
        <v>1622</v>
      </c>
      <c r="K5" s="1835" t="s">
        <v>1623</v>
      </c>
      <c r="L5" s="1836" t="s">
        <v>1624</v>
      </c>
      <c r="M5" s="1837" t="s">
        <v>1625</v>
      </c>
      <c r="N5" s="1838" t="s">
        <v>3194</v>
      </c>
      <c r="O5" s="1836" t="s">
        <v>1626</v>
      </c>
      <c r="P5" s="1839" t="s">
        <v>1627</v>
      </c>
      <c r="Q5" s="65" t="s">
        <v>1628</v>
      </c>
      <c r="R5" s="1840" t="s">
        <v>1629</v>
      </c>
      <c r="S5" s="1841" t="s">
        <v>1630</v>
      </c>
      <c r="T5" s="1842" t="s">
        <v>1631</v>
      </c>
      <c r="U5" s="1155" t="s">
        <v>1632</v>
      </c>
      <c r="V5" s="1156" t="s">
        <v>1633</v>
      </c>
      <c r="W5" s="1156" t="s">
        <v>1634</v>
      </c>
      <c r="X5" s="67"/>
      <c r="Y5" s="66" t="s">
        <v>1635</v>
      </c>
      <c r="Z5" s="1843" t="s">
        <v>1632</v>
      </c>
      <c r="AA5" s="1156" t="s">
        <v>1633</v>
      </c>
      <c r="AB5" s="1156" t="s">
        <v>1634</v>
      </c>
      <c r="AC5" s="67"/>
      <c r="AD5" s="67" t="s">
        <v>1635</v>
      </c>
      <c r="AE5" s="1155" t="s">
        <v>1636</v>
      </c>
      <c r="AF5" s="1156" t="s">
        <v>1637</v>
      </c>
      <c r="AG5" s="66" t="s">
        <v>1638</v>
      </c>
      <c r="AH5" s="1155" t="s">
        <v>1639</v>
      </c>
      <c r="AI5" s="1843" t="s">
        <v>1640</v>
      </c>
      <c r="AJ5" s="1843" t="s">
        <v>1641</v>
      </c>
      <c r="AK5" s="1156" t="s">
        <v>1642</v>
      </c>
      <c r="AL5" s="1156" t="s">
        <v>1643</v>
      </c>
      <c r="AM5" s="66" t="s">
        <v>1644</v>
      </c>
      <c r="AN5" s="1844" t="s">
        <v>1645</v>
      </c>
      <c r="AO5" s="1695" t="s">
        <v>1646</v>
      </c>
      <c r="AP5" s="1137" t="s">
        <v>1647</v>
      </c>
      <c r="AQ5" s="1845" t="s">
        <v>1648</v>
      </c>
      <c r="AR5" s="1845"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商铺</v>
      </c>
      <c r="B6" s="1847" t="str">
        <f>IF(A6=0,"","经营性")</f>
        <v>经营性</v>
      </c>
      <c r="C6" s="1848" t="s">
        <v>1102</v>
      </c>
      <c r="D6" s="945">
        <f>SUMIF(项目基本情况!D$12:I$12,C6,项目基本情况!D$14:I$14)</f>
        <v>40</v>
      </c>
      <c r="E6" s="944">
        <f>IF(B6="","",SUMIF(项目基本情况!D$12:I$12,C6,项目基本情况!D$13:I$13))</f>
        <v>58150</v>
      </c>
      <c r="F6" s="68">
        <f>SUMIF(项目基本情况!D$12:I$12,C6,项目基本情况!D$15:I$15)</f>
        <v>36.85</v>
      </c>
      <c r="G6" s="69">
        <f>IF(ISERROR(ROUND(POWER(1+H6,D6-F6)*(POWER(1+H6,F6)-1)/(POWER(1+H6,D6)-1),3)),0,ROUND(POWER(1+H6,D6-F6)*(POWER(1+H6,F6)-1)/(POWER(1+H6,D6)-1),3))</f>
        <v>0.97199999999999998</v>
      </c>
      <c r="H6" s="3246">
        <v>0.05</v>
      </c>
      <c r="I6" s="3246">
        <v>5.5E-2</v>
      </c>
      <c r="J6" s="70">
        <v>7.0000000000000007E-2</v>
      </c>
      <c r="K6" s="1139">
        <f>SUMIF('数据-汇总表'!C$19:C$33,A6,'数据-汇总表'!E$19:E$33)</f>
        <v>254.29000000000002</v>
      </c>
      <c r="L6" s="739">
        <v>2600</v>
      </c>
      <c r="M6" s="71">
        <f t="shared" ref="M6:M14" si="0">ROUND(K6*L6/10000,0)</f>
        <v>66</v>
      </c>
      <c r="N6" s="3245">
        <f>(ROUND((1-0%)-(2022-1993)/60,2)+68%)/2</f>
        <v>0.60000000000000009</v>
      </c>
      <c r="O6" s="71" t="str">
        <f>IF($N$5="成新度","——",ROUND(M6*N6,0))</f>
        <v>——</v>
      </c>
      <c r="P6" s="72" t="str">
        <f>IF($N$5="成新度","——",M6-O6)</f>
        <v>——</v>
      </c>
      <c r="Q6" s="3247">
        <v>0.15</v>
      </c>
      <c r="R6" s="73">
        <f ca="1">SUMIF('数据-汇总表'!C$19:C$33,A6,'数据-汇总表'!R$19:R$27)</f>
        <v>0</v>
      </c>
      <c r="S6" s="54">
        <f>IF('数据-汇总表'!$I$17="按面积比例",SUMIF('数据-汇总表'!C$19:C$33,A6,'数据-汇总表'!K$19:K$33),SUMIF('数据-汇总表'!C$19:C$33,A6,'数据-汇总表'!N$19:N$33))</f>
        <v>0</v>
      </c>
      <c r="T6" s="1284">
        <f>ROUND($L$14*S6/10000,0)</f>
        <v>0</v>
      </c>
      <c r="U6" s="3248">
        <f>W19</f>
        <v>2</v>
      </c>
      <c r="V6" s="75">
        <v>0.02</v>
      </c>
      <c r="W6" s="75">
        <v>0.15</v>
      </c>
      <c r="X6" s="1149"/>
      <c r="Y6" s="76">
        <f>N6</f>
        <v>0.60000000000000009</v>
      </c>
      <c r="Z6" s="77"/>
      <c r="AA6" s="70"/>
      <c r="AB6" s="70"/>
      <c r="AC6" s="1149"/>
      <c r="AD6" s="78"/>
      <c r="AE6" s="1150">
        <f ca="1">IF(AN6="",0,SUMIF(INDIRECT("'"&amp;AN6&amp;"'"&amp;"!E:E"),$AE$5,INDIRECT("'"&amp;AN6&amp;"'"&amp;"!F:F")))</f>
        <v>31</v>
      </c>
      <c r="AF6" s="1480"/>
      <c r="AG6" s="143">
        <f>IF(AF6="",0,AE6-AF6)</f>
        <v>0</v>
      </c>
      <c r="AH6" s="79"/>
      <c r="AI6" s="81">
        <v>365</v>
      </c>
      <c r="AJ6" s="82"/>
      <c r="AK6" s="3250">
        <v>0.02</v>
      </c>
      <c r="AL6" s="84">
        <v>1.5E-3</v>
      </c>
      <c r="AM6" s="85">
        <v>0.01</v>
      </c>
      <c r="AN6" s="1849" t="s">
        <v>3289</v>
      </c>
      <c r="AO6" s="55">
        <f ca="1">SUMIF(INDIRECT("'"&amp;AN6&amp;"'"&amp;"!A:A"),"总价",INDIRECT("'"&amp;AN6&amp;"'"&amp;"!B:B"))</f>
        <v>203</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f>'数据-汇总表'!C20</f>
        <v>0</v>
      </c>
      <c r="B7" s="1847" t="str">
        <f t="shared" ref="B7:B13" si="1">IF(A7=0,"","经营性")</f>
        <v/>
      </c>
      <c r="C7" s="1848"/>
      <c r="D7" s="945">
        <f>SUMIF(项目基本情况!D$12:I$12,C7,项目基本情况!D$14:I$14)</f>
        <v>0</v>
      </c>
      <c r="E7" s="94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39">
        <f>SUMIF('数据-汇总表'!C$19:C$33,A7,'数据-汇总表'!E$19:E$33)</f>
        <v>0</v>
      </c>
      <c r="L7" s="739"/>
      <c r="M7" s="71">
        <f t="shared" si="0"/>
        <v>0</v>
      </c>
      <c r="N7" s="737"/>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284">
        <f t="shared" ref="T7:T13" si="5">ROUND($L$14*S7/10000,0)</f>
        <v>0</v>
      </c>
      <c r="U7" s="74"/>
      <c r="V7" s="75"/>
      <c r="W7" s="75"/>
      <c r="X7" s="1149"/>
      <c r="Y7" s="76"/>
      <c r="Z7" s="77"/>
      <c r="AA7" s="70"/>
      <c r="AB7" s="70"/>
      <c r="AC7" s="1149"/>
      <c r="AD7" s="78"/>
      <c r="AE7" s="1150">
        <f t="shared" ref="AE7:AE13" ca="1" si="6">IF(AN7="",0,SUMIF(INDIRECT("'"&amp;AN7&amp;"'"&amp;"!E:E"),$AE$5,INDIRECT("'"&amp;AN7&amp;"'"&amp;"!F:F")))</f>
        <v>0</v>
      </c>
      <c r="AF7" s="1480"/>
      <c r="AG7" s="143">
        <f t="shared" ref="AG7:AG13" si="7">IF(AF7="",0,AE7-AF7)</f>
        <v>0</v>
      </c>
      <c r="AH7" s="79"/>
      <c r="AI7" s="81"/>
      <c r="AJ7" s="82"/>
      <c r="AK7" s="83"/>
      <c r="AL7" s="84"/>
      <c r="AM7" s="85"/>
      <c r="AN7" s="1849"/>
      <c r="AO7" s="55" t="e">
        <f t="shared" ref="AO7:AO13" ca="1" si="8">SUMIF(INDIRECT("'"&amp;AN7&amp;"'"&amp;"!A:A"),"总价",INDIRECT("'"&amp;AN7&amp;"'"&amp;"!B:B"))</f>
        <v>#REF!</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hidden="1">
      <c r="A8" s="1846">
        <f>'数据-汇总表'!C21</f>
        <v>0</v>
      </c>
      <c r="B8" s="1847" t="str">
        <f t="shared" si="1"/>
        <v/>
      </c>
      <c r="C8" s="1848"/>
      <c r="D8" s="945">
        <f>SUMIF(项目基本情况!D$12:I$12,C8,项目基本情况!D$14:I$14)</f>
        <v>0</v>
      </c>
      <c r="E8" s="944" t="str">
        <f>IF(B8="","",SUMIF(项目基本情况!D$12:I$12,C8,项目基本情况!D$13:I$13))</f>
        <v/>
      </c>
      <c r="F8" s="68">
        <f>SUMIF(项目基本情况!D$12:I$12,C8,项目基本情况!D$15:I$15)</f>
        <v>0</v>
      </c>
      <c r="G8" s="69">
        <f t="shared" si="2"/>
        <v>0</v>
      </c>
      <c r="H8" s="738"/>
      <c r="I8" s="738"/>
      <c r="J8" s="70"/>
      <c r="K8" s="1139">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4">
        <f t="shared" si="5"/>
        <v>0</v>
      </c>
      <c r="U8" s="741"/>
      <c r="V8" s="742"/>
      <c r="W8" s="742"/>
      <c r="X8" s="1149"/>
      <c r="Y8" s="743"/>
      <c r="Z8" s="77"/>
      <c r="AA8" s="70"/>
      <c r="AB8" s="70"/>
      <c r="AC8" s="1149"/>
      <c r="AD8" s="78"/>
      <c r="AE8" s="1150">
        <f t="shared" ca="1" si="6"/>
        <v>0</v>
      </c>
      <c r="AF8" s="1480"/>
      <c r="AG8" s="143">
        <f t="shared" si="7"/>
        <v>0</v>
      </c>
      <c r="AH8" s="744"/>
      <c r="AI8" s="81"/>
      <c r="AJ8" s="82"/>
      <c r="AK8" s="745"/>
      <c r="AL8" s="746"/>
      <c r="AM8" s="747"/>
      <c r="AN8" s="1849"/>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hidden="1">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hidden="1">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hidden="1">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hidden="1">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hidden="1">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1650</v>
      </c>
      <c r="B14" s="1847" t="s">
        <v>1651</v>
      </c>
      <c r="C14" s="1852" t="s">
        <v>1650</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6"/>
      <c r="V14" s="1144"/>
      <c r="W14" s="1144"/>
      <c r="X14" s="1145"/>
      <c r="Y14" s="1146"/>
      <c r="Z14" s="1147"/>
      <c r="AA14" s="1148"/>
      <c r="AB14" s="1148"/>
      <c r="AC14" s="1149"/>
      <c r="AD14" s="1145"/>
      <c r="AE14" s="1150"/>
      <c r="AF14" s="55"/>
      <c r="AG14" s="143"/>
      <c r="AH14" s="1150"/>
      <c r="AI14" s="1489"/>
      <c r="AJ14" s="710"/>
      <c r="AK14" s="1151"/>
      <c r="AL14" s="1152"/>
      <c r="AM14" s="1153"/>
      <c r="AN14" s="2844"/>
      <c r="AO14" s="2846"/>
      <c r="AP14" s="2846"/>
      <c r="AQ14" s="2846"/>
      <c r="AR14" s="2846"/>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1652</v>
      </c>
      <c r="B15" s="1847" t="s">
        <v>1651</v>
      </c>
      <c r="C15" s="1852"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6"/>
      <c r="V15" s="1144"/>
      <c r="W15" s="1144"/>
      <c r="X15" s="1145"/>
      <c r="Y15" s="1146"/>
      <c r="Z15" s="1147"/>
      <c r="AA15" s="1148"/>
      <c r="AB15" s="1148"/>
      <c r="AC15" s="1149"/>
      <c r="AD15" s="1145"/>
      <c r="AE15" s="1150"/>
      <c r="AF15" s="55"/>
      <c r="AG15" s="143"/>
      <c r="AH15" s="1150"/>
      <c r="AI15" s="1489"/>
      <c r="AJ15" s="710"/>
      <c r="AK15" s="1151"/>
      <c r="AL15" s="1152"/>
      <c r="AM15" s="1153"/>
      <c r="AN15" s="2844"/>
      <c r="AO15" s="2846"/>
      <c r="AP15" s="2846"/>
      <c r="AQ15" s="2846"/>
      <c r="AR15" s="2846"/>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1654</v>
      </c>
      <c r="B16" s="93"/>
      <c r="C16" s="920"/>
      <c r="D16" s="1854"/>
      <c r="E16" s="93"/>
      <c r="F16" s="93"/>
      <c r="G16" s="94">
        <f>ROUND(SUMPRODUCT(G6:G13,K6:K13)/SUMPRODUCT((G6:G13&gt;0)*(K6:K13)),3)</f>
        <v>0.97199999999999998</v>
      </c>
      <c r="H16" s="95">
        <f>ROUND(SUMPRODUCT(H6:H13,K6:K13)/SUMPRODUCT((H6:H13&gt;0)*(K6:K13)),3)</f>
        <v>0.05</v>
      </c>
      <c r="I16" s="96"/>
      <c r="J16" s="96"/>
      <c r="K16" s="97">
        <f>SUM(K6:K15)</f>
        <v>254.29000000000002</v>
      </c>
      <c r="L16" s="98">
        <f>ROUND(M16*10000/SUM(K6:K14),0)</f>
        <v>2595</v>
      </c>
      <c r="M16" s="98">
        <f>SUM(M6:M14)</f>
        <v>66</v>
      </c>
      <c r="N16" s="99">
        <f>ROUND(SUMPRODUCT(M6:M14,N6:N14)/M16,3)</f>
        <v>0.6</v>
      </c>
      <c r="O16" s="98">
        <f>SUM(O6:O14)</f>
        <v>0</v>
      </c>
      <c r="P16" s="98">
        <f>SUM(P6:P14)</f>
        <v>0</v>
      </c>
      <c r="Q16" s="100">
        <f>ROUND(SUMPRODUCT(Q6:Q13,K6:K13)/SUMPRODUCT((Q6:Q13&gt;0)*(K6:K13)),2)</f>
        <v>0.15</v>
      </c>
      <c r="R16" s="114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1655</v>
      </c>
      <c r="B18" s="2858"/>
      <c r="C18" s="2846"/>
      <c r="D18" s="2849"/>
      <c r="E18" s="2846"/>
      <c r="F18" s="2846"/>
      <c r="G18" s="2846"/>
      <c r="H18" s="2846"/>
      <c r="I18" s="2846"/>
      <c r="J18" s="2846"/>
      <c r="K18" s="2845"/>
      <c r="L18" s="2845"/>
      <c r="M18" s="2844"/>
      <c r="N18" s="2844"/>
      <c r="O18" s="2844"/>
      <c r="P18" s="2844"/>
      <c r="Q18" s="2844">
        <f>Q16/B20</f>
        <v>9.9999999999999992E-2</v>
      </c>
      <c r="R18" s="2844"/>
      <c r="S18" s="2844"/>
      <c r="T18" s="2844"/>
      <c r="U18" s="3229" t="s">
        <v>2829</v>
      </c>
      <c r="V18" s="3229" t="s">
        <v>3203</v>
      </c>
      <c r="W18" s="3229" t="s">
        <v>3204</v>
      </c>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6" t="s">
        <v>1656</v>
      </c>
      <c r="B19" s="108">
        <v>0</v>
      </c>
      <c r="C19" s="2974" t="s">
        <v>2801</v>
      </c>
      <c r="D19" s="2849"/>
      <c r="E19" s="2846"/>
      <c r="F19" s="2846"/>
      <c r="G19" s="2846"/>
      <c r="H19" s="2846"/>
      <c r="I19" s="2846"/>
      <c r="J19" s="2846"/>
      <c r="K19" s="2845"/>
      <c r="L19" s="2845"/>
      <c r="M19" s="2844"/>
      <c r="N19" s="2844"/>
      <c r="O19" s="2844"/>
      <c r="P19" s="2844"/>
      <c r="Q19" s="2844"/>
      <c r="R19" s="2844"/>
      <c r="S19" s="2844"/>
      <c r="T19" s="2844" t="s">
        <v>3200</v>
      </c>
      <c r="U19" s="2844">
        <f>Sheet3!J3</f>
        <v>254.29000000000002</v>
      </c>
      <c r="V19" s="2844">
        <v>1</v>
      </c>
      <c r="W19" s="3249">
        <v>2</v>
      </c>
      <c r="X19" s="2844">
        <f>U19*W19</f>
        <v>508.58000000000004</v>
      </c>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7" t="s">
        <v>1657</v>
      </c>
      <c r="B20" s="109">
        <v>1.5</v>
      </c>
      <c r="C20" s="2975" t="s">
        <v>2799</v>
      </c>
      <c r="D20" s="2849"/>
      <c r="E20" s="2846"/>
      <c r="F20" s="2846"/>
      <c r="G20" s="2846"/>
      <c r="H20" s="2846"/>
      <c r="I20" s="2846"/>
      <c r="J20" s="2846"/>
      <c r="K20" s="2845"/>
      <c r="L20" s="2845"/>
      <c r="M20" s="2844"/>
      <c r="N20" s="2844"/>
      <c r="O20" s="2844"/>
      <c r="P20" s="2844"/>
      <c r="Q20" s="2844"/>
      <c r="R20" s="2844"/>
      <c r="S20" s="2844"/>
      <c r="T20" s="2844" t="s">
        <v>3201</v>
      </c>
      <c r="U20" s="3230">
        <f>Sheet3!J4+Sheet3!J5+Sheet3!J6+Sheet3!J7</f>
        <v>858.24</v>
      </c>
      <c r="V20" s="3249">
        <v>0.65</v>
      </c>
      <c r="W20" s="2844">
        <f>W19*V20</f>
        <v>1.3</v>
      </c>
      <c r="X20" s="2844">
        <f>U20*W20</f>
        <v>1115.712</v>
      </c>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58" t="s">
        <v>1658</v>
      </c>
      <c r="B21" s="109">
        <v>1.5</v>
      </c>
      <c r="C21" s="2846"/>
      <c r="D21" s="2849"/>
      <c r="E21" s="2846"/>
      <c r="F21" s="2846"/>
      <c r="G21" s="2846"/>
      <c r="H21" s="2846"/>
      <c r="I21" s="2846"/>
      <c r="J21" s="2846"/>
      <c r="K21" s="2845"/>
      <c r="L21" s="2845"/>
      <c r="M21" s="2844"/>
      <c r="N21" s="2844"/>
      <c r="O21" s="2844"/>
      <c r="P21" s="2844"/>
      <c r="Q21" s="2844"/>
      <c r="R21" s="2844"/>
      <c r="S21" s="2844"/>
      <c r="T21" s="2844" t="s">
        <v>3202</v>
      </c>
      <c r="U21" s="2844">
        <f>Sheet3!J8</f>
        <v>138.69999999999999</v>
      </c>
      <c r="V21" s="3249">
        <v>0.55000000000000004</v>
      </c>
      <c r="W21" s="2844">
        <f>W19*V21</f>
        <v>1.1000000000000001</v>
      </c>
      <c r="X21" s="2844">
        <f>U21*W21</f>
        <v>152.57</v>
      </c>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7" t="s">
        <v>1659</v>
      </c>
      <c r="B22" s="110">
        <f>B19+B20</f>
        <v>1.5</v>
      </c>
      <c r="C22" s="2846"/>
      <c r="D22" s="2849"/>
      <c r="E22" s="2846"/>
      <c r="F22" s="2846"/>
      <c r="G22" s="2846"/>
      <c r="H22" s="2846"/>
      <c r="I22" s="2846"/>
      <c r="J22" s="2846"/>
      <c r="K22" s="2845"/>
      <c r="L22" s="2845"/>
      <c r="M22" s="2844"/>
      <c r="N22" s="2844"/>
      <c r="O22" s="2844"/>
      <c r="P22" s="2844"/>
      <c r="Q22" s="2844"/>
      <c r="R22" s="2844"/>
      <c r="S22" s="2844"/>
      <c r="T22" s="2844"/>
      <c r="U22" s="3230">
        <f>U19+U20+U21</f>
        <v>1251.23</v>
      </c>
      <c r="V22" s="2844"/>
      <c r="W22" s="2844">
        <f>X22/U22</f>
        <v>1.4200922292464213</v>
      </c>
      <c r="X22" s="2844">
        <f>X19+X20+X21</f>
        <v>1776.8619999999999</v>
      </c>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58" t="s">
        <v>1660</v>
      </c>
      <c r="B23" s="110">
        <f>B19+B21</f>
        <v>1.5</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59" t="s">
        <v>1661</v>
      </c>
      <c r="B24" s="111">
        <f>B20-B21</f>
        <v>0</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0"/>
      <c r="B25" s="1821"/>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7" t="s">
        <v>1662</v>
      </c>
      <c r="B26" s="1860" t="s">
        <v>1663</v>
      </c>
      <c r="C26" s="2850" t="s">
        <v>1664</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2" customFormat="1" ht="27.75">
      <c r="A27" s="1861" t="s">
        <v>1665</v>
      </c>
      <c r="B27" s="112">
        <v>65</v>
      </c>
      <c r="C27" s="2976" t="s">
        <v>2803</v>
      </c>
      <c r="D27" s="2852"/>
      <c r="E27" s="2833"/>
      <c r="F27" s="2833"/>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1666</v>
      </c>
      <c r="B28" s="115">
        <v>65</v>
      </c>
      <c r="C28" s="2853"/>
      <c r="D28" s="2852"/>
      <c r="E28" s="2833"/>
      <c r="F28" s="2833"/>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1667</v>
      </c>
      <c r="B29" s="117"/>
      <c r="C29" s="2977" t="s">
        <v>2790</v>
      </c>
      <c r="D29" s="2852"/>
      <c r="E29" s="2833"/>
      <c r="F29" s="2833"/>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1668</v>
      </c>
      <c r="B30" s="677">
        <v>200</v>
      </c>
      <c r="C30" s="2853"/>
      <c r="D30" s="2852"/>
      <c r="E30" s="2833"/>
      <c r="F30" s="2833"/>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1669</v>
      </c>
      <c r="B31" s="116">
        <f>B30-B32</f>
        <v>200</v>
      </c>
      <c r="C31" s="2851"/>
      <c r="D31" s="2852"/>
      <c r="E31" s="2833"/>
      <c r="F31" s="2833"/>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1670</v>
      </c>
      <c r="B32" s="678"/>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1671</v>
      </c>
      <c r="B33" s="679">
        <v>0.03</v>
      </c>
      <c r="C33" s="2978" t="s">
        <v>2791</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1672</v>
      </c>
      <c r="B34" s="118"/>
      <c r="C34" s="2978" t="s">
        <v>2792</v>
      </c>
      <c r="D34" s="2857" t="s">
        <v>2800</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1673</v>
      </c>
      <c r="B35" s="115">
        <v>200</v>
      </c>
      <c r="C35" s="2978" t="s">
        <v>2793</v>
      </c>
      <c r="D35" s="2852"/>
      <c r="E35" s="2833"/>
      <c r="F35" s="2833"/>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1674</v>
      </c>
      <c r="B36" s="119">
        <v>1.4999999999999999E-2</v>
      </c>
      <c r="C36" s="2978" t="s">
        <v>2794</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5" t="s">
        <v>1675</v>
      </c>
      <c r="B37" s="120">
        <v>0.02</v>
      </c>
      <c r="C37" s="2978" t="s">
        <v>2795</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3" t="s">
        <v>1676</v>
      </c>
      <c r="B38" s="118">
        <v>0.02</v>
      </c>
      <c r="C38" s="2978" t="s">
        <v>2795</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6" t="s">
        <v>1677</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15" thickBot="1">
      <c r="A40" s="2990" t="s">
        <v>2811</v>
      </c>
      <c r="B40" s="1188">
        <f ca="1">IF(A40="利息：取LPR",存贷款利率!G1,存贷款利率!G1+C40)</f>
        <v>3.7000000000000005E-2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1" t="s">
        <v>1678</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7" t="s">
        <v>1679</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7" t="s">
        <v>1680</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68" t="s">
        <v>1681</v>
      </c>
      <c r="B44" s="124">
        <v>7.0000000000000007E-2</v>
      </c>
      <c r="C44" s="2978" t="s">
        <v>2804</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68" t="s">
        <v>1682</v>
      </c>
      <c r="B45" s="122">
        <v>0.03</v>
      </c>
      <c r="C45" s="2977" t="s">
        <v>2796</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68" t="s">
        <v>1683</v>
      </c>
      <c r="B46" s="122">
        <v>0.02</v>
      </c>
      <c r="C46" s="2977" t="s">
        <v>2797</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69" t="s">
        <v>1684</v>
      </c>
      <c r="B47" s="125"/>
      <c r="C47" s="2980" t="s">
        <v>2805</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0" t="s">
        <v>1685</v>
      </c>
      <c r="B48" s="126">
        <v>0.04</v>
      </c>
      <c r="C48" s="2977" t="s">
        <v>2796</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6" t="s">
        <v>1686</v>
      </c>
      <c r="B49" s="122">
        <v>1.4999999999999999E-2</v>
      </c>
      <c r="C49" s="2977" t="s">
        <v>2798</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1" t="s">
        <v>1687</v>
      </c>
      <c r="B50" s="127">
        <v>1.2E-2</v>
      </c>
      <c r="C50" s="2833"/>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4" t="s">
        <v>1688</v>
      </c>
      <c r="B51" s="128">
        <v>0.12</v>
      </c>
      <c r="C51" s="2833"/>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1" t="s">
        <v>1689</v>
      </c>
      <c r="B52" s="129">
        <f>SUMIF(A54:A63,B53,B54:B63)</f>
        <v>5</v>
      </c>
      <c r="C52" s="2833"/>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3" t="s">
        <v>1690</v>
      </c>
      <c r="B53" s="1872" t="s">
        <v>268</v>
      </c>
      <c r="C53" s="2833" t="s">
        <v>1691</v>
      </c>
      <c r="D53" s="2979" t="s">
        <v>2802</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3" t="s">
        <v>1692</v>
      </c>
      <c r="B54" s="80">
        <v>6</v>
      </c>
      <c r="C54" s="2833">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3" t="s">
        <v>1693</v>
      </c>
      <c r="B55" s="80">
        <v>5</v>
      </c>
      <c r="C55" s="2833">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3" t="s">
        <v>1694</v>
      </c>
      <c r="B56" s="80"/>
      <c r="C56" s="2833">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3" t="s">
        <v>1695</v>
      </c>
      <c r="B57" s="80"/>
      <c r="C57" s="2833">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3" t="s">
        <v>1696</v>
      </c>
      <c r="B58" s="80"/>
      <c r="C58" s="2833">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3" t="s">
        <v>1697</v>
      </c>
      <c r="B59" s="80"/>
      <c r="C59" s="2833">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3" t="s">
        <v>1698</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3" t="s">
        <v>1699</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3" t="s">
        <v>1700</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4" t="s">
        <v>1701</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79" customFormat="1">
      <c r="A64" s="2836"/>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79" customFormat="1">
      <c r="A65" s="2836"/>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79" customFormat="1">
      <c r="A66" s="2836"/>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79" customFormat="1">
      <c r="A67" s="2836"/>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79" customFormat="1">
      <c r="A68" s="2836"/>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79" customFormat="1">
      <c r="A69" s="1875"/>
      <c r="D69" s="1876"/>
      <c r="K69" s="734"/>
      <c r="L69" s="734"/>
    </row>
    <row r="70" spans="1:44" s="879" customFormat="1">
      <c r="A70" s="1875"/>
      <c r="D70" s="1876"/>
      <c r="K70" s="734"/>
      <c r="L70" s="734"/>
    </row>
    <row r="71" spans="1:44" s="879" customFormat="1">
      <c r="A71" s="1875"/>
      <c r="D71" s="1876"/>
      <c r="K71" s="734"/>
      <c r="L71" s="734"/>
    </row>
    <row r="72" spans="1:44" s="879" customFormat="1">
      <c r="A72" s="1875"/>
      <c r="D72" s="1876"/>
      <c r="K72" s="734"/>
      <c r="L72" s="734"/>
    </row>
    <row r="73" spans="1:44" s="879" customFormat="1">
      <c r="A73" s="1875"/>
      <c r="D73" s="1876"/>
      <c r="K73" s="734"/>
      <c r="L73" s="734"/>
    </row>
    <row r="74" spans="1:44" s="879" customFormat="1">
      <c r="A74" s="1875"/>
      <c r="D74" s="1876"/>
      <c r="K74" s="734"/>
      <c r="L74" s="734"/>
    </row>
    <row r="75" spans="1:44" s="879" customFormat="1">
      <c r="A75" s="1875"/>
      <c r="D75" s="1876"/>
      <c r="K75" s="734"/>
      <c r="L75" s="734"/>
    </row>
    <row r="76" spans="1:44" s="879" customFormat="1">
      <c r="A76" s="1875"/>
      <c r="D76" s="1876"/>
      <c r="K76" s="734"/>
      <c r="L76" s="734"/>
    </row>
    <row r="77" spans="1:44" s="879" customFormat="1">
      <c r="A77" s="1875"/>
      <c r="D77" s="1876"/>
      <c r="K77" s="734"/>
      <c r="L77" s="734"/>
    </row>
    <row r="78" spans="1:44" s="879" customFormat="1">
      <c r="A78" s="1875"/>
      <c r="D78" s="1876"/>
      <c r="K78" s="734"/>
      <c r="L78" s="734"/>
    </row>
    <row r="79" spans="1:44" s="879" customFormat="1">
      <c r="A79" s="1875"/>
      <c r="D79" s="1876"/>
      <c r="K79" s="734"/>
      <c r="L79" s="734"/>
    </row>
    <row r="80" spans="1:44" s="879" customFormat="1">
      <c r="A80" s="1875"/>
      <c r="D80" s="1876"/>
      <c r="K80" s="734"/>
      <c r="L80" s="734"/>
    </row>
    <row r="81" spans="1:12" s="879" customFormat="1">
      <c r="A81" s="1875"/>
      <c r="D81" s="1876"/>
      <c r="K81" s="734"/>
      <c r="L81" s="734"/>
    </row>
    <row r="82" spans="1:12" s="879" customFormat="1">
      <c r="A82" s="1875"/>
      <c r="D82" s="1876"/>
      <c r="K82" s="734"/>
      <c r="L82" s="734"/>
    </row>
    <row r="83" spans="1:12" s="879" customFormat="1">
      <c r="A83" s="1875"/>
      <c r="D83" s="1876"/>
      <c r="K83" s="734"/>
      <c r="L83" s="734"/>
    </row>
    <row r="84" spans="1:12" s="879" customFormat="1">
      <c r="A84" s="1875"/>
      <c r="D84" s="1876"/>
      <c r="K84" s="734"/>
      <c r="L84" s="734"/>
    </row>
    <row r="85" spans="1:12" s="879" customFormat="1">
      <c r="A85" s="1875"/>
      <c r="D85" s="1876"/>
      <c r="K85" s="734"/>
      <c r="L85" s="734"/>
    </row>
    <row r="86" spans="1:12" s="879" customFormat="1">
      <c r="A86" s="1875"/>
      <c r="D86" s="1876"/>
      <c r="K86" s="734"/>
      <c r="L86" s="734"/>
    </row>
    <row r="87" spans="1:12" s="879" customFormat="1">
      <c r="A87" s="1875"/>
      <c r="D87" s="1876"/>
      <c r="K87" s="734"/>
      <c r="L87" s="734"/>
    </row>
    <row r="88" spans="1:12" s="879" customFormat="1">
      <c r="A88" s="1875"/>
      <c r="D88" s="1876"/>
      <c r="K88" s="734"/>
      <c r="L88" s="734"/>
    </row>
    <row r="89" spans="1:12" s="879" customFormat="1">
      <c r="A89" s="1875"/>
      <c r="D89" s="1876"/>
      <c r="K89" s="734"/>
      <c r="L89" s="734"/>
    </row>
    <row r="90" spans="1:12" s="879" customFormat="1">
      <c r="A90" s="1875"/>
      <c r="D90" s="1876"/>
      <c r="K90" s="734"/>
      <c r="L90" s="734"/>
    </row>
    <row r="91" spans="1:12" s="879" customFormat="1">
      <c r="A91" s="1875"/>
      <c r="D91" s="1876"/>
      <c r="K91" s="734"/>
      <c r="L91" s="734"/>
    </row>
    <row r="92" spans="1:12" s="879" customFormat="1">
      <c r="A92" s="1875"/>
      <c r="D92" s="1876"/>
      <c r="K92" s="734"/>
      <c r="L92" s="734"/>
    </row>
    <row r="93" spans="1:12" s="879" customFormat="1">
      <c r="A93" s="1875"/>
      <c r="D93" s="1876"/>
      <c r="K93" s="734"/>
      <c r="L93" s="734"/>
    </row>
    <row r="94" spans="1:12" s="879" customFormat="1">
      <c r="A94" s="1875"/>
      <c r="D94" s="1876"/>
      <c r="K94" s="734"/>
      <c r="L94" s="734"/>
    </row>
    <row r="95" spans="1:12" s="879" customFormat="1">
      <c r="A95" s="1875"/>
      <c r="D95" s="1876"/>
      <c r="K95" s="734"/>
      <c r="L95" s="734"/>
    </row>
    <row r="96" spans="1:12" s="879" customFormat="1">
      <c r="A96" s="1875"/>
      <c r="D96" s="1876"/>
      <c r="K96" s="734"/>
      <c r="L96" s="734"/>
    </row>
    <row r="97" spans="1:12" s="879" customFormat="1">
      <c r="A97" s="1875"/>
      <c r="D97" s="1876"/>
      <c r="K97" s="734"/>
      <c r="L97" s="734"/>
    </row>
    <row r="98" spans="1:12" s="879" customFormat="1">
      <c r="A98" s="1875"/>
      <c r="D98" s="1876"/>
      <c r="K98" s="734"/>
      <c r="L98" s="734"/>
    </row>
    <row r="99" spans="1:12" s="879" customFormat="1">
      <c r="A99" s="1875"/>
      <c r="D99" s="1876"/>
      <c r="K99" s="734"/>
      <c r="L99" s="734"/>
    </row>
    <row r="100" spans="1:12" s="879" customFormat="1">
      <c r="A100" s="1875"/>
      <c r="D100" s="1876"/>
      <c r="K100" s="734"/>
      <c r="L100" s="734"/>
    </row>
    <row r="101" spans="1:12" s="879" customFormat="1">
      <c r="A101" s="1875"/>
      <c r="D101" s="1876"/>
      <c r="K101" s="734"/>
      <c r="L101" s="734"/>
    </row>
    <row r="102" spans="1:12" s="879" customFormat="1">
      <c r="A102" s="1875"/>
      <c r="D102" s="1876"/>
      <c r="K102" s="734"/>
      <c r="L102" s="734"/>
    </row>
    <row r="103" spans="1:12" s="879" customFormat="1">
      <c r="A103" s="1875"/>
      <c r="D103" s="1876"/>
      <c r="K103" s="734"/>
      <c r="L103" s="734"/>
    </row>
    <row r="104" spans="1:12" s="879" customFormat="1">
      <c r="A104" s="1875"/>
      <c r="D104" s="1876"/>
      <c r="K104" s="734"/>
      <c r="L104" s="734"/>
    </row>
    <row r="105" spans="1:12" s="879" customFormat="1">
      <c r="A105" s="1875"/>
      <c r="D105" s="1876"/>
      <c r="K105" s="734"/>
      <c r="L105" s="734"/>
    </row>
    <row r="106" spans="1:12" s="879" customFormat="1">
      <c r="A106" s="1875"/>
      <c r="D106" s="1876"/>
      <c r="K106" s="734"/>
      <c r="L106" s="734"/>
    </row>
    <row r="107" spans="1:12" s="879" customFormat="1">
      <c r="A107" s="1875"/>
      <c r="D107" s="1876"/>
      <c r="K107" s="734"/>
      <c r="L107" s="734"/>
    </row>
    <row r="108" spans="1:12" s="879" customFormat="1">
      <c r="A108" s="1875"/>
      <c r="D108" s="1876"/>
      <c r="K108" s="734"/>
      <c r="L108" s="734"/>
    </row>
    <row r="109" spans="1:12" s="879" customFormat="1">
      <c r="A109" s="1875"/>
      <c r="D109" s="1876"/>
      <c r="K109" s="734"/>
      <c r="L109" s="734"/>
    </row>
    <row r="110" spans="1:12" s="879" customFormat="1">
      <c r="A110" s="1875"/>
      <c r="D110" s="1876"/>
      <c r="K110" s="734"/>
      <c r="L110" s="734"/>
    </row>
    <row r="111" spans="1:12" s="879" customFormat="1">
      <c r="A111" s="1875"/>
      <c r="D111" s="1876"/>
      <c r="K111" s="734"/>
      <c r="L111" s="734"/>
    </row>
    <row r="112" spans="1:12" s="879" customFormat="1">
      <c r="A112" s="1875"/>
      <c r="D112" s="1876"/>
      <c r="K112" s="734"/>
      <c r="L112" s="734"/>
    </row>
    <row r="113" spans="1:12" s="879" customFormat="1">
      <c r="A113" s="1875"/>
      <c r="D113" s="1876"/>
      <c r="K113" s="734"/>
      <c r="L113" s="734"/>
    </row>
    <row r="114" spans="1:12" s="879" customFormat="1">
      <c r="A114" s="1875"/>
      <c r="D114" s="1876"/>
      <c r="K114" s="734"/>
      <c r="L114" s="734"/>
    </row>
    <row r="115" spans="1:12" s="879" customFormat="1">
      <c r="A115" s="1875"/>
      <c r="D115" s="1876"/>
      <c r="K115" s="734"/>
      <c r="L115" s="734"/>
    </row>
    <row r="116" spans="1:12" s="879" customFormat="1">
      <c r="A116" s="1875"/>
      <c r="D116" s="1876"/>
      <c r="K116" s="734"/>
      <c r="L116" s="734"/>
    </row>
    <row r="117" spans="1:12" s="879" customFormat="1">
      <c r="A117" s="1875"/>
      <c r="D117" s="1876"/>
      <c r="K117" s="734"/>
      <c r="L117" s="734"/>
    </row>
    <row r="118" spans="1:12" s="879" customFormat="1">
      <c r="A118" s="1875"/>
      <c r="D118" s="1876"/>
      <c r="K118" s="734"/>
      <c r="L118" s="734"/>
    </row>
    <row r="119" spans="1:12" s="879" customFormat="1">
      <c r="A119" s="1875"/>
      <c r="D119" s="1876"/>
      <c r="K119" s="734"/>
      <c r="L119" s="734"/>
    </row>
    <row r="120" spans="1:12" s="879" customFormat="1">
      <c r="A120" s="1875"/>
      <c r="D120" s="1876"/>
      <c r="K120" s="734"/>
      <c r="L120" s="734"/>
    </row>
    <row r="121" spans="1:12" s="879" customFormat="1">
      <c r="A121" s="1875"/>
      <c r="D121" s="1876"/>
      <c r="K121" s="734"/>
      <c r="L121" s="734"/>
    </row>
    <row r="122" spans="1:12" s="879" customFormat="1">
      <c r="A122" s="1875"/>
      <c r="D122" s="1876"/>
      <c r="K122" s="734"/>
      <c r="L122" s="734"/>
    </row>
    <row r="123" spans="1:12" s="879" customFormat="1">
      <c r="A123" s="1875"/>
      <c r="D123" s="1876"/>
      <c r="K123" s="734"/>
      <c r="L123" s="734"/>
    </row>
    <row r="124" spans="1:12" s="879" customFormat="1">
      <c r="A124" s="1875"/>
      <c r="D124" s="1876"/>
      <c r="K124" s="734"/>
      <c r="L124" s="734"/>
    </row>
    <row r="125" spans="1:12" s="879" customFormat="1">
      <c r="A125" s="1875"/>
      <c r="D125" s="1876"/>
      <c r="K125" s="734"/>
      <c r="L125" s="734"/>
    </row>
    <row r="126" spans="1:12" s="879" customFormat="1">
      <c r="A126" s="1875"/>
      <c r="D126" s="1876"/>
      <c r="K126" s="734"/>
      <c r="L126" s="734"/>
    </row>
    <row r="127" spans="1:12" s="879" customFormat="1">
      <c r="A127" s="1875"/>
      <c r="D127" s="1876"/>
      <c r="K127" s="734"/>
      <c r="L127" s="734"/>
    </row>
    <row r="128" spans="1:12" s="879" customFormat="1">
      <c r="A128" s="1875"/>
      <c r="D128" s="1876"/>
      <c r="K128" s="734"/>
      <c r="L128" s="734"/>
    </row>
    <row r="129" spans="1:12" s="879" customFormat="1">
      <c r="A129" s="1875"/>
      <c r="D129" s="1876"/>
      <c r="K129" s="734"/>
      <c r="L129" s="734"/>
    </row>
    <row r="130" spans="1:12" s="879" customFormat="1">
      <c r="A130" s="1875"/>
      <c r="D130" s="1876"/>
      <c r="K130" s="734"/>
      <c r="L130" s="734"/>
    </row>
    <row r="131" spans="1:12" s="879" customFormat="1">
      <c r="A131" s="1875"/>
      <c r="D131" s="1876"/>
      <c r="K131" s="734"/>
      <c r="L131" s="734"/>
    </row>
    <row r="132" spans="1:12" s="879" customFormat="1">
      <c r="A132" s="1875"/>
      <c r="D132" s="1876"/>
      <c r="K132" s="734"/>
      <c r="L132" s="734"/>
    </row>
    <row r="133" spans="1:12" s="879" customFormat="1">
      <c r="A133" s="1875"/>
      <c r="D133" s="1876"/>
      <c r="K133" s="734"/>
      <c r="L133" s="734"/>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F2D5-32E4-4FCF-8900-E38764B29C70}">
  <dimension ref="A1"/>
  <sheetViews>
    <sheetView workbookViewId="0">
      <selection activeCell="H13" sqref="H13"/>
    </sheetView>
  </sheetViews>
  <sheetFormatPr defaultRowHeight="13.5"/>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0" customWidth="1"/>
    <col min="2" max="2" width="24.5" style="1705" customWidth="1"/>
    <col min="3" max="3" width="24.5" style="2681" customWidth="1"/>
    <col min="4" max="4" width="2.625" style="2681" customWidth="1"/>
    <col min="5" max="5" width="5.875" style="2681" customWidth="1"/>
    <col min="6" max="6" width="27" style="1705" customWidth="1"/>
    <col min="7" max="7" width="27" style="2682" customWidth="1"/>
    <col min="8" max="8" width="11.875" style="2662" customWidth="1"/>
    <col min="9" max="9" width="16.625" style="2663" customWidth="1"/>
    <col min="10" max="10" width="2.625" style="2662" customWidth="1"/>
    <col min="11" max="11" width="11.875" style="2662" customWidth="1"/>
    <col min="12" max="12" width="16.625" style="2663" customWidth="1"/>
    <col min="13" max="13" width="2.625" style="2662" customWidth="1"/>
    <col min="14" max="14" width="11.875" style="2662" customWidth="1"/>
    <col min="15" max="15" width="16.625" style="2663" customWidth="1"/>
    <col min="16" max="16" width="2.625" style="2662" customWidth="1"/>
    <col min="17" max="17" width="11.875" style="2662" customWidth="1"/>
    <col min="18" max="18" width="16.625" style="2664" customWidth="1"/>
    <col min="19" max="29" width="9" style="885"/>
    <col min="30" max="16384" width="9" style="1820"/>
  </cols>
  <sheetData>
    <row r="1" spans="1:29" s="2628" customFormat="1" ht="18.75" thickBot="1">
      <c r="A1" s="3348" t="s">
        <v>2782</v>
      </c>
      <c r="B1" s="3349"/>
      <c r="C1" s="3349"/>
      <c r="D1" s="3349"/>
      <c r="E1" s="3349"/>
      <c r="F1" s="3349"/>
      <c r="G1" s="3349"/>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2777</v>
      </c>
      <c r="D2" s="2632"/>
      <c r="E2" s="2629"/>
      <c r="F2" s="2633"/>
      <c r="G2" s="2631" t="s">
        <v>2778</v>
      </c>
      <c r="H2" s="885"/>
      <c r="I2" s="885"/>
      <c r="J2" s="885"/>
      <c r="K2" s="885"/>
      <c r="L2" s="885"/>
      <c r="M2" s="885"/>
      <c r="N2" s="885"/>
      <c r="O2" s="885"/>
      <c r="P2" s="885"/>
      <c r="Q2" s="885"/>
      <c r="R2" s="885"/>
    </row>
    <row r="3" spans="1:29" ht="48">
      <c r="A3" s="2612" t="s">
        <v>2779</v>
      </c>
      <c r="B3" s="2634" t="s">
        <v>2748</v>
      </c>
      <c r="C3" s="2635" t="s">
        <v>2780</v>
      </c>
      <c r="D3" s="2636"/>
      <c r="E3" s="2613" t="s">
        <v>2779</v>
      </c>
      <c r="F3" s="2637" t="s">
        <v>2749</v>
      </c>
      <c r="G3" s="2638" t="s">
        <v>2781</v>
      </c>
      <c r="H3" s="885"/>
      <c r="I3" s="885"/>
      <c r="J3" s="885"/>
      <c r="K3" s="885"/>
      <c r="L3" s="885"/>
      <c r="M3" s="885"/>
      <c r="N3" s="885"/>
      <c r="O3" s="885"/>
      <c r="P3" s="885"/>
      <c r="Q3" s="885"/>
      <c r="R3" s="885"/>
    </row>
    <row r="4" spans="1:29" ht="36.75">
      <c r="A4" s="2613"/>
      <c r="B4" s="329" t="s">
        <v>2750</v>
      </c>
      <c r="C4" s="2639" t="s">
        <v>2751</v>
      </c>
      <c r="D4" s="2636"/>
      <c r="E4" s="2640"/>
      <c r="F4" s="1505" t="s">
        <v>2752</v>
      </c>
      <c r="G4" s="2641" t="s">
        <v>2753</v>
      </c>
      <c r="H4" s="885"/>
      <c r="I4" s="885"/>
      <c r="J4" s="885"/>
      <c r="K4" s="885"/>
      <c r="L4" s="885"/>
      <c r="M4" s="885"/>
      <c r="N4" s="885"/>
      <c r="O4" s="885"/>
      <c r="P4" s="885"/>
      <c r="Q4" s="885"/>
      <c r="R4" s="885"/>
    </row>
    <row r="5" spans="1:29" ht="36.75">
      <c r="A5" s="2613"/>
      <c r="B5" s="329" t="s">
        <v>2754</v>
      </c>
      <c r="C5" s="2639" t="s">
        <v>2755</v>
      </c>
      <c r="D5" s="2636"/>
      <c r="E5" s="2640"/>
      <c r="F5" s="329" t="s">
        <v>2756</v>
      </c>
      <c r="G5" s="2641" t="s">
        <v>2757</v>
      </c>
      <c r="H5" s="885"/>
      <c r="I5" s="885"/>
      <c r="J5" s="885"/>
      <c r="K5" s="885"/>
      <c r="L5" s="885"/>
      <c r="M5" s="885"/>
      <c r="N5" s="885"/>
      <c r="O5" s="885"/>
      <c r="P5" s="885"/>
      <c r="Q5" s="885"/>
      <c r="R5" s="885"/>
    </row>
    <row r="6" spans="1:29" ht="36">
      <c r="A6" s="2613"/>
      <c r="B6" s="329" t="s">
        <v>2758</v>
      </c>
      <c r="C6" s="2641" t="s">
        <v>2753</v>
      </c>
      <c r="D6" s="2636"/>
      <c r="E6" s="2640"/>
      <c r="F6" s="329" t="s">
        <v>2759</v>
      </c>
      <c r="G6" s="2641" t="s">
        <v>2760</v>
      </c>
      <c r="H6" s="885"/>
      <c r="I6" s="885"/>
      <c r="J6" s="885"/>
      <c r="K6" s="885"/>
      <c r="L6" s="885"/>
      <c r="M6" s="885"/>
      <c r="N6" s="885"/>
      <c r="O6" s="885"/>
      <c r="P6" s="885"/>
      <c r="Q6" s="885"/>
      <c r="R6" s="885"/>
    </row>
    <row r="7" spans="1:29" ht="24.75" thickBot="1">
      <c r="A7" s="2613"/>
      <c r="B7" s="329" t="s">
        <v>2756</v>
      </c>
      <c r="C7" s="2641" t="s">
        <v>2757</v>
      </c>
      <c r="D7" s="2642"/>
      <c r="E7" s="2643"/>
      <c r="F7" s="2644" t="s">
        <v>2761</v>
      </c>
      <c r="G7" s="2645" t="s">
        <v>2762</v>
      </c>
      <c r="H7" s="885"/>
      <c r="I7" s="885"/>
      <c r="J7" s="885"/>
      <c r="K7" s="885"/>
      <c r="L7" s="885"/>
      <c r="M7" s="885"/>
      <c r="N7" s="885"/>
      <c r="O7" s="885"/>
      <c r="P7" s="885"/>
      <c r="Q7" s="885"/>
      <c r="R7" s="885"/>
    </row>
    <row r="8" spans="1:29">
      <c r="A8" s="2613"/>
      <c r="B8" s="329" t="s">
        <v>2759</v>
      </c>
      <c r="C8" s="2641" t="s">
        <v>2760</v>
      </c>
      <c r="D8" s="2642"/>
      <c r="E8" s="2642"/>
      <c r="F8" s="2646"/>
      <c r="G8" s="2646"/>
      <c r="H8" s="885"/>
      <c r="I8" s="885"/>
      <c r="J8" s="885"/>
      <c r="K8" s="885"/>
      <c r="L8" s="885"/>
      <c r="M8" s="885"/>
      <c r="N8" s="885"/>
      <c r="O8" s="885"/>
      <c r="P8" s="885"/>
      <c r="Q8" s="885"/>
      <c r="R8" s="885"/>
    </row>
    <row r="9" spans="1:29" ht="24">
      <c r="A9" s="2613"/>
      <c r="B9" s="329" t="s">
        <v>2763</v>
      </c>
      <c r="C9" s="2639" t="s">
        <v>2764</v>
      </c>
      <c r="D9" s="2636"/>
      <c r="E9" s="2642"/>
      <c r="F9" s="2646"/>
      <c r="G9" s="2646"/>
      <c r="H9" s="885"/>
      <c r="I9" s="885"/>
      <c r="J9" s="885"/>
      <c r="K9" s="885"/>
      <c r="L9" s="885"/>
      <c r="M9" s="885"/>
      <c r="N9" s="885"/>
      <c r="O9" s="885"/>
      <c r="P9" s="885"/>
      <c r="Q9" s="885"/>
      <c r="R9" s="885"/>
    </row>
    <row r="10" spans="1:29" s="2652" customFormat="1" ht="15" thickBot="1">
      <c r="A10" s="2614"/>
      <c r="B10" s="2647" t="s">
        <v>2765</v>
      </c>
      <c r="C10" s="2648"/>
      <c r="D10" s="2636"/>
      <c r="E10" s="2636"/>
      <c r="F10" s="2646"/>
      <c r="G10" s="2646"/>
      <c r="H10" s="2649"/>
      <c r="I10" s="2650"/>
      <c r="J10" s="2651"/>
      <c r="K10" s="2649"/>
      <c r="L10" s="2650"/>
      <c r="M10" s="2651"/>
      <c r="N10" s="2649"/>
      <c r="O10" s="2650"/>
      <c r="P10" s="2651"/>
      <c r="Q10" s="2649"/>
      <c r="R10" s="2650"/>
      <c r="S10" s="885"/>
      <c r="T10" s="885"/>
      <c r="U10" s="885"/>
      <c r="V10" s="885"/>
      <c r="W10" s="885"/>
      <c r="X10" s="885"/>
      <c r="Y10" s="885"/>
      <c r="Z10" s="885"/>
      <c r="AA10" s="885"/>
      <c r="AB10" s="885"/>
      <c r="AC10" s="885"/>
    </row>
    <row r="11" spans="1:29" s="2652" customFormat="1">
      <c r="A11" s="2653"/>
      <c r="B11" s="2642"/>
      <c r="C11" s="2636"/>
      <c r="D11" s="2636"/>
      <c r="E11" s="2636"/>
      <c r="F11" s="2642"/>
      <c r="G11" s="2654"/>
      <c r="H11" s="2649"/>
      <c r="I11" s="2650"/>
      <c r="J11" s="2651"/>
      <c r="K11" s="2649"/>
      <c r="L11" s="2650"/>
      <c r="M11" s="2651"/>
      <c r="N11" s="2649"/>
      <c r="O11" s="2650"/>
      <c r="P11" s="2651"/>
      <c r="Q11" s="2649"/>
      <c r="R11" s="2650"/>
      <c r="S11" s="885"/>
      <c r="T11" s="885"/>
      <c r="U11" s="885"/>
      <c r="V11" s="885"/>
      <c r="W11" s="885"/>
      <c r="X11" s="885"/>
      <c r="Y11" s="885"/>
      <c r="Z11" s="885"/>
      <c r="AA11" s="885"/>
      <c r="AB11" s="885"/>
      <c r="AC11" s="885"/>
    </row>
    <row r="12" spans="1:29" s="2628" customFormat="1" ht="18">
      <c r="A12" s="2653"/>
      <c r="B12" s="2642"/>
      <c r="C12" s="2636"/>
      <c r="D12" s="2655"/>
      <c r="E12" s="2636"/>
      <c r="F12" s="2642"/>
      <c r="G12" s="2654"/>
      <c r="H12" s="2656"/>
      <c r="I12" s="2657"/>
      <c r="J12" s="2656"/>
      <c r="K12" s="2656"/>
      <c r="L12" s="2658"/>
      <c r="M12" s="2656"/>
      <c r="N12" s="2659"/>
      <c r="O12" s="2660"/>
      <c r="P12" s="2659"/>
      <c r="Q12" s="2659"/>
      <c r="R12" s="2626"/>
      <c r="S12" s="2627"/>
      <c r="T12" s="2627"/>
      <c r="U12" s="2627"/>
      <c r="V12" s="2627"/>
      <c r="W12" s="2627"/>
      <c r="X12" s="2627"/>
      <c r="Y12" s="2627"/>
      <c r="Z12" s="2627"/>
      <c r="AA12" s="2627"/>
      <c r="AB12" s="2627"/>
      <c r="AC12" s="2627"/>
    </row>
    <row r="13" spans="1:29" ht="15.75" thickBot="1">
      <c r="A13" s="2661" t="s">
        <v>2783</v>
      </c>
      <c r="B13" s="2655"/>
      <c r="C13" s="2655"/>
      <c r="D13" s="2653"/>
      <c r="E13" s="2655"/>
      <c r="F13" s="2655"/>
      <c r="G13" s="2655"/>
    </row>
    <row r="14" spans="1:29" ht="15" thickBot="1">
      <c r="A14" s="2665"/>
      <c r="B14" s="2665"/>
      <c r="C14" s="2666" t="s">
        <v>2766</v>
      </c>
      <c r="D14" s="2636"/>
      <c r="E14" s="2667"/>
      <c r="F14" s="2667"/>
      <c r="G14" s="2631" t="s">
        <v>2767</v>
      </c>
    </row>
    <row r="15" spans="1:29" ht="51">
      <c r="A15" s="2615" t="s">
        <v>2768</v>
      </c>
      <c r="B15" s="2668" t="s">
        <v>2748</v>
      </c>
      <c r="C15" s="2669" t="str">
        <f>C3</f>
        <v>估价对象周边居住用地比例、居住小区规模和社区发展完善程度，综合评价居住社区成熟度一般</v>
      </c>
      <c r="D15" s="2636"/>
      <c r="E15" s="2616" t="s">
        <v>2769</v>
      </c>
      <c r="F15" s="2668" t="s">
        <v>2770</v>
      </c>
      <c r="G15" s="2670" t="str">
        <f>G3</f>
        <v>估价对象位于XX开发区，园区建设成熟度XX，产业集聚程度XX</v>
      </c>
    </row>
    <row r="16" spans="1:29" ht="38.25">
      <c r="A16" s="2617"/>
      <c r="B16" s="2671" t="s">
        <v>2750</v>
      </c>
      <c r="C16" s="2672" t="str">
        <f>C4</f>
        <v>估价对象位于XX商圈，周边商业氛围成熟，人流量大，商业繁华度好</v>
      </c>
      <c r="D16" s="2636"/>
      <c r="E16" s="2618"/>
      <c r="F16" s="2673" t="s">
        <v>2752</v>
      </c>
      <c r="G16" s="2674" t="str">
        <f>G4</f>
        <v>估价对象周边道路状况、公共交通通达情况、停车便捷程度，综合评价交通便捷度较好</v>
      </c>
    </row>
    <row r="17" spans="1:18" ht="38.25">
      <c r="A17" s="2617"/>
      <c r="B17" s="2671" t="s">
        <v>2754</v>
      </c>
      <c r="C17" s="2672" t="str">
        <f>C5</f>
        <v>估价对象位于XX商圈，周边办公楼项目较多，入驻率高，办公集聚程度较好</v>
      </c>
      <c r="D17" s="2642"/>
      <c r="E17" s="2618"/>
      <c r="F17" s="2673" t="s">
        <v>2771</v>
      </c>
      <c r="G17" s="2675"/>
    </row>
    <row r="18" spans="1:18" ht="38.25">
      <c r="A18" s="2617"/>
      <c r="B18" s="2673" t="s">
        <v>2758</v>
      </c>
      <c r="C18" s="2674" t="str">
        <f>C6</f>
        <v>估价对象周边道路状况、公共交通通达情况、停车便捷程度，综合评价交通便捷度较好</v>
      </c>
      <c r="D18" s="2642"/>
      <c r="E18" s="2618"/>
      <c r="F18" s="2673" t="s">
        <v>2761</v>
      </c>
      <c r="G18" s="2674" t="str">
        <f>G7</f>
        <v>该园区内是否有污染型企业，绿化情况，卫生条件，整体环境状况判断</v>
      </c>
    </row>
    <row r="19" spans="1:18" ht="25.5">
      <c r="A19" s="2617"/>
      <c r="B19" s="2673" t="s">
        <v>2772</v>
      </c>
      <c r="C19" s="2675"/>
      <c r="D19" s="2636"/>
      <c r="E19" s="2618"/>
      <c r="F19" s="329" t="s">
        <v>2756</v>
      </c>
      <c r="G19" s="2674" t="str">
        <f>G5</f>
        <v>估价对象所在区域公共配套设施齐备情况</v>
      </c>
    </row>
    <row r="20" spans="1:18" ht="25.5">
      <c r="A20" s="2617"/>
      <c r="B20" s="2673" t="s">
        <v>2773</v>
      </c>
      <c r="C20" s="2672" t="str">
        <f>C9</f>
        <v>区域自然环境：；人文环境；综合评价环境状况一般</v>
      </c>
      <c r="D20" s="2642"/>
      <c r="E20" s="2618"/>
      <c r="F20" s="329" t="s">
        <v>2759</v>
      </c>
      <c r="G20" s="2674" t="str">
        <f>G6</f>
        <v>估价对象所在区域基础设施水平</v>
      </c>
    </row>
    <row r="21" spans="1:18" ht="25.5">
      <c r="A21" s="2617"/>
      <c r="B21" s="329" t="s">
        <v>2756</v>
      </c>
      <c r="C21" s="2674" t="str">
        <f>C7</f>
        <v>估价对象所在区域公共配套设施齐备情况</v>
      </c>
      <c r="D21" s="2636"/>
      <c r="E21" s="2618"/>
      <c r="F21" s="2673" t="s">
        <v>2774</v>
      </c>
      <c r="G21" s="2676"/>
    </row>
    <row r="22" spans="1:18" ht="13.5" customHeight="1">
      <c r="A22" s="2617"/>
      <c r="B22" s="329" t="s">
        <v>2759</v>
      </c>
      <c r="C22" s="2674" t="str">
        <f>C8</f>
        <v>估价对象所在区域基础设施水平</v>
      </c>
      <c r="D22" s="2636"/>
      <c r="E22" s="2618"/>
      <c r="F22" s="2673" t="s">
        <v>2765</v>
      </c>
      <c r="G22" s="2675"/>
    </row>
    <row r="23" spans="1:18" s="885" customFormat="1" ht="15" thickBot="1">
      <c r="A23" s="2617"/>
      <c r="B23" s="2673" t="s">
        <v>2774</v>
      </c>
      <c r="C23" s="2676"/>
      <c r="D23" s="1875"/>
      <c r="E23" s="2619"/>
      <c r="F23" s="2677" t="s">
        <v>2775</v>
      </c>
      <c r="G23" s="2678"/>
      <c r="H23" s="2662"/>
      <c r="I23" s="2663"/>
      <c r="J23" s="2662"/>
      <c r="K23" s="2662"/>
      <c r="L23" s="2663"/>
      <c r="M23" s="2662"/>
      <c r="N23" s="2662"/>
      <c r="O23" s="2663"/>
      <c r="P23" s="2662"/>
      <c r="Q23" s="2662"/>
      <c r="R23" s="2664"/>
    </row>
    <row r="24" spans="1:18" s="885" customFormat="1" ht="15" thickBot="1">
      <c r="A24" s="2620"/>
      <c r="B24" s="2677" t="s">
        <v>2776</v>
      </c>
      <c r="C24" s="2679">
        <f>C10</f>
        <v>0</v>
      </c>
      <c r="D24" s="1875"/>
      <c r="E24" s="2610"/>
      <c r="F24" s="2610"/>
      <c r="G24" s="2680"/>
      <c r="H24" s="2662"/>
      <c r="I24" s="2663"/>
      <c r="J24" s="2662"/>
      <c r="K24" s="2662"/>
      <c r="L24" s="2663"/>
      <c r="M24" s="2662"/>
      <c r="N24" s="2662"/>
      <c r="O24" s="2663"/>
      <c r="P24" s="2662"/>
      <c r="Q24" s="2662"/>
      <c r="R24" s="2664"/>
    </row>
    <row r="25" spans="1:18" s="885" customFormat="1">
      <c r="B25" s="2662"/>
      <c r="C25" s="2662"/>
      <c r="D25" s="2662"/>
      <c r="H25" s="2662"/>
      <c r="I25" s="2663"/>
      <c r="J25" s="2662"/>
      <c r="K25" s="2662"/>
      <c r="L25" s="2663"/>
      <c r="M25" s="2662"/>
      <c r="N25" s="2662"/>
      <c r="O25" s="2663"/>
      <c r="P25" s="2662"/>
      <c r="Q25" s="2662"/>
      <c r="R25" s="2664"/>
    </row>
    <row r="26" spans="1:18" s="885" customFormat="1">
      <c r="B26" s="2662"/>
      <c r="C26" s="2662"/>
      <c r="D26" s="2662"/>
      <c r="H26" s="2662"/>
      <c r="I26" s="2663"/>
      <c r="J26" s="2662"/>
      <c r="K26" s="2662"/>
      <c r="L26" s="2663"/>
      <c r="M26" s="2662"/>
      <c r="N26" s="2662"/>
      <c r="O26" s="2663"/>
      <c r="P26" s="2662"/>
      <c r="Q26" s="2662"/>
      <c r="R26" s="2664"/>
    </row>
    <row r="27" spans="1:18" s="885" customFormat="1">
      <c r="B27" s="2662"/>
      <c r="C27" s="2662"/>
      <c r="D27" s="2662"/>
      <c r="H27" s="2662"/>
      <c r="I27" s="2663"/>
      <c r="J27" s="2662"/>
      <c r="K27" s="2662"/>
      <c r="L27" s="2663"/>
      <c r="M27" s="2662"/>
      <c r="N27" s="2662"/>
      <c r="O27" s="2663"/>
      <c r="P27" s="2662"/>
      <c r="Q27" s="2662"/>
      <c r="R27" s="2664"/>
    </row>
    <row r="28" spans="1:18" s="885" customFormat="1">
      <c r="B28" s="2662"/>
      <c r="C28" s="2662"/>
      <c r="D28" s="2662"/>
      <c r="H28" s="2662"/>
      <c r="I28" s="2663"/>
      <c r="J28" s="2662"/>
      <c r="K28" s="2662"/>
      <c r="L28" s="2663"/>
      <c r="M28" s="2662"/>
      <c r="N28" s="2662"/>
      <c r="O28" s="2663"/>
      <c r="P28" s="2662"/>
      <c r="Q28" s="2662"/>
      <c r="R28" s="2664"/>
    </row>
    <row r="29" spans="1:18" s="885" customFormat="1">
      <c r="B29" s="2662"/>
      <c r="C29" s="2662"/>
      <c r="D29" s="2662"/>
      <c r="H29" s="2662"/>
      <c r="I29" s="2663"/>
      <c r="J29" s="2662"/>
      <c r="K29" s="2662"/>
      <c r="L29" s="2663"/>
      <c r="M29" s="2662"/>
      <c r="N29" s="2662"/>
      <c r="O29" s="2663"/>
      <c r="P29" s="2662"/>
      <c r="Q29" s="2662"/>
      <c r="R29" s="2664"/>
    </row>
    <row r="30" spans="1:18" s="885" customFormat="1">
      <c r="B30" s="2662"/>
      <c r="C30" s="2662"/>
      <c r="D30" s="2662"/>
      <c r="H30" s="2662"/>
      <c r="I30" s="2663"/>
      <c r="J30" s="2662"/>
      <c r="K30" s="2662"/>
      <c r="L30" s="2663"/>
      <c r="M30" s="2662"/>
      <c r="N30" s="2662"/>
      <c r="O30" s="2663"/>
      <c r="P30" s="2662"/>
      <c r="Q30" s="2662"/>
      <c r="R30" s="2664"/>
    </row>
    <row r="31" spans="1:18" s="885" customFormat="1">
      <c r="B31" s="2662"/>
      <c r="C31" s="2662"/>
      <c r="D31" s="2662"/>
      <c r="H31" s="2662"/>
      <c r="I31" s="2663"/>
      <c r="J31" s="2662"/>
      <c r="K31" s="2662"/>
      <c r="L31" s="2663"/>
      <c r="M31" s="2662"/>
      <c r="N31" s="2662"/>
      <c r="O31" s="2663"/>
      <c r="P31" s="2662"/>
      <c r="Q31" s="2662"/>
      <c r="R31" s="2664"/>
    </row>
    <row r="32" spans="1:18" s="885" customFormat="1">
      <c r="B32" s="2662"/>
      <c r="C32" s="2662"/>
      <c r="D32" s="2662"/>
      <c r="H32" s="2662"/>
      <c r="I32" s="2663"/>
      <c r="J32" s="2662"/>
      <c r="K32" s="2662"/>
      <c r="L32" s="2663"/>
      <c r="M32" s="2662"/>
      <c r="N32" s="2662"/>
      <c r="O32" s="2663"/>
      <c r="P32" s="2662"/>
      <c r="Q32" s="2662"/>
      <c r="R32" s="2664"/>
    </row>
    <row r="33" spans="2:18" s="885" customFormat="1">
      <c r="B33" s="2662"/>
      <c r="C33" s="2662"/>
      <c r="D33" s="2662"/>
      <c r="H33" s="2662"/>
      <c r="I33" s="2663"/>
      <c r="J33" s="2662"/>
      <c r="K33" s="2662"/>
      <c r="L33" s="2663"/>
      <c r="M33" s="2662"/>
      <c r="N33" s="2662"/>
      <c r="O33" s="2663"/>
      <c r="P33" s="2662"/>
      <c r="Q33" s="2662"/>
      <c r="R33" s="2664"/>
    </row>
    <row r="34" spans="2:18" s="885" customFormat="1">
      <c r="B34" s="2662"/>
      <c r="C34" s="2662"/>
      <c r="D34" s="2662"/>
      <c r="H34" s="2662"/>
      <c r="I34" s="2663"/>
      <c r="J34" s="2662"/>
      <c r="K34" s="2662"/>
      <c r="L34" s="2663"/>
      <c r="M34" s="2662"/>
      <c r="N34" s="2662"/>
      <c r="O34" s="2663"/>
      <c r="P34" s="2662"/>
      <c r="Q34" s="2662"/>
      <c r="R34" s="2664"/>
    </row>
    <row r="35" spans="2:18" s="885" customFormat="1">
      <c r="B35" s="2662"/>
      <c r="C35" s="2662"/>
      <c r="D35" s="2662"/>
      <c r="H35" s="2662"/>
      <c r="I35" s="2663"/>
      <c r="J35" s="2662"/>
      <c r="K35" s="2662"/>
      <c r="L35" s="2663"/>
      <c r="M35" s="2662"/>
      <c r="N35" s="2662"/>
      <c r="O35" s="2663"/>
      <c r="P35" s="2662"/>
      <c r="Q35" s="2662"/>
      <c r="R35" s="2664"/>
    </row>
    <row r="36" spans="2:18" s="885" customFormat="1">
      <c r="B36" s="2662"/>
      <c r="C36" s="2662"/>
      <c r="D36" s="2662"/>
      <c r="H36" s="2662"/>
      <c r="I36" s="2663"/>
      <c r="J36" s="2662"/>
      <c r="K36" s="2662"/>
      <c r="L36" s="2663"/>
      <c r="M36" s="2662"/>
      <c r="N36" s="2662"/>
      <c r="O36" s="2663"/>
      <c r="P36" s="2662"/>
      <c r="Q36" s="2662"/>
      <c r="R36" s="2664"/>
    </row>
    <row r="37" spans="2:18" s="885" customFormat="1">
      <c r="B37" s="2662"/>
      <c r="C37" s="2662"/>
      <c r="D37" s="2662"/>
      <c r="H37" s="2662"/>
      <c r="I37" s="2663"/>
      <c r="J37" s="2662"/>
      <c r="K37" s="2662"/>
      <c r="L37" s="2663"/>
      <c r="M37" s="2662"/>
      <c r="N37" s="2662"/>
      <c r="O37" s="2663"/>
      <c r="P37" s="2662"/>
      <c r="Q37" s="2662"/>
      <c r="R37" s="2664"/>
    </row>
    <row r="38" spans="2:18" s="885" customFormat="1">
      <c r="B38" s="2662"/>
      <c r="C38" s="2662"/>
      <c r="D38" s="2662"/>
      <c r="E38" s="2662"/>
      <c r="F38" s="2662"/>
      <c r="G38" s="2663"/>
      <c r="H38" s="2662"/>
      <c r="I38" s="2663"/>
      <c r="J38" s="2662"/>
      <c r="K38" s="2662"/>
      <c r="L38" s="2663"/>
      <c r="M38" s="2662"/>
      <c r="N38" s="2662"/>
      <c r="O38" s="2663"/>
      <c r="P38" s="2662"/>
      <c r="Q38" s="2662"/>
      <c r="R38" s="2664"/>
    </row>
    <row r="39" spans="2:18" s="885" customFormat="1">
      <c r="B39" s="2662"/>
      <c r="C39" s="2662"/>
      <c r="D39" s="2662"/>
      <c r="E39" s="2662"/>
      <c r="F39" s="2662"/>
      <c r="G39" s="2663"/>
      <c r="H39" s="2662"/>
      <c r="I39" s="2663"/>
      <c r="J39" s="2662"/>
      <c r="K39" s="2662"/>
      <c r="L39" s="2663"/>
      <c r="M39" s="2662"/>
      <c r="N39" s="2662"/>
      <c r="O39" s="2663"/>
      <c r="P39" s="2662"/>
      <c r="Q39" s="2662"/>
      <c r="R39" s="2664"/>
    </row>
    <row r="40" spans="2:18" s="885" customFormat="1">
      <c r="B40" s="2662"/>
      <c r="C40" s="2662"/>
      <c r="D40" s="2662"/>
      <c r="E40" s="2662"/>
      <c r="F40" s="2662"/>
      <c r="G40" s="2663"/>
      <c r="H40" s="2662"/>
      <c r="I40" s="2663"/>
      <c r="J40" s="2662"/>
      <c r="K40" s="2662"/>
      <c r="L40" s="2663"/>
      <c r="M40" s="2662"/>
      <c r="N40" s="2662"/>
      <c r="O40" s="2663"/>
      <c r="P40" s="2662"/>
      <c r="Q40" s="2662"/>
      <c r="R40" s="2664"/>
    </row>
    <row r="41" spans="2:18" s="885" customFormat="1">
      <c r="B41" s="2662"/>
      <c r="C41" s="2662"/>
      <c r="D41" s="2662"/>
      <c r="E41" s="2662"/>
      <c r="F41" s="2662"/>
      <c r="G41" s="2663"/>
      <c r="H41" s="2662"/>
      <c r="I41" s="2663"/>
      <c r="J41" s="2662"/>
      <c r="K41" s="2662"/>
      <c r="L41" s="2663"/>
      <c r="M41" s="2662"/>
      <c r="N41" s="2662"/>
      <c r="O41" s="2663"/>
      <c r="P41" s="2662"/>
      <c r="Q41" s="2662"/>
      <c r="R41" s="2664"/>
    </row>
    <row r="42" spans="2:18" s="885" customFormat="1">
      <c r="B42" s="2662"/>
      <c r="C42" s="2662"/>
      <c r="D42" s="2662"/>
      <c r="E42" s="2662"/>
      <c r="F42" s="2662"/>
      <c r="G42" s="2663"/>
      <c r="H42" s="2662"/>
      <c r="I42" s="2663"/>
      <c r="J42" s="2662"/>
      <c r="K42" s="2662"/>
      <c r="L42" s="2663"/>
      <c r="M42" s="2662"/>
      <c r="N42" s="2662"/>
      <c r="O42" s="2663"/>
      <c r="P42" s="2662"/>
      <c r="Q42" s="2662"/>
      <c r="R42" s="2664"/>
    </row>
    <row r="43" spans="2:18" s="885" customFormat="1">
      <c r="B43" s="2662"/>
      <c r="C43" s="2662"/>
      <c r="D43" s="2662"/>
      <c r="E43" s="2662"/>
      <c r="F43" s="2662"/>
      <c r="G43" s="2663"/>
      <c r="H43" s="2662"/>
      <c r="I43" s="2663"/>
      <c r="J43" s="2662"/>
      <c r="K43" s="2662"/>
      <c r="L43" s="2663"/>
      <c r="M43" s="2662"/>
      <c r="N43" s="2662"/>
      <c r="O43" s="2663"/>
      <c r="P43" s="2662"/>
      <c r="Q43" s="2662"/>
      <c r="R43" s="2664"/>
    </row>
    <row r="44" spans="2:18" s="885" customFormat="1">
      <c r="B44" s="2662"/>
      <c r="C44" s="2662"/>
      <c r="D44" s="2662"/>
      <c r="E44" s="2662"/>
      <c r="F44" s="2662"/>
      <c r="G44" s="2663"/>
      <c r="H44" s="2662"/>
      <c r="I44" s="2663"/>
      <c r="J44" s="2662"/>
      <c r="K44" s="2662"/>
      <c r="L44" s="2663"/>
      <c r="M44" s="2662"/>
      <c r="N44" s="2662"/>
      <c r="O44" s="2663"/>
      <c r="P44" s="2662"/>
      <c r="Q44" s="2662"/>
      <c r="R44" s="2664"/>
    </row>
    <row r="45" spans="2:18" s="885" customFormat="1">
      <c r="B45" s="2662"/>
      <c r="C45" s="2662"/>
      <c r="D45" s="2662"/>
      <c r="E45" s="2662"/>
      <c r="F45" s="2662"/>
      <c r="G45" s="2663"/>
      <c r="H45" s="2662"/>
      <c r="I45" s="2663"/>
      <c r="J45" s="2662"/>
      <c r="K45" s="2662"/>
      <c r="L45" s="2663"/>
      <c r="M45" s="2662"/>
      <c r="N45" s="2662"/>
      <c r="O45" s="2663"/>
      <c r="P45" s="2662"/>
      <c r="Q45" s="2662"/>
      <c r="R45" s="2664"/>
    </row>
    <row r="46" spans="2:18" s="885" customFormat="1">
      <c r="B46" s="2662"/>
      <c r="C46" s="2662"/>
      <c r="D46" s="2662"/>
      <c r="E46" s="2662"/>
      <c r="F46" s="2662"/>
      <c r="G46" s="2663"/>
      <c r="H46" s="2662"/>
      <c r="I46" s="2663"/>
      <c r="J46" s="2662"/>
      <c r="K46" s="2662"/>
      <c r="L46" s="2663"/>
      <c r="M46" s="2662"/>
      <c r="N46" s="2662"/>
      <c r="O46" s="2663"/>
      <c r="P46" s="2662"/>
      <c r="Q46" s="2662"/>
      <c r="R46" s="2664"/>
    </row>
    <row r="47" spans="2:18" s="885" customFormat="1">
      <c r="B47" s="2662"/>
      <c r="C47" s="2662"/>
      <c r="D47" s="2662"/>
      <c r="E47" s="2662"/>
      <c r="F47" s="2662"/>
      <c r="G47" s="2663"/>
      <c r="H47" s="2662"/>
      <c r="I47" s="2663"/>
      <c r="J47" s="2662"/>
      <c r="K47" s="2662"/>
      <c r="L47" s="2663"/>
      <c r="M47" s="2662"/>
      <c r="N47" s="2662"/>
      <c r="O47" s="2663"/>
      <c r="P47" s="2662"/>
      <c r="Q47" s="2662"/>
      <c r="R47" s="2664"/>
    </row>
    <row r="48" spans="2:18" s="885" customFormat="1">
      <c r="B48" s="2662"/>
      <c r="C48" s="2662"/>
      <c r="D48" s="2662"/>
      <c r="E48" s="2662"/>
      <c r="F48" s="2662"/>
      <c r="G48" s="2663"/>
      <c r="H48" s="2662"/>
      <c r="I48" s="2663"/>
      <c r="J48" s="2662"/>
      <c r="K48" s="2662"/>
      <c r="L48" s="2663"/>
      <c r="M48" s="2662"/>
      <c r="N48" s="2662"/>
      <c r="O48" s="2663"/>
      <c r="P48" s="2662"/>
      <c r="Q48" s="2662"/>
      <c r="R48" s="2664"/>
    </row>
    <row r="49" spans="2:18" s="885" customFormat="1">
      <c r="B49" s="2662"/>
      <c r="C49" s="2662"/>
      <c r="D49" s="2662"/>
      <c r="E49" s="2662"/>
      <c r="F49" s="2662"/>
      <c r="G49" s="2663"/>
      <c r="H49" s="2662"/>
      <c r="I49" s="2663"/>
      <c r="J49" s="2662"/>
      <c r="K49" s="2662"/>
      <c r="L49" s="2663"/>
      <c r="M49" s="2662"/>
      <c r="N49" s="2662"/>
      <c r="O49" s="2663"/>
      <c r="P49" s="2662"/>
      <c r="Q49" s="2662"/>
      <c r="R49" s="2664"/>
    </row>
    <row r="50" spans="2:18" s="885" customFormat="1">
      <c r="B50" s="2662"/>
      <c r="C50" s="2662"/>
      <c r="D50" s="2662"/>
      <c r="E50" s="2662"/>
      <c r="F50" s="2662"/>
      <c r="G50" s="2663"/>
      <c r="H50" s="2662"/>
      <c r="I50" s="2663"/>
      <c r="J50" s="2662"/>
      <c r="K50" s="2662"/>
      <c r="L50" s="2663"/>
      <c r="M50" s="2662"/>
      <c r="N50" s="2662"/>
      <c r="O50" s="2663"/>
      <c r="P50" s="2662"/>
      <c r="Q50" s="2662"/>
      <c r="R50" s="2664"/>
    </row>
    <row r="51" spans="2:18" s="885" customFormat="1">
      <c r="B51" s="2662"/>
      <c r="C51" s="2662"/>
      <c r="D51" s="2662"/>
      <c r="E51" s="2662"/>
      <c r="F51" s="2662"/>
      <c r="G51" s="2663"/>
      <c r="H51" s="2662"/>
      <c r="I51" s="2663"/>
      <c r="J51" s="2662"/>
      <c r="K51" s="2662"/>
      <c r="L51" s="2663"/>
      <c r="M51" s="2662"/>
      <c r="N51" s="2662"/>
      <c r="O51" s="2663"/>
      <c r="P51" s="2662"/>
      <c r="Q51" s="2662"/>
      <c r="R51" s="2664"/>
    </row>
    <row r="52" spans="2:18" s="885" customFormat="1">
      <c r="B52" s="2662"/>
      <c r="C52" s="2662"/>
      <c r="D52" s="2662"/>
      <c r="E52" s="2662"/>
      <c r="F52" s="2662"/>
      <c r="G52" s="2663"/>
      <c r="H52" s="2662"/>
      <c r="I52" s="2663"/>
      <c r="J52" s="2662"/>
      <c r="K52" s="2662"/>
      <c r="L52" s="2663"/>
      <c r="M52" s="2662"/>
      <c r="N52" s="2662"/>
      <c r="O52" s="2663"/>
      <c r="P52" s="2662"/>
      <c r="Q52" s="2662"/>
      <c r="R52" s="2664"/>
    </row>
    <row r="53" spans="2:18" s="885" customFormat="1">
      <c r="B53" s="2662"/>
      <c r="C53" s="2662"/>
      <c r="D53" s="2662"/>
      <c r="E53" s="2662"/>
      <c r="F53" s="2662"/>
      <c r="G53" s="2663"/>
      <c r="H53" s="2662"/>
      <c r="I53" s="2663"/>
      <c r="J53" s="2662"/>
      <c r="K53" s="2662"/>
      <c r="L53" s="2663"/>
      <c r="M53" s="2662"/>
      <c r="N53" s="2662"/>
      <c r="O53" s="2663"/>
      <c r="P53" s="2662"/>
      <c r="Q53" s="2662"/>
      <c r="R53" s="2664"/>
    </row>
    <row r="54" spans="2:18" s="885" customFormat="1">
      <c r="B54" s="2662"/>
      <c r="C54" s="2662"/>
      <c r="D54" s="2662"/>
      <c r="E54" s="2662"/>
      <c r="F54" s="2662"/>
      <c r="G54" s="2663"/>
      <c r="H54" s="2662"/>
      <c r="I54" s="2663"/>
      <c r="J54" s="2662"/>
      <c r="K54" s="2662"/>
      <c r="L54" s="2663"/>
      <c r="M54" s="2662"/>
      <c r="N54" s="2662"/>
      <c r="O54" s="2663"/>
      <c r="P54" s="2662"/>
      <c r="Q54" s="2662"/>
      <c r="R54" s="2664"/>
    </row>
    <row r="55" spans="2:18" s="885" customFormat="1">
      <c r="B55" s="2662"/>
      <c r="C55" s="2662"/>
      <c r="D55" s="2662"/>
      <c r="E55" s="2662"/>
      <c r="F55" s="2662"/>
      <c r="G55" s="2663"/>
      <c r="H55" s="2662"/>
      <c r="I55" s="2663"/>
      <c r="J55" s="2662"/>
      <c r="K55" s="2662"/>
      <c r="L55" s="2663"/>
      <c r="M55" s="2662"/>
      <c r="N55" s="2662"/>
      <c r="O55" s="2663"/>
      <c r="P55" s="2662"/>
      <c r="Q55" s="2662"/>
      <c r="R55" s="2664"/>
    </row>
    <row r="56" spans="2:18" s="885" customFormat="1">
      <c r="B56" s="2662"/>
      <c r="C56" s="2662"/>
      <c r="D56" s="2662"/>
      <c r="E56" s="2662"/>
      <c r="F56" s="2662"/>
      <c r="G56" s="2663"/>
      <c r="H56" s="2662"/>
      <c r="I56" s="2663"/>
      <c r="J56" s="2662"/>
      <c r="K56" s="2662"/>
      <c r="L56" s="2663"/>
      <c r="M56" s="2662"/>
      <c r="N56" s="2662"/>
      <c r="O56" s="2663"/>
      <c r="P56" s="2662"/>
      <c r="Q56" s="2662"/>
      <c r="R56" s="2664"/>
    </row>
    <row r="57" spans="2:18" s="885" customFormat="1">
      <c r="B57" s="2662"/>
      <c r="C57" s="2662"/>
      <c r="D57" s="2662"/>
      <c r="E57" s="2662"/>
      <c r="F57" s="2662"/>
      <c r="G57" s="2663"/>
      <c r="H57" s="2662"/>
      <c r="I57" s="2663"/>
      <c r="J57" s="2662"/>
      <c r="K57" s="2662"/>
      <c r="L57" s="2663"/>
      <c r="M57" s="2662"/>
      <c r="N57" s="2662"/>
      <c r="O57" s="2663"/>
      <c r="P57" s="2662"/>
      <c r="Q57" s="2662"/>
      <c r="R57" s="2664"/>
    </row>
    <row r="58" spans="2:18" s="885" customFormat="1">
      <c r="B58" s="2662"/>
      <c r="C58" s="2662"/>
      <c r="D58" s="2662"/>
      <c r="E58" s="2662"/>
      <c r="F58" s="2662"/>
      <c r="G58" s="2663"/>
      <c r="H58" s="2662"/>
      <c r="I58" s="2663"/>
      <c r="J58" s="2662"/>
      <c r="K58" s="2662"/>
      <c r="L58" s="2663"/>
      <c r="M58" s="2662"/>
      <c r="N58" s="2662"/>
      <c r="O58" s="2663"/>
      <c r="P58" s="2662"/>
      <c r="Q58" s="2662"/>
      <c r="R58" s="2664"/>
    </row>
    <row r="59" spans="2:18" s="885" customFormat="1">
      <c r="B59" s="2662"/>
      <c r="C59" s="2662"/>
      <c r="D59" s="2662"/>
      <c r="E59" s="2662"/>
      <c r="F59" s="2662"/>
      <c r="G59" s="2663"/>
      <c r="H59" s="2662"/>
      <c r="I59" s="2663"/>
      <c r="J59" s="2662"/>
      <c r="K59" s="2662"/>
      <c r="L59" s="2663"/>
      <c r="M59" s="2662"/>
      <c r="N59" s="2662"/>
      <c r="O59" s="2663"/>
      <c r="P59" s="2662"/>
      <c r="Q59" s="2662"/>
      <c r="R59" s="2664"/>
    </row>
    <row r="60" spans="2:18" s="885" customFormat="1">
      <c r="B60" s="2662"/>
      <c r="C60" s="2662"/>
      <c r="D60" s="2662"/>
      <c r="E60" s="2662"/>
      <c r="F60" s="2662"/>
      <c r="G60" s="2663"/>
      <c r="H60" s="2662"/>
      <c r="I60" s="2663"/>
      <c r="J60" s="2662"/>
      <c r="K60" s="2662"/>
      <c r="L60" s="2663"/>
      <c r="M60" s="2662"/>
      <c r="N60" s="2662"/>
      <c r="O60" s="2663"/>
      <c r="P60" s="2662"/>
      <c r="Q60" s="2662"/>
      <c r="R60" s="2664"/>
    </row>
    <row r="61" spans="2:18" s="885" customFormat="1">
      <c r="B61" s="2662"/>
      <c r="C61" s="2662"/>
      <c r="D61" s="2662"/>
      <c r="E61" s="2662"/>
      <c r="F61" s="2662"/>
      <c r="G61" s="2663"/>
      <c r="H61" s="2662"/>
      <c r="I61" s="2663"/>
      <c r="J61" s="2662"/>
      <c r="K61" s="2662"/>
      <c r="L61" s="2663"/>
      <c r="M61" s="2662"/>
      <c r="N61" s="2662"/>
      <c r="O61" s="2663"/>
      <c r="P61" s="2662"/>
      <c r="Q61" s="2662"/>
      <c r="R61" s="2664"/>
    </row>
    <row r="62" spans="2:18" s="885" customFormat="1">
      <c r="B62" s="2662"/>
      <c r="C62" s="2662"/>
      <c r="D62" s="2662"/>
      <c r="E62" s="2662"/>
      <c r="F62" s="2662"/>
      <c r="G62" s="2663"/>
      <c r="H62" s="2662"/>
      <c r="I62" s="2663"/>
      <c r="J62" s="2662"/>
      <c r="K62" s="2662"/>
      <c r="L62" s="2663"/>
      <c r="M62" s="2662"/>
      <c r="N62" s="2662"/>
      <c r="O62" s="2663"/>
      <c r="P62" s="2662"/>
      <c r="Q62" s="2662"/>
      <c r="R62" s="2664"/>
    </row>
    <row r="63" spans="2:18" s="885" customFormat="1">
      <c r="B63" s="2662"/>
      <c r="C63" s="2662"/>
      <c r="D63" s="2662"/>
      <c r="E63" s="2662"/>
      <c r="F63" s="2662"/>
      <c r="G63" s="2663"/>
      <c r="H63" s="2662"/>
      <c r="I63" s="2663"/>
      <c r="J63" s="2662"/>
      <c r="K63" s="2662"/>
      <c r="L63" s="2663"/>
      <c r="M63" s="2662"/>
      <c r="N63" s="2662"/>
      <c r="O63" s="2663"/>
      <c r="P63" s="2662"/>
      <c r="Q63" s="2662"/>
      <c r="R63" s="2664"/>
    </row>
    <row r="64" spans="2:18" s="885" customFormat="1">
      <c r="B64" s="2662"/>
      <c r="C64" s="2662"/>
      <c r="D64" s="2662"/>
      <c r="E64" s="2662"/>
      <c r="F64" s="2662"/>
      <c r="G64" s="2663"/>
      <c r="H64" s="2662"/>
      <c r="I64" s="2663"/>
      <c r="J64" s="2662"/>
      <c r="K64" s="2662"/>
      <c r="L64" s="2663"/>
      <c r="M64" s="2662"/>
      <c r="N64" s="2662"/>
      <c r="O64" s="2663"/>
      <c r="P64" s="2662"/>
      <c r="Q64" s="2662"/>
      <c r="R64" s="2664"/>
    </row>
    <row r="65" spans="2:18" s="885" customFormat="1">
      <c r="B65" s="2662"/>
      <c r="C65" s="2662"/>
      <c r="D65" s="2662"/>
      <c r="E65" s="2662"/>
      <c r="F65" s="2662"/>
      <c r="G65" s="2663"/>
      <c r="H65" s="2662"/>
      <c r="I65" s="2663"/>
      <c r="J65" s="2662"/>
      <c r="K65" s="2662"/>
      <c r="L65" s="2663"/>
      <c r="M65" s="2662"/>
      <c r="N65" s="2662"/>
      <c r="O65" s="2663"/>
      <c r="P65" s="2662"/>
      <c r="Q65" s="2662"/>
      <c r="R65" s="2664"/>
    </row>
    <row r="66" spans="2:18" s="885" customFormat="1">
      <c r="B66" s="2662"/>
      <c r="C66" s="2662"/>
      <c r="D66" s="2662"/>
      <c r="E66" s="2662"/>
      <c r="F66" s="2662"/>
      <c r="G66" s="2663"/>
      <c r="H66" s="2662"/>
      <c r="I66" s="2663"/>
      <c r="J66" s="2662"/>
      <c r="K66" s="2662"/>
      <c r="L66" s="2663"/>
      <c r="M66" s="2662"/>
      <c r="N66" s="2662"/>
      <c r="O66" s="2663"/>
      <c r="P66" s="2662"/>
      <c r="Q66" s="2662"/>
      <c r="R66" s="2664"/>
    </row>
    <row r="67" spans="2:18" s="885" customFormat="1">
      <c r="B67" s="2662"/>
      <c r="C67" s="2662"/>
      <c r="D67" s="2662"/>
      <c r="E67" s="2662"/>
      <c r="F67" s="2662"/>
      <c r="G67" s="2663"/>
      <c r="H67" s="2662"/>
      <c r="I67" s="2663"/>
      <c r="J67" s="2662"/>
      <c r="K67" s="2662"/>
      <c r="L67" s="2663"/>
      <c r="M67" s="2662"/>
      <c r="N67" s="2662"/>
      <c r="O67" s="2663"/>
      <c r="P67" s="2662"/>
      <c r="Q67" s="2662"/>
      <c r="R67" s="2664"/>
    </row>
    <row r="68" spans="2:18" s="885" customFormat="1">
      <c r="B68" s="2662"/>
      <c r="C68" s="2662"/>
      <c r="D68" s="2662"/>
      <c r="E68" s="2662"/>
      <c r="F68" s="2662"/>
      <c r="G68" s="2663"/>
      <c r="H68" s="2662"/>
      <c r="I68" s="2663"/>
      <c r="J68" s="2662"/>
      <c r="K68" s="2662"/>
      <c r="L68" s="2663"/>
      <c r="M68" s="2662"/>
      <c r="N68" s="2662"/>
      <c r="O68" s="2663"/>
      <c r="P68" s="2662"/>
      <c r="Q68" s="2662"/>
      <c r="R68" s="2664"/>
    </row>
    <row r="69" spans="2:18" s="885" customFormat="1">
      <c r="B69" s="2662"/>
      <c r="C69" s="2662"/>
      <c r="D69" s="2662"/>
      <c r="E69" s="2662"/>
      <c r="F69" s="2662"/>
      <c r="G69" s="2663"/>
      <c r="H69" s="2662"/>
      <c r="I69" s="2663"/>
      <c r="J69" s="2662"/>
      <c r="K69" s="2662"/>
      <c r="L69" s="2663"/>
      <c r="M69" s="2662"/>
      <c r="N69" s="2662"/>
      <c r="O69" s="2663"/>
      <c r="P69" s="2662"/>
      <c r="Q69" s="2662"/>
      <c r="R69" s="2664"/>
    </row>
    <row r="70" spans="2:18" s="885" customFormat="1">
      <c r="B70" s="2662"/>
      <c r="C70" s="2662"/>
      <c r="D70" s="2662"/>
      <c r="E70" s="2662"/>
      <c r="F70" s="2662"/>
      <c r="G70" s="2663"/>
      <c r="H70" s="2662"/>
      <c r="I70" s="2663"/>
      <c r="J70" s="2662"/>
      <c r="K70" s="2662"/>
      <c r="L70" s="2663"/>
      <c r="M70" s="2662"/>
      <c r="N70" s="2662"/>
      <c r="O70" s="2663"/>
      <c r="P70" s="2662"/>
      <c r="Q70" s="2662"/>
      <c r="R70" s="2664"/>
    </row>
    <row r="71" spans="2:18" s="885" customFormat="1">
      <c r="B71" s="2662"/>
      <c r="C71" s="2662"/>
      <c r="D71" s="2662"/>
      <c r="E71" s="2662"/>
      <c r="F71" s="2662"/>
      <c r="G71" s="2663"/>
      <c r="H71" s="2662"/>
      <c r="I71" s="2663"/>
      <c r="J71" s="2662"/>
      <c r="K71" s="2662"/>
      <c r="L71" s="2663"/>
      <c r="M71" s="2662"/>
      <c r="N71" s="2662"/>
      <c r="O71" s="2663"/>
      <c r="P71" s="2662"/>
      <c r="Q71" s="2662"/>
      <c r="R71" s="2664"/>
    </row>
    <row r="72" spans="2:18" s="885" customFormat="1">
      <c r="B72" s="2662"/>
      <c r="C72" s="2662"/>
      <c r="D72" s="2662"/>
      <c r="E72" s="2662"/>
      <c r="F72" s="2662"/>
      <c r="G72" s="2663"/>
      <c r="H72" s="2662"/>
      <c r="I72" s="2663"/>
      <c r="J72" s="2662"/>
      <c r="K72" s="2662"/>
      <c r="L72" s="2663"/>
      <c r="M72" s="2662"/>
      <c r="N72" s="2662"/>
      <c r="O72" s="2663"/>
      <c r="P72" s="2662"/>
      <c r="Q72" s="2662"/>
      <c r="R72" s="2664"/>
    </row>
    <row r="73" spans="2:18" s="885" customFormat="1">
      <c r="B73" s="2662"/>
      <c r="C73" s="2662"/>
      <c r="D73" s="2662"/>
      <c r="E73" s="2662"/>
      <c r="F73" s="2662"/>
      <c r="G73" s="2663"/>
      <c r="H73" s="2662"/>
      <c r="I73" s="2663"/>
      <c r="J73" s="2662"/>
      <c r="K73" s="2662"/>
      <c r="L73" s="2663"/>
      <c r="M73" s="2662"/>
      <c r="N73" s="2662"/>
      <c r="O73" s="2663"/>
      <c r="P73" s="2662"/>
      <c r="Q73" s="2662"/>
      <c r="R73" s="2664"/>
    </row>
    <row r="74" spans="2:18" s="885" customFormat="1">
      <c r="B74" s="2662"/>
      <c r="C74" s="2662"/>
      <c r="D74" s="2662"/>
      <c r="E74" s="2662"/>
      <c r="F74" s="2662"/>
      <c r="G74" s="2663"/>
      <c r="H74" s="2662"/>
      <c r="I74" s="2663"/>
      <c r="J74" s="2662"/>
      <c r="K74" s="2662"/>
      <c r="L74" s="2663"/>
      <c r="M74" s="2662"/>
      <c r="N74" s="2662"/>
      <c r="O74" s="2663"/>
      <c r="P74" s="2662"/>
      <c r="Q74" s="2662"/>
      <c r="R74" s="2664"/>
    </row>
    <row r="75" spans="2:18" s="885" customFormat="1">
      <c r="B75" s="2662"/>
      <c r="C75" s="2662"/>
      <c r="D75" s="2662"/>
      <c r="E75" s="2662"/>
      <c r="F75" s="2662"/>
      <c r="G75" s="2663"/>
      <c r="H75" s="2662"/>
      <c r="I75" s="2663"/>
      <c r="J75" s="2662"/>
      <c r="K75" s="2662"/>
      <c r="L75" s="2663"/>
      <c r="M75" s="2662"/>
      <c r="N75" s="2662"/>
      <c r="O75" s="2663"/>
      <c r="P75" s="2662"/>
      <c r="Q75" s="2662"/>
      <c r="R75" s="2664"/>
    </row>
    <row r="76" spans="2:18" s="885" customFormat="1">
      <c r="B76" s="2662"/>
      <c r="C76" s="2662"/>
      <c r="D76" s="2662"/>
      <c r="E76" s="2662"/>
      <c r="F76" s="2662"/>
      <c r="G76" s="2663"/>
      <c r="H76" s="2662"/>
      <c r="I76" s="2663"/>
      <c r="J76" s="2662"/>
      <c r="K76" s="2662"/>
      <c r="L76" s="2663"/>
      <c r="M76" s="2662"/>
      <c r="N76" s="2662"/>
      <c r="O76" s="2663"/>
      <c r="P76" s="2662"/>
      <c r="Q76" s="2662"/>
      <c r="R76" s="2664"/>
    </row>
    <row r="77" spans="2:18" s="885" customFormat="1">
      <c r="B77" s="2662"/>
      <c r="C77" s="2662"/>
      <c r="D77" s="2662"/>
      <c r="E77" s="2662"/>
      <c r="F77" s="2662"/>
      <c r="G77" s="2663"/>
      <c r="H77" s="2662"/>
      <c r="I77" s="2663"/>
      <c r="J77" s="2662"/>
      <c r="K77" s="2662"/>
      <c r="L77" s="2663"/>
      <c r="M77" s="2662"/>
      <c r="N77" s="2662"/>
      <c r="O77" s="2663"/>
      <c r="P77" s="2662"/>
      <c r="Q77" s="2662"/>
      <c r="R77" s="2664"/>
    </row>
    <row r="78" spans="2:18" s="885" customFormat="1">
      <c r="B78" s="2662"/>
      <c r="C78" s="2662"/>
      <c r="D78" s="2662"/>
      <c r="E78" s="2662"/>
      <c r="F78" s="2662"/>
      <c r="G78" s="2663"/>
      <c r="H78" s="2662"/>
      <c r="I78" s="2663"/>
      <c r="J78" s="2662"/>
      <c r="K78" s="2662"/>
      <c r="L78" s="2663"/>
      <c r="M78" s="2662"/>
      <c r="N78" s="2662"/>
      <c r="O78" s="2663"/>
      <c r="P78" s="2662"/>
      <c r="Q78" s="2662"/>
      <c r="R78" s="2664"/>
    </row>
    <row r="79" spans="2:18" s="885" customFormat="1">
      <c r="B79" s="2662"/>
      <c r="C79" s="2662"/>
      <c r="D79" s="2662"/>
      <c r="E79" s="2662"/>
      <c r="F79" s="2662"/>
      <c r="G79" s="2663"/>
      <c r="H79" s="2662"/>
      <c r="I79" s="2663"/>
      <c r="J79" s="2662"/>
      <c r="K79" s="2662"/>
      <c r="L79" s="2663"/>
      <c r="M79" s="2662"/>
      <c r="N79" s="2662"/>
      <c r="O79" s="2663"/>
      <c r="P79" s="2662"/>
      <c r="Q79" s="2662"/>
      <c r="R79" s="2664"/>
    </row>
    <row r="80" spans="2:18" s="885" customFormat="1">
      <c r="B80" s="2662"/>
      <c r="C80" s="2662"/>
      <c r="D80" s="2662"/>
      <c r="E80" s="2662"/>
      <c r="F80" s="2662"/>
      <c r="G80" s="2663"/>
      <c r="H80" s="2662"/>
      <c r="I80" s="2663"/>
      <c r="J80" s="2662"/>
      <c r="K80" s="2662"/>
      <c r="L80" s="2663"/>
      <c r="M80" s="2662"/>
      <c r="N80" s="2662"/>
      <c r="O80" s="2663"/>
      <c r="P80" s="2662"/>
      <c r="Q80" s="2662"/>
      <c r="R80" s="2664"/>
    </row>
    <row r="81" spans="2:18" s="885" customFormat="1">
      <c r="B81" s="2662"/>
      <c r="C81" s="2662"/>
      <c r="D81" s="2662"/>
      <c r="E81" s="2662"/>
      <c r="F81" s="2662"/>
      <c r="G81" s="2663"/>
      <c r="H81" s="2662"/>
      <c r="I81" s="2663"/>
      <c r="J81" s="2662"/>
      <c r="K81" s="2662"/>
      <c r="L81" s="2663"/>
      <c r="M81" s="2662"/>
      <c r="N81" s="2662"/>
      <c r="O81" s="2663"/>
      <c r="P81" s="2662"/>
      <c r="Q81" s="2662"/>
      <c r="R81" s="2664"/>
    </row>
    <row r="82" spans="2:18" s="885" customFormat="1">
      <c r="B82" s="2662"/>
      <c r="C82" s="2662"/>
      <c r="D82" s="2662"/>
      <c r="E82" s="2662"/>
      <c r="F82" s="2662"/>
      <c r="G82" s="2663"/>
      <c r="H82" s="2662"/>
      <c r="I82" s="2663"/>
      <c r="J82" s="2662"/>
      <c r="K82" s="2662"/>
      <c r="L82" s="2663"/>
      <c r="M82" s="2662"/>
      <c r="N82" s="2662"/>
      <c r="O82" s="2663"/>
      <c r="P82" s="2662"/>
      <c r="Q82" s="2662"/>
      <c r="R82" s="2664"/>
    </row>
    <row r="83" spans="2:18" s="885" customFormat="1">
      <c r="B83" s="2662"/>
      <c r="C83" s="2662"/>
      <c r="D83" s="2662"/>
      <c r="E83" s="2662"/>
      <c r="F83" s="2662"/>
      <c r="G83" s="2663"/>
      <c r="H83" s="2662"/>
      <c r="I83" s="2663"/>
      <c r="J83" s="2662"/>
      <c r="K83" s="2662"/>
      <c r="L83" s="2663"/>
      <c r="M83" s="2662"/>
      <c r="N83" s="2662"/>
      <c r="O83" s="2663"/>
      <c r="P83" s="2662"/>
      <c r="Q83" s="2662"/>
      <c r="R83" s="2664"/>
    </row>
    <row r="84" spans="2:18" s="885" customFormat="1">
      <c r="B84" s="2662"/>
      <c r="C84" s="2662"/>
      <c r="D84" s="2662"/>
      <c r="E84" s="2662"/>
      <c r="F84" s="2662"/>
      <c r="G84" s="2663"/>
      <c r="H84" s="2662"/>
      <c r="I84" s="2663"/>
      <c r="J84" s="2662"/>
      <c r="K84" s="2662"/>
      <c r="L84" s="2663"/>
      <c r="M84" s="2662"/>
      <c r="N84" s="2662"/>
      <c r="O84" s="2663"/>
      <c r="P84" s="2662"/>
      <c r="Q84" s="2662"/>
      <c r="R84" s="2664"/>
    </row>
    <row r="85" spans="2:18" s="885" customFormat="1">
      <c r="B85" s="2662"/>
      <c r="C85" s="2662"/>
      <c r="D85" s="2662"/>
      <c r="E85" s="2662"/>
      <c r="F85" s="2662"/>
      <c r="G85" s="2663"/>
      <c r="H85" s="2662"/>
      <c r="I85" s="2663"/>
      <c r="J85" s="2662"/>
      <c r="K85" s="2662"/>
      <c r="L85" s="2663"/>
      <c r="M85" s="2662"/>
      <c r="N85" s="2662"/>
      <c r="O85" s="2663"/>
      <c r="P85" s="2662"/>
      <c r="Q85" s="2662"/>
      <c r="R85" s="2664"/>
    </row>
    <row r="86" spans="2:18" s="885" customFormat="1">
      <c r="B86" s="2662"/>
      <c r="C86" s="2662"/>
      <c r="D86" s="2662"/>
      <c r="E86" s="2662"/>
      <c r="F86" s="2662"/>
      <c r="G86" s="2663"/>
      <c r="H86" s="2662"/>
      <c r="I86" s="2663"/>
      <c r="J86" s="2662"/>
      <c r="K86" s="2662"/>
      <c r="L86" s="2663"/>
      <c r="M86" s="2662"/>
      <c r="N86" s="2662"/>
      <c r="O86" s="2663"/>
      <c r="P86" s="2662"/>
      <c r="Q86" s="2662"/>
      <c r="R86" s="2664"/>
    </row>
    <row r="87" spans="2:18" s="885" customFormat="1">
      <c r="B87" s="2662"/>
      <c r="C87" s="2662"/>
      <c r="D87" s="2662"/>
      <c r="E87" s="2662"/>
      <c r="F87" s="2662"/>
      <c r="G87" s="2663"/>
      <c r="H87" s="2662"/>
      <c r="I87" s="2663"/>
      <c r="J87" s="2662"/>
      <c r="K87" s="2662"/>
      <c r="L87" s="2663"/>
      <c r="M87" s="2662"/>
      <c r="N87" s="2662"/>
      <c r="O87" s="2663"/>
      <c r="P87" s="2662"/>
      <c r="Q87" s="2662"/>
      <c r="R87" s="2664"/>
    </row>
    <row r="88" spans="2:18" s="885" customFormat="1">
      <c r="B88" s="2662"/>
      <c r="C88" s="2662"/>
      <c r="D88" s="2662"/>
      <c r="E88" s="2662"/>
      <c r="F88" s="2662"/>
      <c r="G88" s="2663"/>
      <c r="H88" s="2662"/>
      <c r="I88" s="2663"/>
      <c r="J88" s="2662"/>
      <c r="K88" s="2662"/>
      <c r="L88" s="2663"/>
      <c r="M88" s="2662"/>
      <c r="N88" s="2662"/>
      <c r="O88" s="2663"/>
      <c r="P88" s="2662"/>
      <c r="Q88" s="2662"/>
      <c r="R88" s="2664"/>
    </row>
    <row r="89" spans="2:18" s="885" customFormat="1">
      <c r="B89" s="2662"/>
      <c r="C89" s="2662"/>
      <c r="D89" s="2662"/>
      <c r="E89" s="2662"/>
      <c r="F89" s="2662"/>
      <c r="G89" s="2663"/>
      <c r="H89" s="2662"/>
      <c r="I89" s="2663"/>
      <c r="J89" s="2662"/>
      <c r="K89" s="2662"/>
      <c r="L89" s="2663"/>
      <c r="M89" s="2662"/>
      <c r="N89" s="2662"/>
      <c r="O89" s="2663"/>
      <c r="P89" s="2662"/>
      <c r="Q89" s="2662"/>
      <c r="R89" s="2664"/>
    </row>
    <row r="90" spans="2:18" s="885" customFormat="1">
      <c r="B90" s="2662"/>
      <c r="C90" s="2662"/>
      <c r="D90" s="2662"/>
      <c r="E90" s="2662"/>
      <c r="F90" s="2662"/>
      <c r="G90" s="2663"/>
      <c r="H90" s="2662"/>
      <c r="I90" s="2663"/>
      <c r="J90" s="2662"/>
      <c r="K90" s="2662"/>
      <c r="L90" s="2663"/>
      <c r="M90" s="2662"/>
      <c r="N90" s="2662"/>
      <c r="O90" s="2663"/>
      <c r="P90" s="2662"/>
      <c r="Q90" s="2662"/>
      <c r="R90" s="2664"/>
    </row>
    <row r="91" spans="2:18" s="885" customFormat="1">
      <c r="B91" s="2662"/>
      <c r="C91" s="2662"/>
      <c r="D91" s="2662"/>
      <c r="E91" s="2662"/>
      <c r="F91" s="2662"/>
      <c r="G91" s="2663"/>
      <c r="H91" s="2662"/>
      <c r="I91" s="2663"/>
      <c r="J91" s="2662"/>
      <c r="K91" s="2662"/>
      <c r="L91" s="2663"/>
      <c r="M91" s="2662"/>
      <c r="N91" s="2662"/>
      <c r="O91" s="2663"/>
      <c r="P91" s="2662"/>
      <c r="Q91" s="2662"/>
      <c r="R91" s="2664"/>
    </row>
    <row r="92" spans="2:18" s="885" customFormat="1">
      <c r="B92" s="2662"/>
      <c r="C92" s="2662"/>
      <c r="D92" s="2662"/>
      <c r="E92" s="2662"/>
      <c r="F92" s="2662"/>
      <c r="G92" s="2663"/>
      <c r="H92" s="2662"/>
      <c r="I92" s="2663"/>
      <c r="J92" s="2662"/>
      <c r="K92" s="2662"/>
      <c r="L92" s="2663"/>
      <c r="M92" s="2662"/>
      <c r="N92" s="2662"/>
      <c r="O92" s="2663"/>
      <c r="P92" s="2662"/>
      <c r="Q92" s="2662"/>
      <c r="R92" s="2664"/>
    </row>
    <row r="93" spans="2:18" s="885" customFormat="1">
      <c r="B93" s="2662"/>
      <c r="C93" s="2662"/>
      <c r="D93" s="2662"/>
      <c r="E93" s="2662"/>
      <c r="F93" s="2662"/>
      <c r="G93" s="2663"/>
      <c r="H93" s="2662"/>
      <c r="I93" s="2663"/>
      <c r="J93" s="2662"/>
      <c r="K93" s="2662"/>
      <c r="L93" s="2663"/>
      <c r="M93" s="2662"/>
      <c r="N93" s="2662"/>
      <c r="O93" s="2663"/>
      <c r="P93" s="2662"/>
      <c r="Q93" s="2662"/>
      <c r="R93" s="2664"/>
    </row>
    <row r="94" spans="2:18" s="885" customFormat="1">
      <c r="B94" s="2662"/>
      <c r="C94" s="2662"/>
      <c r="D94" s="2662"/>
      <c r="E94" s="2662"/>
      <c r="F94" s="2662"/>
      <c r="G94" s="2663"/>
      <c r="H94" s="2662"/>
      <c r="I94" s="2663"/>
      <c r="J94" s="2662"/>
      <c r="K94" s="2662"/>
      <c r="L94" s="2663"/>
      <c r="M94" s="2662"/>
      <c r="N94" s="2662"/>
      <c r="O94" s="2663"/>
      <c r="P94" s="2662"/>
      <c r="Q94" s="2662"/>
      <c r="R94" s="2664"/>
    </row>
    <row r="95" spans="2:18" s="885" customFormat="1">
      <c r="B95" s="2662"/>
      <c r="C95" s="2662"/>
      <c r="D95" s="2662"/>
      <c r="E95" s="2662"/>
      <c r="F95" s="2662"/>
      <c r="G95" s="2663"/>
      <c r="H95" s="2662"/>
      <c r="I95" s="2663"/>
      <c r="J95" s="2662"/>
      <c r="K95" s="2662"/>
      <c r="L95" s="2663"/>
      <c r="M95" s="2662"/>
      <c r="N95" s="2662"/>
      <c r="O95" s="2663"/>
      <c r="P95" s="2662"/>
      <c r="Q95" s="2662"/>
      <c r="R95" s="2664"/>
    </row>
    <row r="96" spans="2:18" s="885" customFormat="1">
      <c r="B96" s="2662"/>
      <c r="C96" s="2662"/>
      <c r="D96" s="2662"/>
      <c r="E96" s="2662"/>
      <c r="F96" s="2662"/>
      <c r="G96" s="2663"/>
      <c r="H96" s="2662"/>
      <c r="I96" s="2663"/>
      <c r="J96" s="2662"/>
      <c r="K96" s="2662"/>
      <c r="L96" s="2663"/>
      <c r="M96" s="2662"/>
      <c r="N96" s="2662"/>
      <c r="O96" s="2663"/>
      <c r="P96" s="2662"/>
      <c r="Q96" s="2662"/>
      <c r="R96" s="2664"/>
    </row>
    <row r="97" spans="2:18" s="885" customFormat="1">
      <c r="B97" s="2662"/>
      <c r="C97" s="2662"/>
      <c r="D97" s="2662"/>
      <c r="E97" s="2662"/>
      <c r="F97" s="2662"/>
      <c r="G97" s="2663"/>
      <c r="H97" s="2662"/>
      <c r="I97" s="2663"/>
      <c r="J97" s="2662"/>
      <c r="K97" s="2662"/>
      <c r="L97" s="2663"/>
      <c r="M97" s="2662"/>
      <c r="N97" s="2662"/>
      <c r="O97" s="2663"/>
      <c r="P97" s="2662"/>
      <c r="Q97" s="2662"/>
      <c r="R97" s="2664"/>
    </row>
    <row r="98" spans="2:18" s="885" customFormat="1">
      <c r="B98" s="2662"/>
      <c r="C98" s="2662"/>
      <c r="D98" s="2662"/>
      <c r="E98" s="2662"/>
      <c r="F98" s="2662"/>
      <c r="G98" s="2663"/>
      <c r="H98" s="2662"/>
      <c r="I98" s="2663"/>
      <c r="J98" s="2662"/>
      <c r="K98" s="2662"/>
      <c r="L98" s="2663"/>
      <c r="M98" s="2662"/>
      <c r="N98" s="2662"/>
      <c r="O98" s="2663"/>
      <c r="P98" s="2662"/>
      <c r="Q98" s="2662"/>
      <c r="R98" s="2664"/>
    </row>
    <row r="99" spans="2:18" s="885" customFormat="1">
      <c r="B99" s="2662"/>
      <c r="C99" s="2662"/>
      <c r="D99" s="2662"/>
      <c r="E99" s="2662"/>
      <c r="F99" s="2662"/>
      <c r="G99" s="2663"/>
      <c r="H99" s="2662"/>
      <c r="I99" s="2663"/>
      <c r="J99" s="2662"/>
      <c r="K99" s="2662"/>
      <c r="L99" s="2663"/>
      <c r="M99" s="2662"/>
      <c r="N99" s="2662"/>
      <c r="O99" s="2663"/>
      <c r="P99" s="2662"/>
      <c r="Q99" s="2662"/>
      <c r="R99" s="2664"/>
    </row>
    <row r="100" spans="2:18" s="885" customFormat="1">
      <c r="B100" s="2662"/>
      <c r="C100" s="2662"/>
      <c r="D100" s="2662"/>
      <c r="E100" s="2662"/>
      <c r="F100" s="2662"/>
      <c r="G100" s="2663"/>
      <c r="H100" s="2662"/>
      <c r="I100" s="2663"/>
      <c r="J100" s="2662"/>
      <c r="K100" s="2662"/>
      <c r="L100" s="2663"/>
      <c r="M100" s="2662"/>
      <c r="N100" s="2662"/>
      <c r="O100" s="2663"/>
      <c r="P100" s="2662"/>
      <c r="Q100" s="2662"/>
      <c r="R100" s="2664"/>
    </row>
    <row r="101" spans="2:18" s="885" customFormat="1">
      <c r="B101" s="2662"/>
      <c r="C101" s="2662"/>
      <c r="D101" s="2662"/>
      <c r="E101" s="2662"/>
      <c r="F101" s="2662"/>
      <c r="G101" s="2663"/>
      <c r="H101" s="2662"/>
      <c r="I101" s="2663"/>
      <c r="J101" s="2662"/>
      <c r="K101" s="2662"/>
      <c r="L101" s="2663"/>
      <c r="M101" s="2662"/>
      <c r="N101" s="2662"/>
      <c r="O101" s="2663"/>
      <c r="P101" s="2662"/>
      <c r="Q101" s="2662"/>
      <c r="R101" s="2664"/>
    </row>
    <row r="102" spans="2:18" s="885" customFormat="1">
      <c r="B102" s="2662"/>
      <c r="C102" s="2662"/>
      <c r="D102" s="2662"/>
      <c r="E102" s="2662"/>
      <c r="F102" s="2662"/>
      <c r="G102" s="2663"/>
      <c r="H102" s="2662"/>
      <c r="I102" s="2663"/>
      <c r="J102" s="2662"/>
      <c r="K102" s="2662"/>
      <c r="L102" s="2663"/>
      <c r="M102" s="2662"/>
      <c r="N102" s="2662"/>
      <c r="O102" s="2663"/>
      <c r="P102" s="2662"/>
      <c r="Q102" s="2662"/>
      <c r="R102" s="2664"/>
    </row>
    <row r="103" spans="2:18" s="885" customFormat="1">
      <c r="B103" s="2662"/>
      <c r="C103" s="2662"/>
      <c r="D103" s="2662"/>
      <c r="E103" s="2662"/>
      <c r="F103" s="2662"/>
      <c r="G103" s="2663"/>
      <c r="H103" s="2662"/>
      <c r="I103" s="2663"/>
      <c r="J103" s="2662"/>
      <c r="K103" s="2662"/>
      <c r="L103" s="2663"/>
      <c r="M103" s="2662"/>
      <c r="N103" s="2662"/>
      <c r="O103" s="2663"/>
      <c r="P103" s="2662"/>
      <c r="Q103" s="2662"/>
      <c r="R103" s="2664"/>
    </row>
    <row r="104" spans="2:18" s="885" customFormat="1">
      <c r="B104" s="2662"/>
      <c r="C104" s="2662"/>
      <c r="D104" s="2662"/>
      <c r="E104" s="2662"/>
      <c r="F104" s="2662"/>
      <c r="G104" s="2663"/>
      <c r="H104" s="2662"/>
      <c r="I104" s="2663"/>
      <c r="J104" s="2662"/>
      <c r="K104" s="2662"/>
      <c r="L104" s="2663"/>
      <c r="M104" s="2662"/>
      <c r="N104" s="2662"/>
      <c r="O104" s="2663"/>
      <c r="P104" s="2662"/>
      <c r="Q104" s="2662"/>
      <c r="R104" s="2664"/>
    </row>
    <row r="105" spans="2:18" s="885" customFormat="1">
      <c r="B105" s="2662"/>
      <c r="C105" s="2662"/>
      <c r="D105" s="2662"/>
      <c r="E105" s="2662"/>
      <c r="F105" s="2662"/>
      <c r="G105" s="2663"/>
      <c r="H105" s="2662"/>
      <c r="I105" s="2663"/>
      <c r="J105" s="2662"/>
      <c r="K105" s="2662"/>
      <c r="L105" s="2663"/>
      <c r="M105" s="2662"/>
      <c r="N105" s="2662"/>
      <c r="O105" s="2663"/>
      <c r="P105" s="2662"/>
      <c r="Q105" s="2662"/>
      <c r="R105" s="2664"/>
    </row>
    <row r="106" spans="2:18" s="885" customFormat="1">
      <c r="B106" s="2662"/>
      <c r="C106" s="2662"/>
      <c r="D106" s="2662"/>
      <c r="E106" s="2662"/>
      <c r="F106" s="2662"/>
      <c r="G106" s="2663"/>
      <c r="H106" s="2662"/>
      <c r="I106" s="2663"/>
      <c r="J106" s="2662"/>
      <c r="K106" s="2662"/>
      <c r="L106" s="2663"/>
      <c r="M106" s="2662"/>
      <c r="N106" s="2662"/>
      <c r="O106" s="2663"/>
      <c r="P106" s="2662"/>
      <c r="Q106" s="2662"/>
      <c r="R106" s="2664"/>
    </row>
    <row r="107" spans="2:18" s="885" customFormat="1">
      <c r="B107" s="2662"/>
      <c r="C107" s="2662"/>
      <c r="D107" s="2662"/>
      <c r="E107" s="2662"/>
      <c r="F107" s="2662"/>
      <c r="G107" s="2663"/>
      <c r="H107" s="2662"/>
      <c r="I107" s="2663"/>
      <c r="J107" s="2662"/>
      <c r="K107" s="2662"/>
      <c r="L107" s="2663"/>
      <c r="M107" s="2662"/>
      <c r="N107" s="2662"/>
      <c r="O107" s="2663"/>
      <c r="P107" s="2662"/>
      <c r="Q107" s="2662"/>
      <c r="R107" s="2664"/>
    </row>
    <row r="108" spans="2:18" s="885" customFormat="1">
      <c r="B108" s="2662"/>
      <c r="C108" s="2662"/>
      <c r="D108" s="2662"/>
      <c r="E108" s="2662"/>
      <c r="F108" s="2662"/>
      <c r="G108" s="2663"/>
      <c r="H108" s="2662"/>
      <c r="I108" s="2663"/>
      <c r="J108" s="2662"/>
      <c r="K108" s="2662"/>
      <c r="L108" s="2663"/>
      <c r="M108" s="2662"/>
      <c r="N108" s="2662"/>
      <c r="O108" s="2663"/>
      <c r="P108" s="2662"/>
      <c r="Q108" s="2662"/>
      <c r="R108" s="2664"/>
    </row>
    <row r="109" spans="2:18" s="885" customFormat="1">
      <c r="B109" s="2662"/>
      <c r="C109" s="2662"/>
      <c r="D109" s="2662"/>
      <c r="E109" s="2662"/>
      <c r="F109" s="2662"/>
      <c r="G109" s="2663"/>
      <c r="H109" s="2662"/>
      <c r="I109" s="2663"/>
      <c r="J109" s="2662"/>
      <c r="K109" s="2662"/>
      <c r="L109" s="2663"/>
      <c r="M109" s="2662"/>
      <c r="N109" s="2662"/>
      <c r="O109" s="2663"/>
      <c r="P109" s="2662"/>
      <c r="Q109" s="2662"/>
      <c r="R109" s="2664"/>
    </row>
    <row r="110" spans="2:18" s="885" customFormat="1">
      <c r="B110" s="2662"/>
      <c r="C110" s="2662"/>
      <c r="D110" s="2662"/>
      <c r="E110" s="2662"/>
      <c r="F110" s="2662"/>
      <c r="G110" s="2663"/>
      <c r="H110" s="2662"/>
      <c r="I110" s="2663"/>
      <c r="J110" s="2662"/>
      <c r="K110" s="2662"/>
      <c r="L110" s="2663"/>
      <c r="M110" s="2662"/>
      <c r="N110" s="2662"/>
      <c r="O110" s="2663"/>
      <c r="P110" s="2662"/>
      <c r="Q110" s="2662"/>
      <c r="R110" s="2664"/>
    </row>
    <row r="111" spans="2:18" s="885" customFormat="1">
      <c r="B111" s="2662"/>
      <c r="C111" s="2662"/>
      <c r="D111" s="2662"/>
      <c r="E111" s="2662"/>
      <c r="F111" s="2662"/>
      <c r="G111" s="2663"/>
      <c r="H111" s="2662"/>
      <c r="I111" s="2663"/>
      <c r="J111" s="2662"/>
      <c r="K111" s="2662"/>
      <c r="L111" s="2663"/>
      <c r="M111" s="2662"/>
      <c r="N111" s="2662"/>
      <c r="O111" s="2663"/>
      <c r="P111" s="2662"/>
      <c r="Q111" s="2662"/>
      <c r="R111" s="2664"/>
    </row>
    <row r="112" spans="2:18" s="885" customFormat="1">
      <c r="B112" s="2662"/>
      <c r="C112" s="2662"/>
      <c r="D112" s="2662"/>
      <c r="E112" s="2662"/>
      <c r="F112" s="2662"/>
      <c r="G112" s="2663"/>
      <c r="H112" s="2662"/>
      <c r="I112" s="2663"/>
      <c r="J112" s="2662"/>
      <c r="K112" s="2662"/>
      <c r="L112" s="2663"/>
      <c r="M112" s="2662"/>
      <c r="N112" s="2662"/>
      <c r="O112" s="2663"/>
      <c r="P112" s="2662"/>
      <c r="Q112" s="2662"/>
      <c r="R112" s="2664"/>
    </row>
    <row r="113" spans="2:18" s="885" customFormat="1">
      <c r="B113" s="2662"/>
      <c r="C113" s="2662"/>
      <c r="D113" s="2662"/>
      <c r="E113" s="2662"/>
      <c r="F113" s="2662"/>
      <c r="G113" s="2663"/>
      <c r="H113" s="2662"/>
      <c r="I113" s="2663"/>
      <c r="J113" s="2662"/>
      <c r="K113" s="2662"/>
      <c r="L113" s="2663"/>
      <c r="M113" s="2662"/>
      <c r="N113" s="2662"/>
      <c r="O113" s="2663"/>
      <c r="P113" s="2662"/>
      <c r="Q113" s="2662"/>
      <c r="R113" s="2664"/>
    </row>
    <row r="114" spans="2:18" s="885" customFormat="1">
      <c r="B114" s="2662"/>
      <c r="C114" s="2662"/>
      <c r="D114" s="2662"/>
      <c r="E114" s="2662"/>
      <c r="F114" s="2662"/>
      <c r="G114" s="2663"/>
      <c r="H114" s="2662"/>
      <c r="I114" s="2663"/>
      <c r="J114" s="2662"/>
      <c r="K114" s="2662"/>
      <c r="L114" s="2663"/>
      <c r="M114" s="2662"/>
      <c r="N114" s="2662"/>
      <c r="O114" s="2663"/>
      <c r="P114" s="2662"/>
      <c r="Q114" s="2662"/>
      <c r="R114" s="2664"/>
    </row>
    <row r="115" spans="2:18" s="885" customFormat="1">
      <c r="B115" s="2662"/>
      <c r="C115" s="2662"/>
      <c r="D115" s="2662"/>
      <c r="E115" s="2662"/>
      <c r="F115" s="2662"/>
      <c r="G115" s="2663"/>
      <c r="H115" s="2662"/>
      <c r="I115" s="2663"/>
      <c r="J115" s="2662"/>
      <c r="K115" s="2662"/>
      <c r="L115" s="2663"/>
      <c r="M115" s="2662"/>
      <c r="N115" s="2662"/>
      <c r="O115" s="2663"/>
      <c r="P115" s="2662"/>
      <c r="Q115" s="2662"/>
      <c r="R115" s="2664"/>
    </row>
    <row r="116" spans="2:18" s="885" customFormat="1">
      <c r="B116" s="2662"/>
      <c r="C116" s="2662"/>
      <c r="D116" s="2662"/>
      <c r="E116" s="2662"/>
      <c r="F116" s="2662"/>
      <c r="G116" s="2663"/>
      <c r="H116" s="2662"/>
      <c r="I116" s="2663"/>
      <c r="J116" s="2662"/>
      <c r="K116" s="2662"/>
      <c r="L116" s="2663"/>
      <c r="M116" s="2662"/>
      <c r="N116" s="2662"/>
      <c r="O116" s="2663"/>
      <c r="P116" s="2662"/>
      <c r="Q116" s="2662"/>
      <c r="R116" s="2664"/>
    </row>
    <row r="117" spans="2:18" s="885" customFormat="1">
      <c r="B117" s="2662"/>
      <c r="C117" s="2662"/>
      <c r="D117" s="2662"/>
      <c r="E117" s="2662"/>
      <c r="F117" s="2662"/>
      <c r="G117" s="2663"/>
      <c r="H117" s="2662"/>
      <c r="I117" s="2663"/>
      <c r="J117" s="2662"/>
      <c r="K117" s="2662"/>
      <c r="L117" s="2663"/>
      <c r="M117" s="2662"/>
      <c r="N117" s="2662"/>
      <c r="O117" s="2663"/>
      <c r="P117" s="2662"/>
      <c r="Q117" s="2662"/>
      <c r="R117" s="2664"/>
    </row>
    <row r="118" spans="2:18" s="885" customFormat="1">
      <c r="B118" s="2662"/>
      <c r="C118" s="2662"/>
      <c r="D118" s="2662"/>
      <c r="E118" s="2662"/>
      <c r="F118" s="2662"/>
      <c r="G118" s="2663"/>
      <c r="H118" s="2662"/>
      <c r="I118" s="2663"/>
      <c r="J118" s="2662"/>
      <c r="K118" s="2662"/>
      <c r="L118" s="2663"/>
      <c r="M118" s="2662"/>
      <c r="N118" s="2662"/>
      <c r="O118" s="2663"/>
      <c r="P118" s="2662"/>
      <c r="Q118" s="2662"/>
      <c r="R118" s="2664"/>
    </row>
    <row r="119" spans="2:18" s="885" customFormat="1">
      <c r="B119" s="2662"/>
      <c r="C119" s="2662"/>
      <c r="D119" s="2662"/>
      <c r="E119" s="2662"/>
      <c r="F119" s="2662"/>
      <c r="G119" s="2663"/>
      <c r="H119" s="2662"/>
      <c r="I119" s="2663"/>
      <c r="J119" s="2662"/>
      <c r="K119" s="2662"/>
      <c r="L119" s="2663"/>
      <c r="M119" s="2662"/>
      <c r="N119" s="2662"/>
      <c r="O119" s="2663"/>
      <c r="P119" s="2662"/>
      <c r="Q119" s="2662"/>
      <c r="R119" s="2664"/>
    </row>
    <row r="120" spans="2:18" s="885" customFormat="1">
      <c r="B120" s="2662"/>
      <c r="C120" s="2662"/>
      <c r="D120" s="2662"/>
      <c r="E120" s="2662"/>
      <c r="F120" s="2662"/>
      <c r="G120" s="2663"/>
      <c r="H120" s="2662"/>
      <c r="I120" s="2663"/>
      <c r="J120" s="2662"/>
      <c r="K120" s="2662"/>
      <c r="L120" s="2663"/>
      <c r="M120" s="2662"/>
      <c r="N120" s="2662"/>
      <c r="O120" s="2663"/>
      <c r="P120" s="2662"/>
      <c r="Q120" s="2662"/>
      <c r="R120" s="2664"/>
    </row>
    <row r="121" spans="2:18" s="885" customFormat="1">
      <c r="B121" s="2662"/>
      <c r="C121" s="2662"/>
      <c r="D121" s="2662"/>
      <c r="E121" s="2662"/>
      <c r="F121" s="2662"/>
      <c r="G121" s="2663"/>
      <c r="H121" s="2662"/>
      <c r="I121" s="2663"/>
      <c r="J121" s="2662"/>
      <c r="K121" s="2662"/>
      <c r="L121" s="2663"/>
      <c r="M121" s="2662"/>
      <c r="N121" s="2662"/>
      <c r="O121" s="2663"/>
      <c r="P121" s="2662"/>
      <c r="Q121" s="2662"/>
      <c r="R121" s="2664"/>
    </row>
    <row r="122" spans="2:18" s="885" customFormat="1">
      <c r="B122" s="2662"/>
      <c r="C122" s="2662"/>
      <c r="D122" s="2662"/>
      <c r="E122" s="2662"/>
      <c r="F122" s="2662"/>
      <c r="G122" s="2663"/>
      <c r="H122" s="2662"/>
      <c r="I122" s="2663"/>
      <c r="J122" s="2662"/>
      <c r="K122" s="2662"/>
      <c r="L122" s="2663"/>
      <c r="M122" s="2662"/>
      <c r="N122" s="2662"/>
      <c r="O122" s="2663"/>
      <c r="P122" s="2662"/>
      <c r="Q122" s="2662"/>
      <c r="R122" s="2664"/>
    </row>
    <row r="123" spans="2:18" s="885" customFormat="1">
      <c r="B123" s="2662"/>
      <c r="C123" s="2662"/>
      <c r="D123" s="2662"/>
      <c r="E123" s="2662"/>
      <c r="F123" s="2662"/>
      <c r="G123" s="2663"/>
      <c r="H123" s="2662"/>
      <c r="I123" s="2663"/>
      <c r="J123" s="2662"/>
      <c r="K123" s="2662"/>
      <c r="L123" s="2663"/>
      <c r="M123" s="2662"/>
      <c r="N123" s="2662"/>
      <c r="O123" s="2663"/>
      <c r="P123" s="2662"/>
      <c r="Q123" s="2662"/>
      <c r="R123" s="2664"/>
    </row>
    <row r="124" spans="2:18" s="885" customFormat="1">
      <c r="B124" s="2662"/>
      <c r="C124" s="2662"/>
      <c r="D124" s="2662"/>
      <c r="E124" s="2662"/>
      <c r="F124" s="2662"/>
      <c r="G124" s="2663"/>
      <c r="H124" s="2662"/>
      <c r="I124" s="2663"/>
      <c r="J124" s="2662"/>
      <c r="K124" s="2662"/>
      <c r="L124" s="2663"/>
      <c r="M124" s="2662"/>
      <c r="N124" s="2662"/>
      <c r="O124" s="2663"/>
      <c r="P124" s="2662"/>
      <c r="Q124" s="2662"/>
      <c r="R124" s="2664"/>
    </row>
    <row r="125" spans="2:18" s="885" customFormat="1">
      <c r="B125" s="2662"/>
      <c r="C125" s="2662"/>
      <c r="D125" s="2662"/>
      <c r="E125" s="2662"/>
      <c r="F125" s="2662"/>
      <c r="G125" s="2663"/>
      <c r="H125" s="2662"/>
      <c r="I125" s="2663"/>
      <c r="J125" s="2662"/>
      <c r="K125" s="2662"/>
      <c r="L125" s="2663"/>
      <c r="M125" s="2662"/>
      <c r="N125" s="2662"/>
      <c r="O125" s="2663"/>
      <c r="P125" s="2662"/>
      <c r="Q125" s="2662"/>
      <c r="R125" s="2664"/>
    </row>
    <row r="126" spans="2:18" s="885" customFormat="1">
      <c r="B126" s="2662"/>
      <c r="C126" s="2662"/>
      <c r="D126" s="2662"/>
      <c r="E126" s="2662"/>
      <c r="F126" s="2662"/>
      <c r="G126" s="2663"/>
      <c r="H126" s="2662"/>
      <c r="I126" s="2663"/>
      <c r="J126" s="2662"/>
      <c r="K126" s="2662"/>
      <c r="L126" s="2663"/>
      <c r="M126" s="2662"/>
      <c r="N126" s="2662"/>
      <c r="O126" s="2663"/>
      <c r="P126" s="2662"/>
      <c r="Q126" s="2662"/>
      <c r="R126" s="2664"/>
    </row>
    <row r="127" spans="2:18" s="885" customFormat="1">
      <c r="B127" s="2662"/>
      <c r="C127" s="2662"/>
      <c r="D127" s="2662"/>
      <c r="E127" s="2662"/>
      <c r="F127" s="2662"/>
      <c r="G127" s="2663"/>
      <c r="H127" s="2662"/>
      <c r="I127" s="2663"/>
      <c r="J127" s="2662"/>
      <c r="K127" s="2662"/>
      <c r="L127" s="2663"/>
      <c r="M127" s="2662"/>
      <c r="N127" s="2662"/>
      <c r="O127" s="2663"/>
      <c r="P127" s="2662"/>
      <c r="Q127" s="2662"/>
      <c r="R127" s="2664"/>
    </row>
    <row r="128" spans="2:18" s="885" customFormat="1">
      <c r="B128" s="2662"/>
      <c r="C128" s="2662"/>
      <c r="D128" s="2662"/>
      <c r="E128" s="2662"/>
      <c r="F128" s="2662"/>
      <c r="G128" s="2663"/>
      <c r="H128" s="2662"/>
      <c r="I128" s="2663"/>
      <c r="J128" s="2662"/>
      <c r="K128" s="2662"/>
      <c r="L128" s="2663"/>
      <c r="M128" s="2662"/>
      <c r="N128" s="2662"/>
      <c r="O128" s="2663"/>
      <c r="P128" s="2662"/>
      <c r="Q128" s="2662"/>
      <c r="R128" s="2664"/>
    </row>
    <row r="129" spans="2:18" s="885" customFormat="1">
      <c r="B129" s="2662"/>
      <c r="C129" s="2662"/>
      <c r="D129" s="2662"/>
      <c r="E129" s="2662"/>
      <c r="F129" s="2662"/>
      <c r="G129" s="2663"/>
      <c r="H129" s="2662"/>
      <c r="I129" s="2663"/>
      <c r="J129" s="2662"/>
      <c r="K129" s="2662"/>
      <c r="L129" s="2663"/>
      <c r="M129" s="2662"/>
      <c r="N129" s="2662"/>
      <c r="O129" s="2663"/>
      <c r="P129" s="2662"/>
      <c r="Q129" s="2662"/>
      <c r="R129" s="2664"/>
    </row>
    <row r="130" spans="2:18" s="885" customFormat="1">
      <c r="B130" s="2662"/>
      <c r="C130" s="2662"/>
      <c r="D130" s="2662"/>
      <c r="E130" s="2662"/>
      <c r="F130" s="2662"/>
      <c r="G130" s="2663"/>
      <c r="H130" s="2662"/>
      <c r="I130" s="2663"/>
      <c r="J130" s="2662"/>
      <c r="K130" s="2662"/>
      <c r="L130" s="2663"/>
      <c r="M130" s="2662"/>
      <c r="N130" s="2662"/>
      <c r="O130" s="2663"/>
      <c r="P130" s="2662"/>
      <c r="Q130" s="2662"/>
      <c r="R130" s="2664"/>
    </row>
    <row r="131" spans="2:18" s="885" customFormat="1">
      <c r="B131" s="2662"/>
      <c r="C131" s="2662"/>
      <c r="D131" s="2662"/>
      <c r="E131" s="2662"/>
      <c r="F131" s="2662"/>
      <c r="G131" s="2663"/>
      <c r="H131" s="2662"/>
      <c r="I131" s="2663"/>
      <c r="J131" s="2662"/>
      <c r="K131" s="2662"/>
      <c r="L131" s="2663"/>
      <c r="M131" s="2662"/>
      <c r="N131" s="2662"/>
      <c r="O131" s="2663"/>
      <c r="P131" s="2662"/>
      <c r="Q131" s="2662"/>
      <c r="R131" s="2664"/>
    </row>
    <row r="132" spans="2:18" s="885" customFormat="1">
      <c r="B132" s="2662"/>
      <c r="C132" s="2662"/>
      <c r="D132" s="2662"/>
      <c r="E132" s="2662"/>
      <c r="F132" s="2662"/>
      <c r="G132" s="2663"/>
      <c r="H132" s="2662"/>
      <c r="I132" s="2663"/>
      <c r="J132" s="2662"/>
      <c r="K132" s="2662"/>
      <c r="L132" s="2663"/>
      <c r="M132" s="2662"/>
      <c r="N132" s="2662"/>
      <c r="O132" s="2663"/>
      <c r="P132" s="2662"/>
      <c r="Q132" s="2662"/>
      <c r="R132" s="2664"/>
    </row>
    <row r="133" spans="2:18" s="885" customFormat="1">
      <c r="B133" s="2662"/>
      <c r="C133" s="2662"/>
      <c r="D133" s="2662"/>
      <c r="E133" s="2662"/>
      <c r="F133" s="2662"/>
      <c r="G133" s="2663"/>
      <c r="H133" s="2662"/>
      <c r="I133" s="2663"/>
      <c r="J133" s="2662"/>
      <c r="K133" s="2662"/>
      <c r="L133" s="2663"/>
      <c r="M133" s="2662"/>
      <c r="N133" s="2662"/>
      <c r="O133" s="2663"/>
      <c r="P133" s="2662"/>
      <c r="Q133" s="2662"/>
      <c r="R133" s="2664"/>
    </row>
    <row r="134" spans="2:18" s="885" customFormat="1">
      <c r="B134" s="2662"/>
      <c r="C134" s="2662"/>
      <c r="D134" s="2662"/>
      <c r="E134" s="2662"/>
      <c r="F134" s="2662"/>
      <c r="G134" s="2663"/>
      <c r="H134" s="2662"/>
      <c r="I134" s="2663"/>
      <c r="J134" s="2662"/>
      <c r="K134" s="2662"/>
      <c r="L134" s="2663"/>
      <c r="M134" s="2662"/>
      <c r="N134" s="2662"/>
      <c r="O134" s="2663"/>
      <c r="P134" s="2662"/>
      <c r="Q134" s="2662"/>
      <c r="R134" s="2664"/>
    </row>
    <row r="135" spans="2:18" s="885" customFormat="1">
      <c r="B135" s="2662"/>
      <c r="C135" s="2662"/>
      <c r="D135" s="2662"/>
      <c r="E135" s="2662"/>
      <c r="F135" s="2662"/>
      <c r="G135" s="2663"/>
      <c r="H135" s="2662"/>
      <c r="I135" s="2663"/>
      <c r="J135" s="2662"/>
      <c r="K135" s="2662"/>
      <c r="L135" s="2663"/>
      <c r="M135" s="2662"/>
      <c r="N135" s="2662"/>
      <c r="O135" s="2663"/>
      <c r="P135" s="2662"/>
      <c r="Q135" s="2662"/>
      <c r="R135" s="2664"/>
    </row>
    <row r="136" spans="2:18" s="885" customFormat="1">
      <c r="B136" s="2662"/>
      <c r="C136" s="2662"/>
      <c r="D136" s="2662"/>
      <c r="E136" s="2662"/>
      <c r="F136" s="2662"/>
      <c r="G136" s="2663"/>
      <c r="H136" s="2662"/>
      <c r="I136" s="2663"/>
      <c r="J136" s="2662"/>
      <c r="K136" s="2662"/>
      <c r="L136" s="2663"/>
      <c r="M136" s="2662"/>
      <c r="N136" s="2662"/>
      <c r="O136" s="2663"/>
      <c r="P136" s="2662"/>
      <c r="Q136" s="2662"/>
      <c r="R136" s="2664"/>
    </row>
    <row r="137" spans="2:18" s="885" customFormat="1">
      <c r="B137" s="2662"/>
      <c r="C137" s="2662"/>
      <c r="D137" s="2662"/>
      <c r="E137" s="2662"/>
      <c r="F137" s="2662"/>
      <c r="G137" s="2663"/>
      <c r="H137" s="2662"/>
      <c r="I137" s="2663"/>
      <c r="J137" s="2662"/>
      <c r="K137" s="2662"/>
      <c r="L137" s="2663"/>
      <c r="M137" s="2662"/>
      <c r="N137" s="2662"/>
      <c r="O137" s="2663"/>
      <c r="P137" s="2662"/>
      <c r="Q137" s="2662"/>
      <c r="R137" s="2664"/>
    </row>
    <row r="138" spans="2:18" s="885" customFormat="1">
      <c r="B138" s="2662"/>
      <c r="C138" s="2662"/>
      <c r="D138" s="2662"/>
      <c r="E138" s="2662"/>
      <c r="F138" s="2662"/>
      <c r="G138" s="2663"/>
      <c r="H138" s="2662"/>
      <c r="I138" s="2663"/>
      <c r="J138" s="2662"/>
      <c r="K138" s="2662"/>
      <c r="L138" s="2663"/>
      <c r="M138" s="2662"/>
      <c r="N138" s="2662"/>
      <c r="O138" s="2663"/>
      <c r="P138" s="2662"/>
      <c r="Q138" s="2662"/>
      <c r="R138" s="2664"/>
    </row>
    <row r="139" spans="2:18" s="885" customFormat="1">
      <c r="B139" s="2662"/>
      <c r="C139" s="2662"/>
      <c r="D139" s="2662"/>
      <c r="E139" s="2662"/>
      <c r="F139" s="2662"/>
      <c r="G139" s="2663"/>
      <c r="H139" s="2662"/>
      <c r="I139" s="2663"/>
      <c r="J139" s="2662"/>
      <c r="K139" s="2662"/>
      <c r="L139" s="2663"/>
      <c r="M139" s="2662"/>
      <c r="N139" s="2662"/>
      <c r="O139" s="2663"/>
      <c r="P139" s="2662"/>
      <c r="Q139" s="2662"/>
      <c r="R139" s="2664"/>
    </row>
    <row r="140" spans="2:18" s="885" customFormat="1">
      <c r="B140" s="2662"/>
      <c r="C140" s="2662"/>
      <c r="D140" s="2662"/>
      <c r="E140" s="2662"/>
      <c r="F140" s="2662"/>
      <c r="G140" s="2663"/>
      <c r="H140" s="2662"/>
      <c r="I140" s="2663"/>
      <c r="J140" s="2662"/>
      <c r="K140" s="2662"/>
      <c r="L140" s="2663"/>
      <c r="M140" s="2662"/>
      <c r="N140" s="2662"/>
      <c r="O140" s="2663"/>
      <c r="P140" s="2662"/>
      <c r="Q140" s="2662"/>
      <c r="R140" s="2664"/>
    </row>
    <row r="141" spans="2:18" s="885" customFormat="1">
      <c r="B141" s="2662"/>
      <c r="C141" s="2662"/>
      <c r="D141" s="2662"/>
      <c r="E141" s="2662"/>
      <c r="F141" s="2662"/>
      <c r="G141" s="2663"/>
      <c r="H141" s="2662"/>
      <c r="I141" s="2663"/>
      <c r="J141" s="2662"/>
      <c r="K141" s="2662"/>
      <c r="L141" s="2663"/>
      <c r="M141" s="2662"/>
      <c r="N141" s="2662"/>
      <c r="O141" s="2663"/>
      <c r="P141" s="2662"/>
      <c r="Q141" s="2662"/>
      <c r="R141" s="2664"/>
    </row>
    <row r="142" spans="2:18" s="885" customFormat="1">
      <c r="B142" s="2662"/>
      <c r="C142" s="2662"/>
      <c r="D142" s="2662"/>
      <c r="E142" s="2662"/>
      <c r="F142" s="2662"/>
      <c r="G142" s="2663"/>
      <c r="H142" s="2662"/>
      <c r="I142" s="2663"/>
      <c r="J142" s="2662"/>
      <c r="K142" s="2662"/>
      <c r="L142" s="2663"/>
      <c r="M142" s="2662"/>
      <c r="N142" s="2662"/>
      <c r="O142" s="2663"/>
      <c r="P142" s="2662"/>
      <c r="Q142" s="2662"/>
      <c r="R142" s="2664"/>
    </row>
    <row r="143" spans="2:18" s="885" customFormat="1">
      <c r="B143" s="2662"/>
      <c r="C143" s="2662"/>
      <c r="D143" s="2662"/>
      <c r="E143" s="2662"/>
      <c r="F143" s="2662"/>
      <c r="G143" s="2663"/>
      <c r="H143" s="2662"/>
      <c r="I143" s="2663"/>
      <c r="J143" s="2662"/>
      <c r="K143" s="2662"/>
      <c r="L143" s="2663"/>
      <c r="M143" s="2662"/>
      <c r="N143" s="2662"/>
      <c r="O143" s="2663"/>
      <c r="P143" s="2662"/>
      <c r="Q143" s="2662"/>
      <c r="R143" s="2664"/>
    </row>
    <row r="144" spans="2:18" s="885" customFormat="1">
      <c r="B144" s="2662"/>
      <c r="C144" s="2662"/>
      <c r="D144" s="2662"/>
      <c r="E144" s="2662"/>
      <c r="F144" s="2662"/>
      <c r="G144" s="2663"/>
      <c r="H144" s="2662"/>
      <c r="I144" s="2663"/>
      <c r="J144" s="2662"/>
      <c r="K144" s="2662"/>
      <c r="L144" s="2663"/>
      <c r="M144" s="2662"/>
      <c r="N144" s="2662"/>
      <c r="O144" s="2663"/>
      <c r="P144" s="2662"/>
      <c r="Q144" s="2662"/>
      <c r="R144" s="2664"/>
    </row>
    <row r="145" spans="2:18" s="885" customFormat="1">
      <c r="B145" s="2662"/>
      <c r="C145" s="2662"/>
      <c r="D145" s="2662"/>
      <c r="E145" s="2662"/>
      <c r="F145" s="2662"/>
      <c r="G145" s="2663"/>
      <c r="H145" s="2662"/>
      <c r="I145" s="2663"/>
      <c r="J145" s="2662"/>
      <c r="K145" s="2662"/>
      <c r="L145" s="2663"/>
      <c r="M145" s="2662"/>
      <c r="N145" s="2662"/>
      <c r="O145" s="2663"/>
      <c r="P145" s="2662"/>
      <c r="Q145" s="2662"/>
      <c r="R145" s="2664"/>
    </row>
    <row r="146" spans="2:18" s="885" customFormat="1">
      <c r="B146" s="2662"/>
      <c r="C146" s="2662"/>
      <c r="D146" s="2662"/>
      <c r="E146" s="2662"/>
      <c r="F146" s="2662"/>
      <c r="G146" s="2663"/>
      <c r="H146" s="2662"/>
      <c r="I146" s="2663"/>
      <c r="J146" s="2662"/>
      <c r="K146" s="2662"/>
      <c r="L146" s="2663"/>
      <c r="M146" s="2662"/>
      <c r="N146" s="2662"/>
      <c r="O146" s="2663"/>
      <c r="P146" s="2662"/>
      <c r="Q146" s="2662"/>
      <c r="R146" s="2664"/>
    </row>
    <row r="147" spans="2:18" s="885" customFormat="1">
      <c r="B147" s="2662"/>
      <c r="C147" s="2662"/>
      <c r="D147" s="2662"/>
      <c r="E147" s="2662"/>
      <c r="F147" s="2662"/>
      <c r="G147" s="2663"/>
      <c r="H147" s="2662"/>
      <c r="I147" s="2663"/>
      <c r="J147" s="2662"/>
      <c r="K147" s="2662"/>
      <c r="L147" s="2663"/>
      <c r="M147" s="2662"/>
      <c r="N147" s="2662"/>
      <c r="O147" s="2663"/>
      <c r="P147" s="2662"/>
      <c r="Q147" s="2662"/>
      <c r="R147" s="2664"/>
    </row>
    <row r="148" spans="2:18" s="885" customFormat="1">
      <c r="B148" s="2662"/>
      <c r="C148" s="2662"/>
      <c r="D148" s="2662"/>
      <c r="E148" s="2662"/>
      <c r="F148" s="2662"/>
      <c r="G148" s="2663"/>
      <c r="H148" s="2662"/>
      <c r="I148" s="2663"/>
      <c r="J148" s="2662"/>
      <c r="K148" s="2662"/>
      <c r="L148" s="2663"/>
      <c r="M148" s="2662"/>
      <c r="N148" s="2662"/>
      <c r="O148" s="2663"/>
      <c r="P148" s="2662"/>
      <c r="Q148" s="2662"/>
      <c r="R148" s="2664"/>
    </row>
    <row r="149" spans="2:18" s="885" customFormat="1">
      <c r="B149" s="2662"/>
      <c r="C149" s="2662"/>
      <c r="D149" s="2662"/>
      <c r="E149" s="2662"/>
      <c r="F149" s="2662"/>
      <c r="G149" s="2663"/>
      <c r="H149" s="2662"/>
      <c r="I149" s="2663"/>
      <c r="J149" s="2662"/>
      <c r="K149" s="2662"/>
      <c r="L149" s="2663"/>
      <c r="M149" s="2662"/>
      <c r="N149" s="2662"/>
      <c r="O149" s="2663"/>
      <c r="P149" s="2662"/>
      <c r="Q149" s="2662"/>
      <c r="R149" s="2664"/>
    </row>
    <row r="150" spans="2:18" s="885" customFormat="1">
      <c r="B150" s="2662"/>
      <c r="C150" s="2662"/>
      <c r="D150" s="2662"/>
      <c r="E150" s="2662"/>
      <c r="F150" s="2662"/>
      <c r="G150" s="2663"/>
      <c r="H150" s="2662"/>
      <c r="I150" s="2663"/>
      <c r="J150" s="2662"/>
      <c r="K150" s="2662"/>
      <c r="L150" s="2663"/>
      <c r="M150" s="2662"/>
      <c r="N150" s="2662"/>
      <c r="O150" s="2663"/>
      <c r="P150" s="2662"/>
      <c r="Q150" s="2662"/>
      <c r="R150" s="2664"/>
    </row>
    <row r="151" spans="2:18" s="885" customFormat="1">
      <c r="B151" s="2662"/>
      <c r="C151" s="2662"/>
      <c r="D151" s="2662"/>
      <c r="E151" s="2662"/>
      <c r="F151" s="2662"/>
      <c r="G151" s="2663"/>
      <c r="H151" s="2662"/>
      <c r="I151" s="2663"/>
      <c r="J151" s="2662"/>
      <c r="K151" s="2662"/>
      <c r="L151" s="2663"/>
      <c r="M151" s="2662"/>
      <c r="N151" s="2662"/>
      <c r="O151" s="2663"/>
      <c r="P151" s="2662"/>
      <c r="Q151" s="2662"/>
      <c r="R151" s="2664"/>
    </row>
    <row r="152" spans="2:18" s="885" customFormat="1">
      <c r="B152" s="2662"/>
      <c r="C152" s="2662"/>
      <c r="D152" s="2662"/>
      <c r="E152" s="2662"/>
      <c r="F152" s="2662"/>
      <c r="G152" s="2663"/>
      <c r="H152" s="2662"/>
      <c r="I152" s="2663"/>
      <c r="J152" s="2662"/>
      <c r="K152" s="2662"/>
      <c r="L152" s="2663"/>
      <c r="M152" s="2662"/>
      <c r="N152" s="2662"/>
      <c r="O152" s="2663"/>
      <c r="P152" s="2662"/>
      <c r="Q152" s="2662"/>
      <c r="R152" s="2664"/>
    </row>
    <row r="153" spans="2:18" s="885" customFormat="1">
      <c r="B153" s="2662"/>
      <c r="C153" s="2662"/>
      <c r="D153" s="2662"/>
      <c r="E153" s="2662"/>
      <c r="F153" s="2662"/>
      <c r="G153" s="2663"/>
      <c r="H153" s="2662"/>
      <c r="I153" s="2663"/>
      <c r="J153" s="2662"/>
      <c r="K153" s="2662"/>
      <c r="L153" s="2663"/>
      <c r="M153" s="2662"/>
      <c r="N153" s="2662"/>
      <c r="O153" s="2663"/>
      <c r="P153" s="2662"/>
      <c r="Q153" s="2662"/>
      <c r="R153" s="2664"/>
    </row>
    <row r="154" spans="2:18" s="885" customFormat="1">
      <c r="B154" s="2662"/>
      <c r="C154" s="2662"/>
      <c r="D154" s="2662"/>
      <c r="E154" s="2662"/>
      <c r="F154" s="2662"/>
      <c r="G154" s="2663"/>
      <c r="H154" s="2662"/>
      <c r="I154" s="2663"/>
      <c r="J154" s="2662"/>
      <c r="K154" s="2662"/>
      <c r="L154" s="2663"/>
      <c r="M154" s="2662"/>
      <c r="N154" s="2662"/>
      <c r="O154" s="2663"/>
      <c r="P154" s="2662"/>
      <c r="Q154" s="2662"/>
      <c r="R154" s="2664"/>
    </row>
    <row r="155" spans="2:18" s="885" customFormat="1">
      <c r="B155" s="2662"/>
      <c r="C155" s="2662"/>
      <c r="D155" s="2662"/>
      <c r="E155" s="2662"/>
      <c r="F155" s="2662"/>
      <c r="G155" s="2663"/>
      <c r="H155" s="2662"/>
      <c r="I155" s="2663"/>
      <c r="J155" s="2662"/>
      <c r="K155" s="2662"/>
      <c r="L155" s="2663"/>
      <c r="M155" s="2662"/>
      <c r="N155" s="2662"/>
      <c r="O155" s="2663"/>
      <c r="P155" s="2662"/>
      <c r="Q155" s="2662"/>
      <c r="R155" s="2664"/>
    </row>
    <row r="156" spans="2:18" s="885" customFormat="1">
      <c r="B156" s="2662"/>
      <c r="C156" s="2662"/>
      <c r="D156" s="2662"/>
      <c r="E156" s="2662"/>
      <c r="F156" s="2662"/>
      <c r="G156" s="2663"/>
      <c r="H156" s="2662"/>
      <c r="I156" s="2663"/>
      <c r="J156" s="2662"/>
      <c r="K156" s="2662"/>
      <c r="L156" s="2663"/>
      <c r="M156" s="2662"/>
      <c r="N156" s="2662"/>
      <c r="O156" s="2663"/>
      <c r="P156" s="2662"/>
      <c r="Q156" s="2662"/>
      <c r="R156" s="2664"/>
    </row>
    <row r="157" spans="2:18" s="885" customFormat="1">
      <c r="B157" s="2662"/>
      <c r="C157" s="2662"/>
      <c r="D157" s="2662"/>
      <c r="E157" s="2662"/>
      <c r="F157" s="2662"/>
      <c r="G157" s="2663"/>
      <c r="H157" s="2662"/>
      <c r="I157" s="2663"/>
      <c r="J157" s="2662"/>
      <c r="K157" s="2662"/>
      <c r="L157" s="2663"/>
      <c r="M157" s="2662"/>
      <c r="N157" s="2662"/>
      <c r="O157" s="2663"/>
      <c r="P157" s="2662"/>
      <c r="Q157" s="2662"/>
      <c r="R157" s="2664"/>
    </row>
    <row r="158" spans="2:18" s="885" customFormat="1">
      <c r="B158" s="2662"/>
      <c r="C158" s="2662"/>
      <c r="D158" s="2662"/>
      <c r="E158" s="2662"/>
      <c r="F158" s="2662"/>
      <c r="G158" s="2663"/>
      <c r="H158" s="2662"/>
      <c r="I158" s="2663"/>
      <c r="J158" s="2662"/>
      <c r="K158" s="2662"/>
      <c r="L158" s="2663"/>
      <c r="M158" s="2662"/>
      <c r="N158" s="2662"/>
      <c r="O158" s="2663"/>
      <c r="P158" s="2662"/>
      <c r="Q158" s="2662"/>
      <c r="R158" s="2664"/>
    </row>
    <row r="159" spans="2:18" s="885" customFormat="1">
      <c r="B159" s="2662"/>
      <c r="C159" s="2662"/>
      <c r="D159" s="2662"/>
      <c r="E159" s="2662"/>
      <c r="F159" s="2662"/>
      <c r="G159" s="2663"/>
      <c r="H159" s="2662"/>
      <c r="I159" s="2663"/>
      <c r="J159" s="2662"/>
      <c r="K159" s="2662"/>
      <c r="L159" s="2663"/>
      <c r="M159" s="2662"/>
      <c r="N159" s="2662"/>
      <c r="O159" s="2663"/>
      <c r="P159" s="2662"/>
      <c r="Q159" s="2662"/>
      <c r="R159" s="2664"/>
    </row>
    <row r="160" spans="2:18" s="885" customFormat="1">
      <c r="B160" s="2662"/>
      <c r="C160" s="2662"/>
      <c r="D160" s="2662"/>
      <c r="E160" s="2662"/>
      <c r="F160" s="2662"/>
      <c r="G160" s="2663"/>
      <c r="H160" s="2662"/>
      <c r="I160" s="2663"/>
      <c r="J160" s="2662"/>
      <c r="K160" s="2662"/>
      <c r="L160" s="2663"/>
      <c r="M160" s="2662"/>
      <c r="N160" s="2662"/>
      <c r="O160" s="2663"/>
      <c r="P160" s="2662"/>
      <c r="Q160" s="2662"/>
      <c r="R160" s="2664"/>
    </row>
    <row r="161" spans="2:18" s="885" customFormat="1">
      <c r="B161" s="2662"/>
      <c r="C161" s="2662"/>
      <c r="D161" s="2662"/>
      <c r="E161" s="2662"/>
      <c r="F161" s="2662"/>
      <c r="G161" s="2663"/>
      <c r="H161" s="2662"/>
      <c r="I161" s="2663"/>
      <c r="J161" s="2662"/>
      <c r="K161" s="2662"/>
      <c r="L161" s="2663"/>
      <c r="M161" s="2662"/>
      <c r="N161" s="2662"/>
      <c r="O161" s="2663"/>
      <c r="P161" s="2662"/>
      <c r="Q161" s="2662"/>
      <c r="R161" s="2664"/>
    </row>
    <row r="162" spans="2:18" s="885" customFormat="1">
      <c r="B162" s="2662"/>
      <c r="C162" s="2662"/>
      <c r="D162" s="2662"/>
      <c r="E162" s="2662"/>
      <c r="F162" s="2662"/>
      <c r="G162" s="2663"/>
      <c r="H162" s="2662"/>
      <c r="I162" s="2663"/>
      <c r="J162" s="2662"/>
      <c r="K162" s="2662"/>
      <c r="L162" s="2663"/>
      <c r="M162" s="2662"/>
      <c r="N162" s="2662"/>
      <c r="O162" s="2663"/>
      <c r="P162" s="2662"/>
      <c r="Q162" s="2662"/>
      <c r="R162" s="2664"/>
    </row>
    <row r="163" spans="2:18" s="885" customFormat="1">
      <c r="B163" s="2662"/>
      <c r="C163" s="2662"/>
      <c r="D163" s="2662"/>
      <c r="E163" s="2662"/>
      <c r="F163" s="2662"/>
      <c r="G163" s="2663"/>
      <c r="H163" s="2662"/>
      <c r="I163" s="2663"/>
      <c r="J163" s="2662"/>
      <c r="K163" s="2662"/>
      <c r="L163" s="2663"/>
      <c r="M163" s="2662"/>
      <c r="N163" s="2662"/>
      <c r="O163" s="2663"/>
      <c r="P163" s="2662"/>
      <c r="Q163" s="2662"/>
      <c r="R163" s="2664"/>
    </row>
    <row r="164" spans="2:18" s="885" customFormat="1">
      <c r="B164" s="2662"/>
      <c r="C164" s="2662"/>
      <c r="D164" s="2662"/>
      <c r="E164" s="2662"/>
      <c r="F164" s="2662"/>
      <c r="G164" s="2663"/>
      <c r="H164" s="2662"/>
      <c r="I164" s="2663"/>
      <c r="J164" s="2662"/>
      <c r="K164" s="2662"/>
      <c r="L164" s="2663"/>
      <c r="M164" s="2662"/>
      <c r="N164" s="2662"/>
      <c r="O164" s="2663"/>
      <c r="P164" s="2662"/>
      <c r="Q164" s="2662"/>
      <c r="R164" s="2664"/>
    </row>
    <row r="165" spans="2:18" s="885" customFormat="1">
      <c r="B165" s="2662"/>
      <c r="C165" s="2662"/>
      <c r="D165" s="2662"/>
      <c r="E165" s="2662"/>
      <c r="F165" s="2662"/>
      <c r="G165" s="2663"/>
      <c r="H165" s="2662"/>
      <c r="I165" s="2663"/>
      <c r="J165" s="2662"/>
      <c r="K165" s="2662"/>
      <c r="L165" s="2663"/>
      <c r="M165" s="2662"/>
      <c r="N165" s="2662"/>
      <c r="O165" s="2663"/>
      <c r="P165" s="2662"/>
      <c r="Q165" s="2662"/>
      <c r="R165" s="2664"/>
    </row>
    <row r="166" spans="2:18" s="885" customFormat="1">
      <c r="B166" s="2662"/>
      <c r="C166" s="2662"/>
      <c r="D166" s="2662"/>
      <c r="E166" s="2662"/>
      <c r="F166" s="2662"/>
      <c r="G166" s="2663"/>
      <c r="H166" s="2662"/>
      <c r="I166" s="2663"/>
      <c r="J166" s="2662"/>
      <c r="K166" s="2662"/>
      <c r="L166" s="2663"/>
      <c r="M166" s="2662"/>
      <c r="N166" s="2662"/>
      <c r="O166" s="2663"/>
      <c r="P166" s="2662"/>
      <c r="Q166" s="2662"/>
      <c r="R166" s="2664"/>
    </row>
    <row r="167" spans="2:18" s="885" customFormat="1">
      <c r="B167" s="2662"/>
      <c r="C167" s="2662"/>
      <c r="D167" s="2662"/>
      <c r="E167" s="2662"/>
      <c r="F167" s="2662"/>
      <c r="G167" s="2663"/>
      <c r="H167" s="2662"/>
      <c r="I167" s="2663"/>
      <c r="J167" s="2662"/>
      <c r="K167" s="2662"/>
      <c r="L167" s="2663"/>
      <c r="M167" s="2662"/>
      <c r="N167" s="2662"/>
      <c r="O167" s="2663"/>
      <c r="P167" s="2662"/>
      <c r="Q167" s="2662"/>
      <c r="R167" s="2664"/>
    </row>
    <row r="168" spans="2:18" s="885" customFormat="1">
      <c r="B168" s="2662"/>
      <c r="C168" s="2662"/>
      <c r="D168" s="2662"/>
      <c r="E168" s="2662"/>
      <c r="F168" s="2662"/>
      <c r="G168" s="2663"/>
      <c r="H168" s="2662"/>
      <c r="I168" s="2663"/>
      <c r="J168" s="2662"/>
      <c r="K168" s="2662"/>
      <c r="L168" s="2663"/>
      <c r="M168" s="2662"/>
      <c r="N168" s="2662"/>
      <c r="O168" s="2663"/>
      <c r="P168" s="2662"/>
      <c r="Q168" s="2662"/>
      <c r="R168" s="2664"/>
    </row>
    <row r="169" spans="2:18" s="885" customFormat="1">
      <c r="B169" s="2662"/>
      <c r="C169" s="2662"/>
      <c r="D169" s="2662"/>
      <c r="E169" s="2662"/>
      <c r="F169" s="2662"/>
      <c r="G169" s="2663"/>
      <c r="H169" s="2662"/>
      <c r="I169" s="2663"/>
      <c r="J169" s="2662"/>
      <c r="K169" s="2662"/>
      <c r="L169" s="2663"/>
      <c r="M169" s="2662"/>
      <c r="N169" s="2662"/>
      <c r="O169" s="2663"/>
      <c r="P169" s="2662"/>
      <c r="Q169" s="2662"/>
      <c r="R169" s="2664"/>
    </row>
    <row r="170" spans="2:18" s="885" customFormat="1">
      <c r="B170" s="2662"/>
      <c r="C170" s="2662"/>
      <c r="D170" s="2662"/>
      <c r="E170" s="2662"/>
      <c r="F170" s="2662"/>
      <c r="G170" s="2663"/>
      <c r="H170" s="2662"/>
      <c r="I170" s="2663"/>
      <c r="J170" s="2662"/>
      <c r="K170" s="2662"/>
      <c r="L170" s="2663"/>
      <c r="M170" s="2662"/>
      <c r="N170" s="2662"/>
      <c r="O170" s="2663"/>
      <c r="P170" s="2662"/>
      <c r="Q170" s="2662"/>
      <c r="R170" s="2664"/>
    </row>
    <row r="171" spans="2:18" s="885" customFormat="1">
      <c r="B171" s="2662"/>
      <c r="C171" s="2662"/>
      <c r="D171" s="2662"/>
      <c r="E171" s="2662"/>
      <c r="F171" s="2662"/>
      <c r="G171" s="2663"/>
      <c r="H171" s="2662"/>
      <c r="I171" s="2663"/>
      <c r="J171" s="2662"/>
      <c r="K171" s="2662"/>
      <c r="L171" s="2663"/>
      <c r="M171" s="2662"/>
      <c r="N171" s="2662"/>
      <c r="O171" s="2663"/>
      <c r="P171" s="2662"/>
      <c r="Q171" s="2662"/>
      <c r="R171" s="2664"/>
    </row>
    <row r="172" spans="2:18" s="885" customFormat="1">
      <c r="B172" s="2662"/>
      <c r="C172" s="2662"/>
      <c r="D172" s="2662"/>
      <c r="E172" s="2662"/>
      <c r="F172" s="2662"/>
      <c r="G172" s="2663"/>
      <c r="H172" s="2662"/>
      <c r="I172" s="2663"/>
      <c r="J172" s="2662"/>
      <c r="K172" s="2662"/>
      <c r="L172" s="2663"/>
      <c r="M172" s="2662"/>
      <c r="N172" s="2662"/>
      <c r="O172" s="2663"/>
      <c r="P172" s="2662"/>
      <c r="Q172" s="2662"/>
      <c r="R172" s="2664"/>
    </row>
    <row r="173" spans="2:18" s="885" customFormat="1">
      <c r="B173" s="2662"/>
      <c r="C173" s="2662"/>
      <c r="D173" s="2662"/>
      <c r="E173" s="2662"/>
      <c r="F173" s="2662"/>
      <c r="G173" s="2663"/>
      <c r="H173" s="2662"/>
      <c r="I173" s="2663"/>
      <c r="J173" s="2662"/>
      <c r="K173" s="2662"/>
      <c r="L173" s="2663"/>
      <c r="M173" s="2662"/>
      <c r="N173" s="2662"/>
      <c r="O173" s="2663"/>
      <c r="P173" s="2662"/>
      <c r="Q173" s="2662"/>
      <c r="R173" s="2664"/>
    </row>
    <row r="174" spans="2:18" s="885" customFormat="1">
      <c r="B174" s="2662"/>
      <c r="C174" s="2662"/>
      <c r="D174" s="2662"/>
      <c r="E174" s="2662"/>
      <c r="F174" s="2662"/>
      <c r="G174" s="2663"/>
      <c r="H174" s="2662"/>
      <c r="I174" s="2663"/>
      <c r="J174" s="2662"/>
      <c r="K174" s="2662"/>
      <c r="L174" s="2663"/>
      <c r="M174" s="2662"/>
      <c r="N174" s="2662"/>
      <c r="O174" s="2663"/>
      <c r="P174" s="2662"/>
      <c r="Q174" s="2662"/>
      <c r="R174" s="2664"/>
    </row>
    <row r="175" spans="2:18" s="885" customFormat="1">
      <c r="B175" s="2662"/>
      <c r="C175" s="2662"/>
      <c r="D175" s="2662"/>
      <c r="E175" s="2662"/>
      <c r="F175" s="2662"/>
      <c r="G175" s="2663"/>
      <c r="H175" s="2662"/>
      <c r="I175" s="2663"/>
      <c r="J175" s="2662"/>
      <c r="K175" s="2662"/>
      <c r="L175" s="2663"/>
      <c r="M175" s="2662"/>
      <c r="N175" s="2662"/>
      <c r="O175" s="2663"/>
      <c r="P175" s="2662"/>
      <c r="Q175" s="2662"/>
      <c r="R175" s="2664"/>
    </row>
    <row r="176" spans="2:18" s="885" customFormat="1">
      <c r="B176" s="2662"/>
      <c r="C176" s="2662"/>
      <c r="D176" s="2662"/>
      <c r="E176" s="2662"/>
      <c r="F176" s="2662"/>
      <c r="G176" s="2663"/>
      <c r="H176" s="2662"/>
      <c r="I176" s="2663"/>
      <c r="J176" s="2662"/>
      <c r="K176" s="2662"/>
      <c r="L176" s="2663"/>
      <c r="M176" s="2662"/>
      <c r="N176" s="2662"/>
      <c r="O176" s="2663"/>
      <c r="P176" s="2662"/>
      <c r="Q176" s="2662"/>
      <c r="R176" s="2664"/>
    </row>
    <row r="177" spans="1:18" s="885" customFormat="1">
      <c r="B177" s="2662"/>
      <c r="C177" s="2662"/>
      <c r="D177" s="2662"/>
      <c r="E177" s="2662"/>
      <c r="F177" s="2662"/>
      <c r="G177" s="2663"/>
      <c r="H177" s="2662"/>
      <c r="I177" s="2663"/>
      <c r="J177" s="2662"/>
      <c r="K177" s="2662"/>
      <c r="L177" s="2663"/>
      <c r="M177" s="2662"/>
      <c r="N177" s="2662"/>
      <c r="O177" s="2663"/>
      <c r="P177" s="2662"/>
      <c r="Q177" s="2662"/>
      <c r="R177" s="2664"/>
    </row>
    <row r="178" spans="1:18" s="885" customFormat="1">
      <c r="B178" s="2662"/>
      <c r="C178" s="2662"/>
      <c r="D178" s="2662"/>
      <c r="E178" s="2662"/>
      <c r="F178" s="2662"/>
      <c r="G178" s="2663"/>
      <c r="H178" s="2662"/>
      <c r="I178" s="2663"/>
      <c r="J178" s="2662"/>
      <c r="K178" s="2662"/>
      <c r="L178" s="2663"/>
      <c r="M178" s="2662"/>
      <c r="N178" s="2662"/>
      <c r="O178" s="2663"/>
      <c r="P178" s="2662"/>
      <c r="Q178" s="2662"/>
      <c r="R178" s="2664"/>
    </row>
    <row r="179" spans="1:18" s="885" customFormat="1">
      <c r="B179" s="2662"/>
      <c r="C179" s="2662"/>
      <c r="D179" s="2662"/>
      <c r="E179" s="2662"/>
      <c r="F179" s="2662"/>
      <c r="G179" s="2663"/>
      <c r="H179" s="2662"/>
      <c r="I179" s="2663"/>
      <c r="J179" s="2662"/>
      <c r="K179" s="2662"/>
      <c r="L179" s="2663"/>
      <c r="M179" s="2662"/>
      <c r="N179" s="2662"/>
      <c r="O179" s="2663"/>
      <c r="P179" s="2662"/>
      <c r="Q179" s="2662"/>
      <c r="R179" s="2664"/>
    </row>
    <row r="180" spans="1:18" s="885" customFormat="1">
      <c r="B180" s="2662"/>
      <c r="C180" s="2662"/>
      <c r="D180" s="2662"/>
      <c r="E180" s="2662"/>
      <c r="F180" s="2662"/>
      <c r="G180" s="2663"/>
      <c r="H180" s="2662"/>
      <c r="I180" s="2663"/>
      <c r="J180" s="2662"/>
      <c r="K180" s="2662"/>
      <c r="L180" s="2663"/>
      <c r="M180" s="2662"/>
      <c r="N180" s="2662"/>
      <c r="O180" s="2663"/>
      <c r="P180" s="2662"/>
      <c r="Q180" s="2662"/>
      <c r="R180" s="2664"/>
    </row>
    <row r="181" spans="1:18" s="885" customFormat="1">
      <c r="B181" s="2662"/>
      <c r="C181" s="2662"/>
      <c r="D181" s="2662"/>
      <c r="E181" s="2662"/>
      <c r="F181" s="2662"/>
      <c r="G181" s="2663"/>
      <c r="H181" s="2662"/>
      <c r="I181" s="2663"/>
      <c r="J181" s="2662"/>
      <c r="K181" s="2662"/>
      <c r="L181" s="2663"/>
      <c r="M181" s="2662"/>
      <c r="N181" s="2662"/>
      <c r="O181" s="2663"/>
      <c r="P181" s="2662"/>
      <c r="Q181" s="2662"/>
      <c r="R181" s="2664"/>
    </row>
    <row r="182" spans="1:18" s="885" customFormat="1">
      <c r="B182" s="2662"/>
      <c r="C182" s="2662"/>
      <c r="D182" s="2662"/>
      <c r="E182" s="2662"/>
      <c r="F182" s="2662"/>
      <c r="G182" s="2663"/>
      <c r="H182" s="2662"/>
      <c r="I182" s="2663"/>
      <c r="J182" s="2662"/>
      <c r="K182" s="2662"/>
      <c r="L182" s="2663"/>
      <c r="M182" s="2662"/>
      <c r="N182" s="2662"/>
      <c r="O182" s="2663"/>
      <c r="P182" s="2662"/>
      <c r="Q182" s="2662"/>
      <c r="R182" s="2664"/>
    </row>
    <row r="183" spans="1:18" s="885" customFormat="1">
      <c r="B183" s="2662"/>
      <c r="C183" s="2662"/>
      <c r="D183" s="2662"/>
      <c r="E183" s="2662"/>
      <c r="F183" s="2662"/>
      <c r="G183" s="2663"/>
      <c r="H183" s="2662"/>
      <c r="I183" s="2663"/>
      <c r="J183" s="2662"/>
      <c r="K183" s="2662"/>
      <c r="L183" s="2663"/>
      <c r="M183" s="2662"/>
      <c r="N183" s="2662"/>
      <c r="O183" s="2663"/>
      <c r="P183" s="2662"/>
      <c r="Q183" s="2662"/>
      <c r="R183" s="2664"/>
    </row>
    <row r="184" spans="1:18" s="885" customFormat="1">
      <c r="B184" s="2662"/>
      <c r="C184" s="2662"/>
      <c r="D184" s="2662"/>
      <c r="E184" s="2662"/>
      <c r="F184" s="2662"/>
      <c r="G184" s="2663"/>
      <c r="H184" s="2662"/>
      <c r="I184" s="2663"/>
      <c r="J184" s="2662"/>
      <c r="K184" s="2662"/>
      <c r="L184" s="2663"/>
      <c r="M184" s="2662"/>
      <c r="N184" s="2662"/>
      <c r="O184" s="2663"/>
      <c r="P184" s="2662"/>
      <c r="Q184" s="2662"/>
      <c r="R184" s="2664"/>
    </row>
    <row r="185" spans="1:18" s="88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5"/>
      <c r="B186" s="2662"/>
      <c r="C186" s="2662"/>
      <c r="E186" s="2662"/>
      <c r="F186" s="2662"/>
      <c r="G186" s="2663"/>
    </row>
    <row r="187" spans="1:18">
      <c r="A187" s="885"/>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3" zoomScaleNormal="80" zoomScaleSheetLayoutView="100" workbookViewId="0">
      <selection activeCell="G16" sqref="G16"/>
    </sheetView>
  </sheetViews>
  <sheetFormatPr defaultColWidth="9" defaultRowHeight="13.5"/>
  <cols>
    <col min="1" max="1" width="25" style="2684" customWidth="1"/>
    <col min="2" max="9" width="15.625" style="2684" customWidth="1"/>
    <col min="10" max="16384" width="9" style="2684"/>
  </cols>
  <sheetData>
    <row r="1" spans="1:11" ht="16.5">
      <c r="A1" s="2683" t="s">
        <v>1090</v>
      </c>
      <c r="B1" s="2683">
        <f>SUM(B14:B23)</f>
        <v>18399.600000000006</v>
      </c>
      <c r="C1" s="2859"/>
      <c r="D1" s="2859"/>
      <c r="E1" s="2859"/>
      <c r="F1" s="2859"/>
      <c r="G1" s="2860"/>
      <c r="H1" s="2861"/>
      <c r="I1" s="2861"/>
      <c r="J1" s="2861"/>
      <c r="K1" s="2861"/>
    </row>
    <row r="2" spans="1:11" ht="16.5">
      <c r="A2" s="2683" t="s">
        <v>1078</v>
      </c>
      <c r="B2" s="2683">
        <f>SUM(C14:C23)</f>
        <v>0</v>
      </c>
      <c r="C2" s="2859"/>
      <c r="D2" s="2859"/>
      <c r="E2" s="2859"/>
      <c r="F2" s="2859"/>
      <c r="G2" s="2860"/>
      <c r="H2" s="2861"/>
      <c r="I2" s="2861"/>
      <c r="J2" s="2861"/>
      <c r="K2" s="2861"/>
    </row>
    <row r="3" spans="1:11" ht="16.5">
      <c r="A3" s="2683" t="s">
        <v>1087</v>
      </c>
      <c r="B3" s="2685">
        <f>项目基本情况!D3</f>
        <v>44698</v>
      </c>
      <c r="C3" s="2859"/>
      <c r="D3" s="2859"/>
      <c r="E3" s="2859"/>
      <c r="F3" s="2859"/>
      <c r="G3" s="2860"/>
      <c r="H3" s="2861"/>
      <c r="I3" s="2861"/>
      <c r="J3" s="2861"/>
      <c r="K3" s="2861"/>
    </row>
    <row r="4" spans="1:11" ht="33">
      <c r="A4" s="2683" t="s">
        <v>1086</v>
      </c>
      <c r="B4" s="2683" t="s">
        <v>1085</v>
      </c>
      <c r="C4" s="2683" t="s">
        <v>1084</v>
      </c>
      <c r="D4" s="2683" t="s">
        <v>1083</v>
      </c>
      <c r="E4" s="2859"/>
      <c r="F4" s="2860"/>
      <c r="G4" s="2860"/>
      <c r="H4" s="2861"/>
      <c r="I4" s="2861"/>
      <c r="J4" s="2861"/>
      <c r="K4" s="2861"/>
    </row>
    <row r="5" spans="1:11" ht="16.5">
      <c r="A5" s="2683" t="s">
        <v>1082</v>
      </c>
      <c r="B5" s="2683">
        <f ca="1">SUM(D14:D23)</f>
        <v>228</v>
      </c>
      <c r="C5" s="2683">
        <f ca="1">ROUND(B5*10000/$B$1,0)</f>
        <v>124</v>
      </c>
      <c r="D5" s="2683" t="e">
        <f ca="1">ROUND(B5*10000/$B$2,0)</f>
        <v>#DIV/0!</v>
      </c>
      <c r="E5" s="2859"/>
      <c r="F5" s="2860"/>
      <c r="G5" s="2860"/>
      <c r="H5" s="2861"/>
      <c r="I5" s="2861"/>
      <c r="J5" s="2861"/>
      <c r="K5" s="2861"/>
    </row>
    <row r="6" spans="1:11" ht="16.5">
      <c r="A6" s="2683" t="s">
        <v>1081</v>
      </c>
      <c r="B6" s="2683">
        <f ca="1">SUM(G14:G23)</f>
        <v>12008</v>
      </c>
      <c r="C6" s="2683">
        <f ca="1">ROUND(B6*10000/$B$1,0)</f>
        <v>6526</v>
      </c>
      <c r="D6" s="2683" t="e">
        <f ca="1">ROUND(B6*10000/$B$2,0)</f>
        <v>#DIV/0!</v>
      </c>
      <c r="E6" s="2859"/>
      <c r="F6" s="2860"/>
      <c r="G6" s="2860"/>
      <c r="H6" s="2861"/>
      <c r="I6" s="2861"/>
      <c r="J6" s="2861"/>
      <c r="K6" s="2861"/>
    </row>
    <row r="7" spans="1:11" ht="16.5">
      <c r="A7" s="2683" t="s">
        <v>1089</v>
      </c>
      <c r="B7" s="2683">
        <f>SUM(H14:H23)</f>
        <v>0</v>
      </c>
      <c r="C7" s="2683">
        <f>ROUND(B7*10000/$B$1,0)</f>
        <v>0</v>
      </c>
      <c r="D7" s="2683" t="e">
        <f>ROUND(B7*10000/$B$2,0)</f>
        <v>#DIV/0!</v>
      </c>
      <c r="E7" s="2859"/>
      <c r="F7" s="2860"/>
      <c r="G7" s="2860"/>
      <c r="H7" s="2861"/>
      <c r="I7" s="2861"/>
      <c r="J7" s="2861"/>
      <c r="K7" s="2861"/>
    </row>
    <row r="8" spans="1:11" ht="16.5">
      <c r="A8" s="2683" t="s">
        <v>1012</v>
      </c>
      <c r="B8" s="2683">
        <f>SUM(I14:I23)</f>
        <v>0</v>
      </c>
      <c r="C8" s="2683">
        <f>ROUND(B8*10000/$B$1,0)</f>
        <v>0</v>
      </c>
      <c r="D8" s="2683" t="e">
        <f>ROUND(B8*10000/$B$2,0)</f>
        <v>#DIV/0!</v>
      </c>
      <c r="E8" s="2859"/>
      <c r="F8" s="2860"/>
      <c r="G8" s="2860"/>
      <c r="H8" s="2861"/>
      <c r="I8" s="2861"/>
      <c r="J8" s="2861"/>
      <c r="K8" s="2861"/>
    </row>
    <row r="9" spans="1:11" ht="16.5">
      <c r="A9" s="2683" t="s">
        <v>1080</v>
      </c>
      <c r="B9" s="2691"/>
      <c r="C9" s="2859"/>
      <c r="D9" s="2859"/>
      <c r="E9" s="2859"/>
      <c r="F9" s="2860"/>
      <c r="G9" s="2860"/>
      <c r="H9" s="2861"/>
      <c r="I9" s="2861"/>
      <c r="J9" s="2861"/>
      <c r="K9" s="2861"/>
    </row>
    <row r="10" spans="1:11" ht="16.5">
      <c r="A10" s="2683" t="s">
        <v>1079</v>
      </c>
      <c r="B10" s="2691"/>
      <c r="C10" s="2859"/>
      <c r="D10" s="2859"/>
      <c r="E10" s="2859"/>
      <c r="F10" s="2860"/>
      <c r="G10" s="2860"/>
      <c r="H10" s="2861"/>
      <c r="I10" s="2861"/>
      <c r="J10" s="2861"/>
      <c r="K10" s="2861"/>
    </row>
    <row r="11" spans="1:11" ht="16.5">
      <c r="A11" s="2683" t="s">
        <v>1095</v>
      </c>
      <c r="B11" s="2691"/>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6" t="s">
        <v>1094</v>
      </c>
      <c r="B13" s="2687" t="s">
        <v>1091</v>
      </c>
      <c r="C13" s="2687" t="s">
        <v>1093</v>
      </c>
      <c r="D13" s="2687" t="s">
        <v>1092</v>
      </c>
      <c r="E13" s="2683" t="s">
        <v>1084</v>
      </c>
      <c r="F13" s="2683" t="s">
        <v>1083</v>
      </c>
      <c r="G13" s="2687" t="s">
        <v>1077</v>
      </c>
      <c r="H13" s="2687" t="s">
        <v>1088</v>
      </c>
      <c r="I13" s="2687" t="s">
        <v>1076</v>
      </c>
      <c r="J13" s="2860"/>
      <c r="K13" s="2861"/>
    </row>
    <row r="14" spans="1:11" ht="16.5">
      <c r="A14" s="2688" t="s">
        <v>1075</v>
      </c>
      <c r="B14" s="2689">
        <f>结果表!B118</f>
        <v>254.29000000000002</v>
      </c>
      <c r="C14" s="2689">
        <f>结果表!C118</f>
        <v>0</v>
      </c>
      <c r="D14" s="2689">
        <f ca="1">结果表!H118</f>
        <v>228</v>
      </c>
      <c r="E14" s="2689">
        <f ca="1">ROUND(D14*10000/B14,0)</f>
        <v>8966</v>
      </c>
      <c r="F14" s="2689" t="e">
        <f ca="1">ROUND(D14*10000/C14,0)</f>
        <v>#DIV/0!</v>
      </c>
      <c r="G14" s="2689">
        <f ca="1">结果表!D122</f>
        <v>228</v>
      </c>
      <c r="H14" s="2689" t="str">
        <f>结果表!D124</f>
        <v>——</v>
      </c>
      <c r="I14" s="2689" t="str">
        <f>结果表!D126</f>
        <v>——</v>
      </c>
      <c r="J14" s="2860"/>
      <c r="K14" s="2861"/>
    </row>
    <row r="15" spans="1:11" ht="16.5">
      <c r="A15" s="2688" t="s">
        <v>1074</v>
      </c>
      <c r="B15" s="2690">
        <f>典型户型修正!B22-B14</f>
        <v>18145.310000000005</v>
      </c>
      <c r="C15" s="2690"/>
      <c r="D15" s="2690"/>
      <c r="E15" s="2689">
        <f t="shared" ref="E15:E23" si="0">ROUND(D15*10000/B15,0)</f>
        <v>0</v>
      </c>
      <c r="F15" s="2689" t="e">
        <f t="shared" ref="F15:F23" si="1">ROUND(D15*10000/C15,0)</f>
        <v>#DIV/0!</v>
      </c>
      <c r="G15" s="1449">
        <f ca="1">典型户型修正!S22-G14</f>
        <v>11780</v>
      </c>
      <c r="H15" s="1449"/>
      <c r="I15" s="2690"/>
      <c r="J15" s="2860"/>
      <c r="K15" s="2861"/>
    </row>
    <row r="16" spans="1:11" ht="16.5">
      <c r="A16" s="2688" t="s">
        <v>1073</v>
      </c>
      <c r="B16" s="2690"/>
      <c r="C16" s="2690"/>
      <c r="D16" s="2690"/>
      <c r="E16" s="2689" t="e">
        <f t="shared" si="0"/>
        <v>#DIV/0!</v>
      </c>
      <c r="F16" s="2689" t="e">
        <f t="shared" si="1"/>
        <v>#DIV/0!</v>
      </c>
      <c r="G16" s="1449"/>
      <c r="H16" s="1449"/>
      <c r="I16" s="2690"/>
      <c r="J16" s="2861"/>
      <c r="K16" s="2861"/>
    </row>
    <row r="17" spans="1:11" ht="16.5">
      <c r="A17" s="2688" t="s">
        <v>1072</v>
      </c>
      <c r="B17" s="2690"/>
      <c r="C17" s="2690"/>
      <c r="D17" s="2690"/>
      <c r="E17" s="2689" t="e">
        <f t="shared" si="0"/>
        <v>#DIV/0!</v>
      </c>
      <c r="F17" s="2689" t="e">
        <f t="shared" si="1"/>
        <v>#DIV/0!</v>
      </c>
      <c r="G17" s="1449"/>
      <c r="H17" s="1449"/>
      <c r="I17" s="2690"/>
      <c r="J17" s="2861"/>
      <c r="K17" s="2861"/>
    </row>
    <row r="18" spans="1:11" ht="16.5">
      <c r="A18" s="2688" t="s">
        <v>1071</v>
      </c>
      <c r="B18" s="2690"/>
      <c r="C18" s="2690"/>
      <c r="D18" s="2690"/>
      <c r="E18" s="2689" t="e">
        <f t="shared" si="0"/>
        <v>#DIV/0!</v>
      </c>
      <c r="F18" s="2689" t="e">
        <f t="shared" si="1"/>
        <v>#DIV/0!</v>
      </c>
      <c r="G18" s="2690"/>
      <c r="H18" s="2690"/>
      <c r="I18" s="2690"/>
      <c r="J18" s="2861"/>
      <c r="K18" s="2861"/>
    </row>
    <row r="19" spans="1:11" ht="16.5">
      <c r="A19" s="2688" t="s">
        <v>1070</v>
      </c>
      <c r="B19" s="2690"/>
      <c r="C19" s="2690"/>
      <c r="D19" s="2690"/>
      <c r="E19" s="2689" t="e">
        <f t="shared" si="0"/>
        <v>#DIV/0!</v>
      </c>
      <c r="F19" s="2689" t="e">
        <f t="shared" si="1"/>
        <v>#DIV/0!</v>
      </c>
      <c r="G19" s="2690"/>
      <c r="H19" s="2690"/>
      <c r="I19" s="2690"/>
      <c r="J19" s="2861"/>
      <c r="K19" s="2861"/>
    </row>
    <row r="20" spans="1:11" ht="16.5">
      <c r="A20" s="2688" t="s">
        <v>1069</v>
      </c>
      <c r="B20" s="2690"/>
      <c r="C20" s="2690"/>
      <c r="D20" s="2690"/>
      <c r="E20" s="2689" t="e">
        <f t="shared" si="0"/>
        <v>#DIV/0!</v>
      </c>
      <c r="F20" s="2689" t="e">
        <f t="shared" si="1"/>
        <v>#DIV/0!</v>
      </c>
      <c r="G20" s="2690"/>
      <c r="H20" s="2690"/>
      <c r="I20" s="2690"/>
      <c r="J20" s="2861"/>
      <c r="K20" s="2861"/>
    </row>
    <row r="21" spans="1:11" ht="16.5">
      <c r="A21" s="2688" t="s">
        <v>1068</v>
      </c>
      <c r="B21" s="2690"/>
      <c r="C21" s="2690"/>
      <c r="D21" s="2690"/>
      <c r="E21" s="2689" t="e">
        <f t="shared" si="0"/>
        <v>#DIV/0!</v>
      </c>
      <c r="F21" s="2689" t="e">
        <f t="shared" si="1"/>
        <v>#DIV/0!</v>
      </c>
      <c r="G21" s="2690"/>
      <c r="H21" s="2690"/>
      <c r="I21" s="2690"/>
      <c r="J21" s="2861"/>
      <c r="K21" s="2861"/>
    </row>
    <row r="22" spans="1:11" ht="16.5">
      <c r="A22" s="2688" t="s">
        <v>1067</v>
      </c>
      <c r="B22" s="2690"/>
      <c r="C22" s="2690"/>
      <c r="D22" s="2690"/>
      <c r="E22" s="2689" t="e">
        <f t="shared" si="0"/>
        <v>#DIV/0!</v>
      </c>
      <c r="F22" s="2689" t="e">
        <f t="shared" si="1"/>
        <v>#DIV/0!</v>
      </c>
      <c r="G22" s="2690"/>
      <c r="H22" s="2690"/>
      <c r="I22" s="2690"/>
      <c r="J22" s="2861"/>
      <c r="K22" s="2861"/>
    </row>
    <row r="23" spans="1:11" ht="16.5">
      <c r="A23" s="2688" t="s">
        <v>1066</v>
      </c>
      <c r="B23" s="2690"/>
      <c r="C23" s="2690"/>
      <c r="D23" s="2690"/>
      <c r="E23" s="2691" t="e">
        <f t="shared" si="0"/>
        <v>#DIV/0!</v>
      </c>
      <c r="F23" s="2691" t="e">
        <f t="shared" si="1"/>
        <v>#DIV/0!</v>
      </c>
      <c r="G23" s="2690"/>
      <c r="H23" s="2690"/>
      <c r="I23" s="2690"/>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55" t="str">
        <f>项目基本情况!B1</f>
        <v>湖北省黄石市房地产抵押价值预评估</v>
      </c>
      <c r="C37" s="3255"/>
      <c r="D37" s="3255"/>
      <c r="E37" s="3255"/>
      <c r="F37" s="3255"/>
      <c r="G37" s="3255"/>
      <c r="H37" s="3255"/>
      <c r="I37" s="3255"/>
    </row>
    <row r="38" spans="1:9">
      <c r="A38" s="931"/>
      <c r="B38" s="931"/>
    </row>
    <row r="39" spans="1:9">
      <c r="A39" s="929" t="s">
        <v>637</v>
      </c>
      <c r="B39" s="929" t="s">
        <v>639</v>
      </c>
    </row>
    <row r="40" spans="1:9">
      <c r="A40" s="929"/>
      <c r="B40" s="1607" t="str">
        <f>项目基本情况!B5</f>
        <v>国民信托有限公司</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 ca="1">项目基本情况!K4</f>
        <v>王鹏（注册号：1120050019)、郑燚（注册号：1120070131)</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5" zoomScaleNormal="100" zoomScaleSheetLayoutView="100" zoomScalePageLayoutView="80" workbookViewId="0">
      <selection activeCell="D32" sqref="D32"/>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20" t="str">
        <f>项目基本情况!S2</f>
        <v>湖北省黄石市房地产</v>
      </c>
      <c r="B2" s="3421"/>
      <c r="C2" s="3421"/>
      <c r="D2" s="3421"/>
      <c r="E2" s="3421"/>
      <c r="F2" s="3421"/>
      <c r="G2" s="3421"/>
      <c r="H2" s="3421"/>
      <c r="I2" s="3422"/>
    </row>
    <row r="3" spans="1:12" ht="12.75">
      <c r="A3" s="3424" t="s">
        <v>1709</v>
      </c>
      <c r="B3" s="3425"/>
      <c r="C3" s="3425"/>
      <c r="D3" s="3425"/>
      <c r="E3" s="3425"/>
      <c r="F3" s="3425"/>
      <c r="G3" s="3425"/>
      <c r="H3" s="3425"/>
      <c r="I3" s="3425"/>
    </row>
    <row r="4" spans="1:12" ht="14.25">
      <c r="A4" s="1888" t="s">
        <v>1710</v>
      </c>
      <c r="B4" s="1889" t="s">
        <v>1711</v>
      </c>
      <c r="C4" s="1890" t="s">
        <v>3199</v>
      </c>
      <c r="D4" s="1890" t="s">
        <v>3289</v>
      </c>
      <c r="E4" s="3429" t="s">
        <v>1712</v>
      </c>
      <c r="F4" s="3430"/>
      <c r="G4" s="3430"/>
      <c r="H4" s="3430"/>
      <c r="I4" s="343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5" t="s">
        <v>1713</v>
      </c>
      <c r="B5" s="3423">
        <v>25</v>
      </c>
      <c r="C5" s="3426"/>
      <c r="D5" s="3414"/>
      <c r="E5" s="136" t="s">
        <v>1714</v>
      </c>
      <c r="F5" s="1891"/>
      <c r="G5" s="1891"/>
      <c r="H5" s="1891"/>
      <c r="I5" s="1505"/>
    </row>
    <row r="6" spans="1:12" ht="12.75">
      <c r="A6" s="3365"/>
      <c r="B6" s="3423"/>
      <c r="C6" s="3428"/>
      <c r="D6" s="3414"/>
      <c r="E6" s="136" t="s">
        <v>1715</v>
      </c>
      <c r="F6" s="1891"/>
      <c r="G6" s="1891"/>
      <c r="H6" s="1891"/>
      <c r="I6" s="1505"/>
    </row>
    <row r="7" spans="1:12" ht="12.75">
      <c r="A7" s="3365"/>
      <c r="B7" s="3423"/>
      <c r="C7" s="3427"/>
      <c r="D7" s="3414"/>
      <c r="E7" s="136" t="s">
        <v>1716</v>
      </c>
      <c r="F7" s="1891"/>
      <c r="G7" s="1891"/>
      <c r="H7" s="1891"/>
      <c r="I7" s="1505"/>
    </row>
    <row r="8" spans="1:12" ht="12.75">
      <c r="A8" s="3365" t="s">
        <v>1717</v>
      </c>
      <c r="B8" s="3423">
        <v>15</v>
      </c>
      <c r="C8" s="3426"/>
      <c r="D8" s="3414"/>
      <c r="E8" s="136" t="s">
        <v>1718</v>
      </c>
      <c r="F8" s="1891"/>
      <c r="G8" s="1891"/>
      <c r="H8" s="1891"/>
      <c r="I8" s="1505"/>
    </row>
    <row r="9" spans="1:12" ht="12.75">
      <c r="A9" s="3365"/>
      <c r="B9" s="3423"/>
      <c r="C9" s="3427"/>
      <c r="D9" s="3414"/>
      <c r="E9" s="136" t="s">
        <v>1719</v>
      </c>
      <c r="F9" s="1891"/>
      <c r="G9" s="1891"/>
      <c r="H9" s="1891"/>
      <c r="I9" s="1505"/>
    </row>
    <row r="10" spans="1:12" ht="12.75">
      <c r="A10" s="3365" t="s">
        <v>1720</v>
      </c>
      <c r="B10" s="3423">
        <v>15</v>
      </c>
      <c r="C10" s="3426"/>
      <c r="D10" s="3414"/>
      <c r="E10" s="136" t="s">
        <v>1721</v>
      </c>
      <c r="F10" s="1891"/>
      <c r="G10" s="1891"/>
      <c r="H10" s="1891"/>
      <c r="I10" s="1505"/>
    </row>
    <row r="11" spans="1:12" ht="12.75">
      <c r="A11" s="3365"/>
      <c r="B11" s="3423"/>
      <c r="C11" s="3427"/>
      <c r="D11" s="3414"/>
      <c r="E11" s="136" t="s">
        <v>1722</v>
      </c>
      <c r="F11" s="1891"/>
      <c r="G11" s="1891"/>
      <c r="H11" s="1891"/>
      <c r="I11" s="1505"/>
    </row>
    <row r="12" spans="1:12" ht="12.75">
      <c r="A12" s="3365" t="s">
        <v>1723</v>
      </c>
      <c r="B12" s="3423">
        <v>15</v>
      </c>
      <c r="C12" s="3426"/>
      <c r="D12" s="3414"/>
      <c r="E12" s="136" t="s">
        <v>1724</v>
      </c>
      <c r="F12" s="1891"/>
      <c r="G12" s="1891"/>
      <c r="H12" s="1891"/>
      <c r="I12" s="1505"/>
    </row>
    <row r="13" spans="1:12" ht="12.75">
      <c r="A13" s="3365"/>
      <c r="B13" s="3423"/>
      <c r="C13" s="3427"/>
      <c r="D13" s="3414"/>
      <c r="E13" s="136" t="s">
        <v>1725</v>
      </c>
      <c r="F13" s="1891"/>
      <c r="G13" s="1891"/>
      <c r="H13" s="1891"/>
      <c r="I13" s="1505"/>
    </row>
    <row r="14" spans="1:12" ht="12.75">
      <c r="A14" s="3365" t="s">
        <v>1726</v>
      </c>
      <c r="B14" s="3423">
        <v>30</v>
      </c>
      <c r="C14" s="3426">
        <v>5</v>
      </c>
      <c r="D14" s="3414">
        <v>5</v>
      </c>
      <c r="E14" s="136" t="s">
        <v>1727</v>
      </c>
      <c r="F14" s="1891"/>
      <c r="G14" s="1891"/>
      <c r="H14" s="1891"/>
      <c r="I14" s="1505"/>
    </row>
    <row r="15" spans="1:12" ht="12.75">
      <c r="A15" s="3365"/>
      <c r="B15" s="3423"/>
      <c r="C15" s="3428"/>
      <c r="D15" s="3414"/>
      <c r="E15" s="136" t="s">
        <v>1728</v>
      </c>
      <c r="F15" s="1891"/>
      <c r="G15" s="1891"/>
      <c r="H15" s="1891"/>
      <c r="I15" s="1505"/>
    </row>
    <row r="16" spans="1:12" ht="12.75">
      <c r="A16" s="3365"/>
      <c r="B16" s="3423"/>
      <c r="C16" s="3427"/>
      <c r="D16" s="3414"/>
      <c r="E16" s="136" t="s">
        <v>1729</v>
      </c>
      <c r="F16" s="1891"/>
      <c r="G16" s="1891"/>
      <c r="H16" s="1891"/>
      <c r="I16" s="1505"/>
    </row>
    <row r="17" spans="1:36" ht="15">
      <c r="A17" s="1892" t="s">
        <v>1730</v>
      </c>
      <c r="B17" s="60"/>
      <c r="C17" s="137">
        <f>SUM(C5:C16)</f>
        <v>5</v>
      </c>
      <c r="D17" s="137">
        <f>SUM(D5:D16)</f>
        <v>5</v>
      </c>
      <c r="E17" s="134"/>
      <c r="F17" s="134"/>
      <c r="G17" s="134"/>
      <c r="H17" s="134"/>
      <c r="I17" s="134"/>
      <c r="K17" s="308"/>
      <c r="L17" s="308" t="s">
        <v>1731</v>
      </c>
      <c r="M17" s="308" t="s">
        <v>1732</v>
      </c>
    </row>
    <row r="18" spans="1:36" ht="32.1" customHeight="1" thickBot="1">
      <c r="A18" s="1893" t="s">
        <v>1733</v>
      </c>
      <c r="B18" s="1894"/>
      <c r="C18" s="138">
        <f>ROUND(C17/SUM(C17:D17),2)</f>
        <v>0.5</v>
      </c>
      <c r="D18" s="138">
        <f>1-C18</f>
        <v>0.5</v>
      </c>
      <c r="E18" s="3445" t="s">
        <v>2630</v>
      </c>
      <c r="F18" s="3446"/>
      <c r="G18" s="3446"/>
      <c r="H18" s="3446"/>
      <c r="I18" s="3446"/>
      <c r="K18" s="308" t="s">
        <v>1734</v>
      </c>
      <c r="L18" s="308">
        <f>IF(C1="",'数据-汇总表'!E3,SUMIF(项目类型,C1,'数据-汇总表'!E17:E26)+SUMIF(项目类型,C1,'数据-汇总表'!I17:I26))</f>
        <v>254.29000000000002</v>
      </c>
      <c r="M18" s="308">
        <f>IF(C1="",'数据-汇总表'!E3,SUMIF(项目类型,C1,'数据-汇总表'!E17:E26))</f>
        <v>254.29000000000002</v>
      </c>
    </row>
    <row r="19" spans="1:36" ht="15">
      <c r="A19" s="1895" t="s">
        <v>1735</v>
      </c>
      <c r="B19" s="1896" t="s">
        <v>1736</v>
      </c>
      <c r="C19" s="139">
        <f ca="1">SUMIF(INDIRECT("'"&amp;C4&amp;"'"&amp;"!A:A"),结果表!B19,INDIRECT("'"&amp;C4&amp;"'"&amp;"!B:B"))</f>
        <v>253</v>
      </c>
      <c r="D19" s="140">
        <f ca="1">SUMIF(INDIRECT("'"&amp;D4&amp;"'"&amp;"!A:A"),结果表!B19,INDIRECT("'"&amp;D4&amp;"'"&amp;"!B:B"))</f>
        <v>203</v>
      </c>
      <c r="E19" s="1895" t="s">
        <v>1737</v>
      </c>
      <c r="F19" s="1896" t="s">
        <v>1736</v>
      </c>
      <c r="G19" s="141">
        <f ca="1">ROUND(C19*$C$18+D19*$D$18,0)</f>
        <v>228</v>
      </c>
      <c r="H19" s="1897" t="s">
        <v>1738</v>
      </c>
      <c r="I19" s="134"/>
      <c r="K19" s="308" t="s">
        <v>1739</v>
      </c>
      <c r="L19" s="308">
        <f>IF(C1="",'数据-汇总表'!D3,SUMIF(项目类型,C1,'数据-汇总表'!D17:D26)+SUMIF(项目类型,C1,'数据-汇总表'!H17:H27))</f>
        <v>0</v>
      </c>
      <c r="M19" s="308">
        <f>IF(C1="",'数据-汇总表'!D3,SUMIF(项目类型,C1,'数据-汇总表'!D17:D26))</f>
        <v>0</v>
      </c>
    </row>
    <row r="20" spans="1:36" ht="15">
      <c r="A20" s="1898"/>
      <c r="B20" s="1135" t="s">
        <v>1740</v>
      </c>
      <c r="C20" s="142">
        <f ca="1">SUMIF(INDIRECT("'"&amp;C4&amp;"'"&amp;"!A:A"),结果表!B20,INDIRECT("'"&amp;C4&amp;"'"&amp;"!B:B"))</f>
        <v>9930</v>
      </c>
      <c r="D20" s="143">
        <f ca="1">SUMIF(INDIRECT("'"&amp;D4&amp;"'"&amp;"!A:A"),结果表!B20,INDIRECT("'"&amp;D4&amp;"'"&amp;"!B:B"))</f>
        <v>8001</v>
      </c>
      <c r="E20" s="1898"/>
      <c r="F20" s="1135" t="s">
        <v>1740</v>
      </c>
      <c r="G20" s="144">
        <f ca="1">ROUND(C20*$C$18+D20*$D$18,0)</f>
        <v>8966</v>
      </c>
      <c r="H20" s="895" t="s">
        <v>1741</v>
      </c>
      <c r="I20" s="134"/>
    </row>
    <row r="21" spans="1:36" ht="15" customHeight="1" thickBot="1">
      <c r="A21" s="915"/>
      <c r="B21" s="1899" t="s">
        <v>1742</v>
      </c>
      <c r="C21" s="725" t="e">
        <f ca="1">ROUND(C19*10000/L19,0)</f>
        <v>#DIV/0!</v>
      </c>
      <c r="D21" s="726" t="e">
        <f ca="1">ROUND(D19*10000/L19,0)</f>
        <v>#DIV/0!</v>
      </c>
      <c r="E21" s="915"/>
      <c r="F21" s="1899" t="s">
        <v>1742</v>
      </c>
      <c r="G21" s="145" t="e">
        <f ca="1">ROUND(G19*10000/L19,0)</f>
        <v>#DIV/0!</v>
      </c>
      <c r="H21" s="1900" t="s">
        <v>1741</v>
      </c>
      <c r="I21" s="134"/>
    </row>
    <row r="22" spans="1:36" ht="15" thickBot="1">
      <c r="A22" s="1822" t="s">
        <v>1743</v>
      </c>
      <c r="B22" s="1901"/>
      <c r="C22" s="1902"/>
      <c r="D22" s="727">
        <f ca="1">IF(C19&lt;D19,D19/C19-1,C19/D19-1)</f>
        <v>0.24630541871921174</v>
      </c>
      <c r="E22" s="134"/>
      <c r="F22" s="134"/>
      <c r="G22" s="134"/>
      <c r="H22" s="134"/>
      <c r="I22" s="134"/>
    </row>
    <row r="23" spans="1:36" ht="13.5" thickBot="1">
      <c r="A23" s="1881"/>
      <c r="B23" s="1881"/>
      <c r="C23" s="1881"/>
      <c r="D23" s="1881"/>
      <c r="E23" s="134"/>
      <c r="F23" s="134"/>
      <c r="G23" s="134"/>
      <c r="H23" s="134"/>
      <c r="I23" s="134"/>
    </row>
    <row r="24" spans="1:36" ht="14.25">
      <c r="A24" s="3438" t="s">
        <v>1744</v>
      </c>
      <c r="B24" s="1896" t="s">
        <v>1736</v>
      </c>
      <c r="C24" s="141">
        <f>IF(B30=0,0,D30)</f>
        <v>0</v>
      </c>
      <c r="D24" s="1903"/>
      <c r="E24" s="134"/>
      <c r="F24" s="134"/>
      <c r="G24" s="134"/>
      <c r="H24" s="134"/>
      <c r="I24" s="134"/>
    </row>
    <row r="25" spans="1:36" ht="14.25">
      <c r="A25" s="3439"/>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9" t="s">
        <v>2631</v>
      </c>
      <c r="F30" s="134"/>
      <c r="G30" s="134"/>
      <c r="H30" s="134"/>
      <c r="I30" s="134"/>
    </row>
    <row r="31" spans="1:36" s="2475" customFormat="1" ht="26.45" customHeight="1" thickTop="1" thickBot="1">
      <c r="A31" s="2470"/>
      <c r="B31" s="2471"/>
      <c r="C31" s="2471"/>
      <c r="D31" s="2471"/>
      <c r="E31" s="2471"/>
      <c r="F31" s="2471"/>
      <c r="G31" s="2471"/>
      <c r="H31" s="2471"/>
      <c r="I31" s="2472" t="s">
        <v>2632</v>
      </c>
      <c r="J31" s="2862"/>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1750</v>
      </c>
      <c r="B32" s="1908"/>
      <c r="C32" s="149">
        <f ca="1">IF(D32="总价",G19-C24,G20-C25)</f>
        <v>228</v>
      </c>
      <c r="D32" s="1909" t="s">
        <v>3528</v>
      </c>
      <c r="E32" s="134"/>
      <c r="F32" s="134"/>
      <c r="G32" s="134"/>
      <c r="H32" s="134"/>
      <c r="I32" s="134"/>
    </row>
    <row r="33" spans="1:15" ht="15">
      <c r="A33" s="872" t="s">
        <v>1751</v>
      </c>
      <c r="B33" s="1910"/>
      <c r="C33" s="1911" t="s">
        <v>3527</v>
      </c>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15" t="s">
        <v>1757</v>
      </c>
      <c r="B36" s="1921" t="s">
        <v>1758</v>
      </c>
      <c r="C36" s="150"/>
      <c r="D36" s="1922"/>
      <c r="E36" s="1923"/>
      <c r="F36" s="1924"/>
      <c r="G36" s="134"/>
      <c r="H36" s="134"/>
      <c r="I36" s="134"/>
    </row>
    <row r="37" spans="1:15" ht="15.75" thickBot="1">
      <c r="A37" s="3416"/>
      <c r="B37" s="1808" t="s">
        <v>1759</v>
      </c>
      <c r="C37" s="152"/>
      <c r="D37" s="1251"/>
      <c r="E37" s="1251"/>
      <c r="F37" s="1924"/>
      <c r="G37" s="134"/>
      <c r="H37" s="134"/>
      <c r="I37" s="134"/>
    </row>
    <row r="38" spans="1:15" ht="15.75" thickBot="1">
      <c r="A38" s="3417"/>
      <c r="B38" s="1925" t="s">
        <v>1760</v>
      </c>
      <c r="C38" s="680"/>
      <c r="D38" s="1926" t="s">
        <v>1761</v>
      </c>
      <c r="E38" s="1251"/>
      <c r="F38" s="1924"/>
      <c r="G38" s="134"/>
      <c r="H38" s="134"/>
      <c r="I38" s="134"/>
    </row>
    <row r="39" spans="1:15" ht="15">
      <c r="A39" s="1898" t="s">
        <v>1762</v>
      </c>
      <c r="B39" s="1927" t="s">
        <v>1763</v>
      </c>
      <c r="C39" s="1928" t="s">
        <v>1764</v>
      </c>
      <c r="D39" s="1928" t="s">
        <v>1765</v>
      </c>
      <c r="E39" s="1929" t="s">
        <v>1766</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35" t="s">
        <v>1771</v>
      </c>
      <c r="B45" s="3436"/>
      <c r="C45" s="3437"/>
      <c r="D45" s="160">
        <f ca="1">ROUND(H101*F45,0)</f>
        <v>228</v>
      </c>
      <c r="E45" s="161" t="s">
        <v>1772</v>
      </c>
      <c r="F45" s="162">
        <v>1</v>
      </c>
      <c r="G45" s="163" t="s">
        <v>1773</v>
      </c>
      <c r="H45" s="134"/>
      <c r="I45" s="134"/>
      <c r="J45" s="3352" t="s">
        <v>1774</v>
      </c>
      <c r="K45" s="3352"/>
      <c r="L45" s="3352"/>
      <c r="M45" s="3352"/>
      <c r="N45" s="3352"/>
      <c r="O45" s="3352"/>
    </row>
    <row r="46" spans="1:15" ht="14.25" customHeight="1">
      <c r="A46" s="3432" t="s">
        <v>1775</v>
      </c>
      <c r="B46" s="3433"/>
      <c r="C46" s="3433"/>
      <c r="D46" s="3433"/>
      <c r="E46" s="3433"/>
      <c r="F46" s="3433"/>
      <c r="G46" s="3434"/>
      <c r="H46" s="1940"/>
      <c r="I46" s="164"/>
      <c r="J46" s="2694">
        <v>1</v>
      </c>
      <c r="K46" s="3353" t="s">
        <v>1776</v>
      </c>
      <c r="L46" s="3353"/>
      <c r="M46" s="3354"/>
      <c r="N46" s="3354"/>
      <c r="O46" s="3354"/>
    </row>
    <row r="47" spans="1:15" ht="12" customHeight="1">
      <c r="A47" s="165" t="s">
        <v>1777</v>
      </c>
      <c r="B47" s="166"/>
      <c r="C47" s="167"/>
      <c r="D47" s="1197" t="s">
        <v>1778</v>
      </c>
      <c r="E47" s="308" t="s">
        <v>1779</v>
      </c>
      <c r="F47" s="168" t="s">
        <v>1780</v>
      </c>
      <c r="G47" s="2717" t="s">
        <v>1781</v>
      </c>
      <c r="H47" s="2718"/>
      <c r="I47" s="164"/>
      <c r="J47" s="2694">
        <v>2</v>
      </c>
      <c r="K47" s="3353" t="s">
        <v>1782</v>
      </c>
      <c r="L47" s="3353"/>
      <c r="M47" s="3355">
        <f>'数据-取费表'!B2</f>
        <v>44698</v>
      </c>
      <c r="N47" s="3355"/>
      <c r="O47" s="3355"/>
    </row>
    <row r="48" spans="1:15" ht="25.5">
      <c r="A48" s="3418" t="s">
        <v>1783</v>
      </c>
      <c r="B48" s="3419"/>
      <c r="C48" s="3419"/>
      <c r="D48" s="2495" t="b">
        <f>IF(H48="情况1",0,IF(H48="情况2",D52,IF(H48="情况3",D53,IF(H48="情况4",D54))))</f>
        <v>0</v>
      </c>
      <c r="E48" s="2505" t="str">
        <f>IF(H48="情况4","(销售额-原购置价)×税（费）率","销售额×税（费）率")</f>
        <v>销售额×税（费）率</v>
      </c>
      <c r="F48" s="2719">
        <f>IF(H48="情况1","免征",'数据-取费表'!B41)</f>
        <v>5.6000000000000001E-2</v>
      </c>
      <c r="G48" s="2720" t="s">
        <v>1784</v>
      </c>
      <c r="H48" s="2721"/>
      <c r="I48" s="1940"/>
      <c r="J48" s="2694">
        <v>3</v>
      </c>
      <c r="K48" s="3353" t="s">
        <v>1785</v>
      </c>
      <c r="L48" s="3353"/>
      <c r="M48" s="3356">
        <f ca="1">H101</f>
        <v>228</v>
      </c>
      <c r="N48" s="3356"/>
      <c r="O48" s="3356"/>
    </row>
    <row r="49" spans="1:35" ht="25.5" customHeight="1">
      <c r="A49" s="2504" t="s">
        <v>1786</v>
      </c>
      <c r="B49" s="3401" t="s">
        <v>1787</v>
      </c>
      <c r="C49" s="3401"/>
      <c r="D49" s="1723">
        <v>0</v>
      </c>
      <c r="E49" s="330" t="s">
        <v>1788</v>
      </c>
      <c r="F49" s="2595" t="s">
        <v>34</v>
      </c>
      <c r="G49" s="3384"/>
      <c r="H49" s="2476" t="s">
        <v>2633</v>
      </c>
      <c r="I49" s="2477"/>
      <c r="J49" s="2694">
        <v>4</v>
      </c>
      <c r="K49" s="3353" t="str">
        <f>IF(项目基本情况!E8="房地产抵押价值","房地产抵押价值","抵押担保权已注销时的房地产抵押价值")</f>
        <v>房地产抵押价值</v>
      </c>
      <c r="L49" s="3353"/>
      <c r="M49" s="3356">
        <f ca="1">IF(项目基本情况!E8="房地产抵押价值",H107,H109)</f>
        <v>228</v>
      </c>
      <c r="N49" s="3356"/>
      <c r="O49" s="3356"/>
    </row>
    <row r="50" spans="1:35" ht="25.5" customHeight="1">
      <c r="A50" s="2722"/>
      <c r="B50" s="3401" t="s">
        <v>1789</v>
      </c>
      <c r="C50" s="3401"/>
      <c r="D50" s="2723"/>
      <c r="E50" s="338"/>
      <c r="F50" s="2595"/>
      <c r="G50" s="3385"/>
      <c r="H50" s="2478" t="s">
        <v>2634</v>
      </c>
      <c r="I50" s="2477"/>
      <c r="J50" s="3352" t="s">
        <v>1790</v>
      </c>
      <c r="K50" s="3352"/>
      <c r="L50" s="3352"/>
      <c r="M50" s="3352"/>
      <c r="N50" s="3352"/>
      <c r="O50" s="3352"/>
    </row>
    <row r="51" spans="1:35" ht="20.45" customHeight="1">
      <c r="A51" s="2724"/>
      <c r="B51" s="3401" t="s">
        <v>1791</v>
      </c>
      <c r="C51" s="3401"/>
      <c r="D51" s="1197"/>
      <c r="E51" s="333"/>
      <c r="F51" s="2595"/>
      <c r="G51" s="3386"/>
      <c r="H51" s="2478" t="s">
        <v>2635</v>
      </c>
      <c r="I51" s="2477"/>
      <c r="J51" s="2695" t="s">
        <v>1792</v>
      </c>
      <c r="K51" s="3353" t="s">
        <v>1793</v>
      </c>
      <c r="L51" s="3353"/>
      <c r="M51" s="2695" t="s">
        <v>1794</v>
      </c>
      <c r="N51" s="2695" t="s">
        <v>1795</v>
      </c>
      <c r="O51" s="2695" t="s">
        <v>1796</v>
      </c>
    </row>
    <row r="52" spans="1:35" ht="24" customHeight="1">
      <c r="A52" s="2506" t="s">
        <v>1797</v>
      </c>
      <c r="B52" s="3401" t="s">
        <v>1798</v>
      </c>
      <c r="C52" s="3401"/>
      <c r="D52" s="1197">
        <f ca="1">ROUND(D45*'数据-取费表'!B41/(1+'数据-取费表'!C42),0)</f>
        <v>12</v>
      </c>
      <c r="E52" s="2505" t="s">
        <v>1799</v>
      </c>
      <c r="F52" s="2725">
        <f>'数据-取费表'!B41</f>
        <v>5.6000000000000001E-2</v>
      </c>
      <c r="G52" s="2726"/>
      <c r="H52" s="2715"/>
      <c r="I52" s="1941"/>
      <c r="J52" s="2694">
        <v>1</v>
      </c>
      <c r="K52" s="3378" t="s">
        <v>1800</v>
      </c>
      <c r="L52" s="3378"/>
      <c r="M52" s="2696" t="b">
        <f>D48</f>
        <v>0</v>
      </c>
      <c r="N52" s="2694" t="str">
        <f>E48</f>
        <v>销售额×税（费）率</v>
      </c>
      <c r="O52" s="2697">
        <f>F48</f>
        <v>5.6000000000000001E-2</v>
      </c>
    </row>
    <row r="53" spans="1:35" ht="12" customHeight="1">
      <c r="A53" s="2506" t="s">
        <v>1801</v>
      </c>
      <c r="B53" s="3402" t="s">
        <v>2787</v>
      </c>
      <c r="C53" s="3403"/>
      <c r="D53" s="1197">
        <f ca="1">ROUND(D45*'数据-取费表'!B41/(1+'数据-取费表'!C42),0)</f>
        <v>12</v>
      </c>
      <c r="E53" s="2505" t="s">
        <v>1799</v>
      </c>
      <c r="F53" s="2725">
        <f>'数据-取费表'!B41</f>
        <v>5.6000000000000001E-2</v>
      </c>
      <c r="G53" s="2726"/>
      <c r="H53" s="2715"/>
      <c r="I53" s="1941"/>
      <c r="J53" s="2694">
        <v>2</v>
      </c>
      <c r="K53" s="3378" t="s">
        <v>1802</v>
      </c>
      <c r="L53" s="3378"/>
      <c r="M53" s="2696">
        <f t="shared" ref="M53:O54" ca="1" si="0">D55</f>
        <v>3</v>
      </c>
      <c r="N53" s="2694" t="str">
        <f t="shared" si="0"/>
        <v>销售额×税（费）率</v>
      </c>
      <c r="O53" s="2697" t="str">
        <f t="shared" si="0"/>
        <v>免征</v>
      </c>
    </row>
    <row r="54" spans="1:35" ht="12" customHeight="1">
      <c r="A54" s="2506" t="s">
        <v>1803</v>
      </c>
      <c r="B54" s="3402" t="s">
        <v>2788</v>
      </c>
      <c r="C54" s="3403"/>
      <c r="D54" s="1197">
        <f ca="1">C68</f>
        <v>12</v>
      </c>
      <c r="E54" s="333" t="s">
        <v>1804</v>
      </c>
      <c r="F54" s="2725">
        <f>'数据-取费表'!B41</f>
        <v>5.6000000000000001E-2</v>
      </c>
      <c r="G54" s="2726"/>
      <c r="H54" s="2727"/>
      <c r="I54" s="1941"/>
      <c r="J54" s="2694">
        <v>3</v>
      </c>
      <c r="K54" s="3378" t="s">
        <v>1805</v>
      </c>
      <c r="L54" s="3378"/>
      <c r="M54" s="2696">
        <f t="shared" ca="1" si="0"/>
        <v>129</v>
      </c>
      <c r="N54" s="2694" t="str">
        <f t="shared" si="0"/>
        <v>增值额×税（费）率</v>
      </c>
      <c r="O54" s="2698" t="str">
        <f t="shared" si="0"/>
        <v>免征</v>
      </c>
    </row>
    <row r="55" spans="1:35" ht="24" customHeight="1">
      <c r="A55" s="3441" t="s">
        <v>1806</v>
      </c>
      <c r="B55" s="3419"/>
      <c r="C55" s="3419"/>
      <c r="D55" s="2495">
        <f ca="1">IF(H55="个人住宅",0,ROUND(D45*I55,0))</f>
        <v>3</v>
      </c>
      <c r="E55" s="2505" t="s">
        <v>1807</v>
      </c>
      <c r="F55" s="2725" t="str">
        <f>IF(H55="正常",I55,"免征")</f>
        <v>免征</v>
      </c>
      <c r="G55" s="2726"/>
      <c r="H55" s="2721"/>
      <c r="I55" s="170">
        <f>'数据-取费表'!B49</f>
        <v>1.4999999999999999E-2</v>
      </c>
      <c r="J55" s="2694">
        <f>IF(H59="非个人房产","",4)</f>
        <v>4</v>
      </c>
      <c r="K55" s="3378" t="str">
        <f>IF(H59="非个人房产","——","个人所得税")</f>
        <v>个人所得税</v>
      </c>
      <c r="L55" s="3378"/>
      <c r="M55" s="2699">
        <f ca="1">D59</f>
        <v>2</v>
      </c>
      <c r="N55" s="2176" t="str">
        <f>E59</f>
        <v>差额计税</v>
      </c>
      <c r="O55" s="2700">
        <f>F59</f>
        <v>0.01</v>
      </c>
    </row>
    <row r="56" spans="1:35" ht="24.75">
      <c r="A56" s="3441" t="s">
        <v>1808</v>
      </c>
      <c r="B56" s="3419"/>
      <c r="C56" s="3419"/>
      <c r="D56" s="2495">
        <f ca="1">IF(H56="个人住宅",D57,D58)</f>
        <v>129</v>
      </c>
      <c r="E56" s="2505" t="s">
        <v>1809</v>
      </c>
      <c r="F56" s="2725" t="str">
        <f>IF(H56="正常",F58,"免征")</f>
        <v>免征</v>
      </c>
      <c r="G56" s="2728" t="s">
        <v>1810</v>
      </c>
      <c r="H56" s="2729"/>
      <c r="I56" s="1942"/>
      <c r="J56" s="2694" t="str">
        <f>IF(项目基本情况!K6="上海银行",IF(J55="",4,J55+1),"")</f>
        <v/>
      </c>
      <c r="K56" s="3359" t="str">
        <f>IF(项目基本情况!K6="上海银行","其他处置费用","")</f>
        <v/>
      </c>
      <c r="L56" s="3360"/>
      <c r="M56" s="2696" t="str">
        <f>IF(项目基本情况!K6="上海银行",M69,"")</f>
        <v/>
      </c>
      <c r="N56" s="3359" t="str">
        <f>IF(项目基本情况!K6="上海银行","包含处置中涉及的律师、诉讼、拍卖、评估等费用","")</f>
        <v/>
      </c>
      <c r="O56" s="3362"/>
    </row>
    <row r="57" spans="1:35" ht="12.75">
      <c r="A57" s="2506" t="s">
        <v>1786</v>
      </c>
      <c r="B57" s="3402" t="s">
        <v>1811</v>
      </c>
      <c r="C57" s="3403"/>
      <c r="D57" s="1723">
        <v>0</v>
      </c>
      <c r="E57" s="330" t="s">
        <v>1788</v>
      </c>
      <c r="F57" s="308"/>
      <c r="G57" s="2726"/>
      <c r="H57" s="2730"/>
      <c r="I57" s="1942"/>
      <c r="J57" s="3378">
        <f>IF(AND(J55="",J56=""),4,IF(项目基本情况!K6="上海银行",结果表!J56+1,结果表!J55+1))</f>
        <v>5</v>
      </c>
      <c r="K57" s="3378" t="s">
        <v>1812</v>
      </c>
      <c r="L57" s="2701" t="s">
        <v>1813</v>
      </c>
      <c r="M57" s="2702"/>
      <c r="N57" s="2703">
        <f ca="1">SUMIF(M52:M56,"&lt;9e307")</f>
        <v>134</v>
      </c>
      <c r="O57" s="2704"/>
      <c r="P57" s="2863">
        <f ca="1">N57/M49</f>
        <v>0.58771929824561409</v>
      </c>
    </row>
    <row r="58" spans="1:35" ht="24.75">
      <c r="A58" s="2506" t="s">
        <v>1797</v>
      </c>
      <c r="B58" s="3402" t="s">
        <v>1814</v>
      </c>
      <c r="C58" s="3401"/>
      <c r="D58" s="2495">
        <f ca="1">IF(H58="转让取得",C81,C97)</f>
        <v>129</v>
      </c>
      <c r="E58" s="2505" t="s">
        <v>1809</v>
      </c>
      <c r="F58" s="308" t="s">
        <v>34</v>
      </c>
      <c r="G58" s="2726"/>
      <c r="H58" s="2729"/>
      <c r="I58" s="1942"/>
      <c r="J58" s="3378"/>
      <c r="K58" s="3378"/>
      <c r="L58" s="2701" t="s">
        <v>1815</v>
      </c>
      <c r="M58" s="2705"/>
      <c r="N58" s="2706" t="str">
        <f ca="1">NUMBERSTRING(INT(N57*10000),2)&amp;"元整"</f>
        <v>壹佰叁拾肆万元整</v>
      </c>
      <c r="O58" s="2707"/>
    </row>
    <row r="59" spans="1:35" ht="24.75" thickBot="1">
      <c r="A59" s="3382" t="s">
        <v>1816</v>
      </c>
      <c r="B59" s="3383"/>
      <c r="C59" s="3383"/>
      <c r="D59" s="2731">
        <f ca="1">IF(H59="非个人房产","——",IF(H59="个人住宅（满五唯一有凭证）",0,IF(H59="个人其他（无凭证）",ROUND(D45*F59,0),ROUND(C67*F59,0))))</f>
        <v>2</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80"/>
      <c r="I59" s="2479" t="s">
        <v>2636</v>
      </c>
      <c r="J59" s="3380">
        <f>J57+1</f>
        <v>6</v>
      </c>
      <c r="K59" s="3378" t="s">
        <v>1817</v>
      </c>
      <c r="L59" s="2694" t="s">
        <v>1813</v>
      </c>
      <c r="M59" s="2708"/>
      <c r="N59" s="2709">
        <f ca="1">M49-N57</f>
        <v>94</v>
      </c>
      <c r="O59" s="2710"/>
    </row>
    <row r="60" spans="1:35" ht="12" customHeight="1">
      <c r="A60" s="1943"/>
      <c r="B60" s="1881"/>
      <c r="C60" s="1881"/>
      <c r="D60" s="1881"/>
      <c r="E60" s="1711"/>
      <c r="F60" s="1942"/>
      <c r="G60" s="1942"/>
      <c r="H60" s="1944"/>
      <c r="I60" s="134"/>
      <c r="J60" s="3381"/>
      <c r="K60" s="3378"/>
      <c r="L60" s="2701" t="s">
        <v>1815</v>
      </c>
      <c r="M60" s="2705"/>
      <c r="N60" s="2706" t="str">
        <f ca="1">NUMBERSTRING(INT(N59*10000),2)&amp;"元整"</f>
        <v>玖拾肆万元整</v>
      </c>
      <c r="O60" s="2707"/>
    </row>
    <row r="61" spans="1:35" ht="13.5" thickBot="1">
      <c r="A61" s="3440" t="s">
        <v>1818</v>
      </c>
      <c r="B61" s="3440"/>
      <c r="C61" s="3440"/>
      <c r="D61" s="3440"/>
      <c r="E61" s="3440"/>
      <c r="F61" s="1942"/>
      <c r="G61" s="1942"/>
      <c r="H61" s="1944"/>
      <c r="I61" s="134"/>
      <c r="J61" s="2694">
        <f>J59+1</f>
        <v>7</v>
      </c>
      <c r="K61" s="3378" t="s">
        <v>1819</v>
      </c>
      <c r="L61" s="3378"/>
      <c r="M61" s="2711"/>
      <c r="N61" s="2712">
        <f ca="1">ROUND(N59*10000/'数据-汇总表'!E3,0)</f>
        <v>3697</v>
      </c>
      <c r="O61" s="2713"/>
    </row>
    <row r="62" spans="1:35" ht="12.75">
      <c r="A62" s="3397" t="s">
        <v>1820</v>
      </c>
      <c r="B62" s="3398"/>
      <c r="C62" s="2157"/>
      <c r="D62" s="2157" t="s">
        <v>1821</v>
      </c>
      <c r="E62" s="171" t="s">
        <v>1822</v>
      </c>
      <c r="F62" s="1942"/>
      <c r="G62" s="1942"/>
      <c r="H62" s="1944"/>
      <c r="I62" s="134"/>
    </row>
    <row r="63" spans="1:35" ht="12.75">
      <c r="A63" s="178" t="s">
        <v>594</v>
      </c>
      <c r="B63" s="172" t="s">
        <v>1823</v>
      </c>
      <c r="C63" s="2735">
        <f ca="1">ROUND((C64+C65)/(1+'数据-取费表'!C42),0)</f>
        <v>217</v>
      </c>
      <c r="D63" s="172"/>
      <c r="E63" s="173"/>
      <c r="F63" s="1942"/>
      <c r="G63" s="1942"/>
      <c r="H63" s="1944"/>
      <c r="I63" s="134"/>
      <c r="J63" s="3361" t="s">
        <v>1824</v>
      </c>
      <c r="K63" s="1450" t="s">
        <v>1825</v>
      </c>
      <c r="L63" s="1450">
        <f ca="1">IF(M49&gt;10000,M49*0.5%,IF(AND(M49&gt;1000,M49&lt;=10000),M49*1%,IF(AND(M49&gt;100,M49&lt;=1000),M49*3%,IF(AND(M49&gt;10,M49&lt;=100),M49*5%,M49*8%))))</f>
        <v>6.84</v>
      </c>
      <c r="M63" s="308">
        <f ca="1">ROUND(L63,1)</f>
        <v>6.8</v>
      </c>
      <c r="N63" s="2714"/>
      <c r="Z63" s="1886"/>
      <c r="AI63" s="1887"/>
    </row>
    <row r="64" spans="1:35" ht="14.25" customHeight="1">
      <c r="A64" s="174" t="s">
        <v>589</v>
      </c>
      <c r="B64" s="175" t="s">
        <v>1826</v>
      </c>
      <c r="C64" s="2736">
        <f ca="1">D45</f>
        <v>228</v>
      </c>
      <c r="D64" s="175" t="s">
        <v>32</v>
      </c>
      <c r="E64" s="177"/>
      <c r="F64" s="1942"/>
      <c r="G64" s="1942"/>
      <c r="H64" s="1944"/>
      <c r="I64" s="134"/>
      <c r="J64" s="3361"/>
      <c r="K64" s="1450" t="s">
        <v>1827</v>
      </c>
      <c r="L64" s="1450">
        <f ca="1">IF(M49&gt;2000,M49*0.5%,IF(AND(M49&gt;1000,M49&lt;=2000),M49*0.6%,IF(AND(M49&gt;500,M49&lt;=1000),M49*0.7%,IF(AND(M49&gt;200,M49&lt;=500),M49*0.8%,IF(AND(M49&gt;100,M49&lt;=200),M49*0.9%,IF(AND(M49&gt;50,M49&lt;=100),M49*1%,IF(AND(M49&gt;20,M49&lt;=50),M49*1.5%,IF(AND(M49&gt;10,M49&lt;=20),M49*2%,IF(AND(M49&gt;1,M49&lt;=10),M49*2.5%)))))))))</f>
        <v>1.8240000000000001</v>
      </c>
      <c r="M64" s="308">
        <f t="shared" ref="M64:M65" ca="1" si="1">ROUND(L64,1)</f>
        <v>1.8</v>
      </c>
      <c r="N64" s="2715" t="s">
        <v>1828</v>
      </c>
      <c r="Z64" s="1886"/>
      <c r="AI64" s="1887"/>
    </row>
    <row r="65" spans="1:35" ht="14.25" customHeight="1">
      <c r="A65" s="174" t="s">
        <v>590</v>
      </c>
      <c r="B65" s="175" t="s">
        <v>1829</v>
      </c>
      <c r="C65" s="2737"/>
      <c r="D65" s="175"/>
      <c r="E65" s="177"/>
      <c r="F65" s="1942"/>
      <c r="G65" s="1942"/>
      <c r="H65" s="1944"/>
      <c r="I65" s="134"/>
      <c r="J65" s="3361"/>
      <c r="K65" s="1450" t="s">
        <v>1830</v>
      </c>
      <c r="L65" s="1450">
        <f ca="1">IF(M49&gt;1000,M49*0.1%,IF(AND(M49&gt;500,M49&lt;=1000),M49*0.5%,IF(AND(M49&gt;50,M49&lt;=500),M49*1%,IF(AND(M49&gt;1,M49&lt;=50),M49*1.5%))))</f>
        <v>2.2800000000000002</v>
      </c>
      <c r="M65" s="308">
        <f t="shared" ca="1" si="1"/>
        <v>2.2999999999999998</v>
      </c>
      <c r="N65" s="2715" t="s">
        <v>1828</v>
      </c>
      <c r="Z65" s="1886"/>
      <c r="AI65" s="1887"/>
    </row>
    <row r="66" spans="1:35" ht="14.25" customHeight="1">
      <c r="A66" s="178" t="s">
        <v>591</v>
      </c>
      <c r="B66" s="179" t="s">
        <v>1831</v>
      </c>
      <c r="C66" s="2738"/>
      <c r="D66" s="179" t="s">
        <v>32</v>
      </c>
      <c r="E66" s="1457" t="s">
        <v>1096</v>
      </c>
      <c r="F66" s="1942"/>
      <c r="G66" s="1942"/>
      <c r="H66" s="1944"/>
      <c r="I66" s="134"/>
      <c r="J66" s="3361"/>
      <c r="K66" s="1450" t="s">
        <v>1832</v>
      </c>
      <c r="L66" s="1450">
        <f ca="1">M49*0.5%</f>
        <v>1.1400000000000001</v>
      </c>
      <c r="M66" s="308">
        <f ca="1">IF(L66&gt;0.5,0.5,ROUND(L66,0))</f>
        <v>0.5</v>
      </c>
      <c r="N66" s="2715" t="s">
        <v>1833</v>
      </c>
      <c r="Z66" s="1886"/>
      <c r="AI66" s="1887"/>
    </row>
    <row r="67" spans="1:35" ht="14.25" customHeight="1">
      <c r="A67" s="178" t="s">
        <v>592</v>
      </c>
      <c r="B67" s="179" t="s">
        <v>1834</v>
      </c>
      <c r="C67" s="2739">
        <f ca="1">C63-C66</f>
        <v>217</v>
      </c>
      <c r="D67" s="175" t="s">
        <v>32</v>
      </c>
      <c r="E67" s="177"/>
      <c r="F67" s="1942"/>
      <c r="G67" s="1942"/>
      <c r="H67" s="1944"/>
      <c r="I67" s="134"/>
      <c r="J67" s="3361"/>
      <c r="K67" s="1450" t="s">
        <v>1835</v>
      </c>
      <c r="L67" s="1450">
        <f ca="1">IF(M49&gt;=10000,(8.25+(M49-10000)*0.01%),IF(AND(M49&gt;=8000,M49&lt;10000),(7.85+(M49-8000)*0.02%),IF(AND(M49&gt;=5000,M49&lt;8000),(6.65+(M49-5000)*0.04%),IF(AND(M49&gt;=2000,M49&lt;5000),(4.25+(PM49-2000)*0.08%),IF(AND(M49&gt;=1000,M49&lt;2000),(2.75+(M49-1000)*0.15%),IF(AND(M49&gt;=100,M49&lt;1000),(0.5+(M49-100)*0.25%),IF(AND(M49&gt;0,M49&lt;100),M49*0.5%)))))))</f>
        <v>0.82000000000000006</v>
      </c>
      <c r="M67" s="308">
        <f ca="1">ROUND(L67*0.9,1)</f>
        <v>0.7</v>
      </c>
      <c r="N67" s="2714"/>
      <c r="Z67" s="1886"/>
      <c r="AI67" s="1887"/>
    </row>
    <row r="68" spans="1:35" ht="14.25" customHeight="1" thickBot="1">
      <c r="A68" s="181" t="s">
        <v>593</v>
      </c>
      <c r="B68" s="182" t="s">
        <v>1836</v>
      </c>
      <c r="C68" s="2740">
        <f ca="1">IF(C67&lt;=0,0,ROUND(C67*D68,0))</f>
        <v>12</v>
      </c>
      <c r="D68" s="2741">
        <f>'数据-取费表'!B41</f>
        <v>5.6000000000000001E-2</v>
      </c>
      <c r="E68" s="184"/>
      <c r="F68" s="1942"/>
      <c r="G68" s="1942"/>
      <c r="H68" s="1944"/>
      <c r="I68" s="134"/>
      <c r="J68" s="3361"/>
      <c r="K68" s="1450" t="s">
        <v>1837</v>
      </c>
      <c r="L68" s="1450">
        <f ca="1">IF(M49&gt;10000,M49*0.5%,IF(AND(M49&gt;5000,M49&lt;=10000),M49*1%,IF(AND(M49&gt;1000,M49&lt;=5000),M49*2%,IF(AND(M49&gt;200,M49&lt;=1000),M49*3%,M49*5%))))</f>
        <v>6.84</v>
      </c>
      <c r="M68" s="308">
        <f ca="1">ROUND(L68,1)</f>
        <v>6.8</v>
      </c>
      <c r="N68" s="2714"/>
      <c r="Z68" s="1886"/>
      <c r="AI68" s="1887"/>
    </row>
    <row r="69" spans="1:35" s="1906" customFormat="1" ht="16.5" customHeight="1">
      <c r="A69" s="1945"/>
      <c r="B69" s="1946"/>
      <c r="C69" s="1947"/>
      <c r="D69" s="1948"/>
      <c r="E69" s="1949"/>
      <c r="F69" s="1711"/>
      <c r="G69" s="1711"/>
      <c r="H69" s="1710"/>
      <c r="I69" s="1881"/>
      <c r="J69" s="3361"/>
      <c r="K69" s="1450" t="s">
        <v>1838</v>
      </c>
      <c r="L69" s="1450"/>
      <c r="M69" s="308">
        <f ca="1">ROUND(SUM(M63:M68),0)</f>
        <v>19</v>
      </c>
      <c r="N69" s="2716">
        <f ca="1">M69/M49</f>
        <v>8.3333333333333329E-2</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05" t="s">
        <v>1839</v>
      </c>
      <c r="B70" s="3406"/>
      <c r="C70" s="3406"/>
      <c r="D70" s="3406"/>
      <c r="E70" s="3406"/>
      <c r="F70" s="3406"/>
      <c r="G70" s="3406"/>
      <c r="H70" s="3406"/>
      <c r="I70" s="1950"/>
      <c r="J70" s="2864"/>
      <c r="K70" s="2864"/>
      <c r="L70" s="2864"/>
      <c r="M70" s="2864"/>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397" t="s">
        <v>1820</v>
      </c>
      <c r="B71" s="3398"/>
      <c r="C71" s="2157"/>
      <c r="D71" s="2157" t="s">
        <v>1821</v>
      </c>
      <c r="E71" s="185" t="s">
        <v>1822</v>
      </c>
      <c r="F71" s="186"/>
      <c r="G71" s="186"/>
      <c r="H71" s="187"/>
      <c r="I71" s="1954"/>
      <c r="J71" s="2864"/>
      <c r="K71" s="2864"/>
      <c r="L71" s="2864"/>
      <c r="M71" s="2864"/>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9">
        <f ca="1">ROUND(D45/(1+'数据-取费表'!C42),0)</f>
        <v>217</v>
      </c>
      <c r="D72" s="175" t="s">
        <v>32</v>
      </c>
      <c r="E72" s="2502"/>
      <c r="F72" s="2501"/>
      <c r="G72" s="2501"/>
      <c r="H72" s="188"/>
      <c r="I72" s="1954"/>
      <c r="J72" s="2864"/>
      <c r="K72" s="2864"/>
      <c r="L72" s="2864"/>
      <c r="M72" s="2864"/>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9">
        <f ca="1">C74+C78</f>
        <v>1</v>
      </c>
      <c r="D73" s="175" t="s">
        <v>32</v>
      </c>
      <c r="E73" s="2502"/>
      <c r="F73" s="2501"/>
      <c r="G73" s="2501"/>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2502"/>
      <c r="F74" s="2501"/>
      <c r="G74" s="2501"/>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2"/>
      <c r="D75" s="175" t="s">
        <v>32</v>
      </c>
      <c r="E75" s="190" t="s">
        <v>1844</v>
      </c>
      <c r="F75" s="2743"/>
      <c r="G75" s="190" t="s">
        <v>1845</v>
      </c>
      <c r="H75" s="2744"/>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5">
        <v>0.05</v>
      </c>
      <c r="E76" s="3402" t="s">
        <v>1847</v>
      </c>
      <c r="F76" s="3401"/>
      <c r="G76" s="3401"/>
      <c r="H76" s="3404"/>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6">
        <f>'数据-取费表'!B48+'数据-取费表'!B49</f>
        <v>5.5E-2</v>
      </c>
      <c r="E77" s="2495" t="s">
        <v>1849</v>
      </c>
      <c r="F77" s="192"/>
      <c r="G77" s="1956"/>
      <c r="H77" s="2503"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7">
        <f ca="1">ROUND(D45*D78/(1+'数据-取费表'!C42),0)</f>
        <v>1</v>
      </c>
      <c r="D78" s="2748">
        <f>'数据-取费表'!B43</f>
        <v>6.000000000000001E-3</v>
      </c>
      <c r="E78" s="3394" t="s">
        <v>1851</v>
      </c>
      <c r="F78" s="3395"/>
      <c r="G78" s="3395"/>
      <c r="H78" s="3396"/>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598</v>
      </c>
      <c r="B79" s="179" t="s">
        <v>1852</v>
      </c>
      <c r="C79" s="2739">
        <f ca="1">C72-C73</f>
        <v>216</v>
      </c>
      <c r="D79" s="175" t="s">
        <v>32</v>
      </c>
      <c r="E79" s="2502"/>
      <c r="F79" s="2501"/>
      <c r="G79" s="2501"/>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9">
        <f ca="1">IF(C79&lt;=0,0,C79/C73)</f>
        <v>216</v>
      </c>
      <c r="D80" s="175" t="s">
        <v>32</v>
      </c>
      <c r="E80" s="2495" t="str">
        <f ca="1">IF(C80&gt;=200%,"增值额超过扣除项目金额200%",IF(C80&gt;=100%,"增值额超过扣除项目金额100%，未超过200%",IF(C80&gt;=50%,"增值额超过扣除项目金额50%，未超过100%",IF(C80&lt;50%,"增值额未超过扣除项目金额50%"))))</f>
        <v>增值额超过扣除项目金额200%</v>
      </c>
      <c r="F80" s="2501"/>
      <c r="G80" s="2501"/>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50">
        <f ca="1">ROUND(IF(C79&lt;=0,0,IF(C80&gt;=200%,C79*60%-C73*35%,IF(C80&gt;=100%,C79*50%-C73*15%,IF(C80&gt;=50%,C79*40%-C73*5%,IF(C80&lt;50%,C79*30%,0))))),0)</f>
        <v>129</v>
      </c>
      <c r="D81" s="275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05" t="s">
        <v>1855</v>
      </c>
      <c r="B83" s="3406"/>
      <c r="C83" s="3406"/>
      <c r="D83" s="3406"/>
      <c r="E83" s="3406"/>
      <c r="F83" s="3406"/>
      <c r="G83" s="3406"/>
      <c r="H83" s="3406"/>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397" t="s">
        <v>1820</v>
      </c>
      <c r="B84" s="3398"/>
      <c r="C84" s="2157"/>
      <c r="D84" s="2157"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9">
        <f ca="1">ROUND(D45/(1+'数据-取费表'!C42),0)</f>
        <v>217</v>
      </c>
      <c r="D85" s="175" t="s">
        <v>32</v>
      </c>
      <c r="E85" s="2502"/>
      <c r="F85" s="2501"/>
      <c r="G85" s="2501"/>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9">
        <f ca="1">IF(H88="仅含出让金",C87+C90+C91+C92+C93+C94,C87+C91+C92+C93+C94)</f>
        <v>1</v>
      </c>
      <c r="D86" s="2752"/>
      <c r="E86" s="2502"/>
      <c r="F86" s="2501"/>
      <c r="G86" s="2501"/>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7">
        <f>C88+C89</f>
        <v>0</v>
      </c>
      <c r="D87" s="2748"/>
      <c r="E87" s="2497"/>
      <c r="F87" s="2498"/>
      <c r="G87" s="2498"/>
      <c r="H87" s="2499"/>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3"/>
      <c r="D88" s="2748"/>
      <c r="E88" s="199" t="s">
        <v>1858</v>
      </c>
      <c r="F88" s="2498"/>
      <c r="G88" s="200" t="s">
        <v>1859</v>
      </c>
      <c r="H88" s="1958"/>
      <c r="I88" s="1955"/>
      <c r="J88" s="2692" t="s">
        <v>2784</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7">
        <f>ROUND(C88*D89,0)</f>
        <v>0</v>
      </c>
      <c r="D89" s="2748">
        <f>'数据-取费表'!B48+'数据-取费表'!B49</f>
        <v>5.5E-2</v>
      </c>
      <c r="E89" s="199" t="s">
        <v>1860</v>
      </c>
      <c r="F89" s="2498"/>
      <c r="G89" s="2498"/>
      <c r="H89" s="2499"/>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3"/>
      <c r="D90" s="2748"/>
      <c r="E90" s="199" t="str">
        <f>IF(H88="-","土地取得成本中已包含该笔费用"," ")</f>
        <v xml:space="preserve"> </v>
      </c>
      <c r="F90" s="2498"/>
      <c r="G90" s="3363" t="s">
        <v>2628</v>
      </c>
      <c r="H90" s="3364"/>
      <c r="I90" s="1955"/>
      <c r="J90" s="2692" t="s">
        <v>2785</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7">
        <f>IF(H91="——",成本法!C33,I91)</f>
        <v>0</v>
      </c>
      <c r="D91" s="2748"/>
      <c r="E91" s="3394" t="s">
        <v>1864</v>
      </c>
      <c r="F91" s="3395"/>
      <c r="G91" s="3395"/>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7">
        <f>ROUND((C87+C90+C91)*D92,0)</f>
        <v>0</v>
      </c>
      <c r="D92" s="2754"/>
      <c r="E92" s="3394" t="s">
        <v>1867</v>
      </c>
      <c r="F92" s="3395"/>
      <c r="G92" s="3395"/>
      <c r="H92" s="3396"/>
      <c r="I92" s="1955"/>
      <c r="J92" s="2693" t="s">
        <v>2786</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7">
        <f ca="1">ROUND(D45*D93/(1+'数据-取费表'!C42),0)</f>
        <v>1</v>
      </c>
      <c r="D93" s="2748">
        <f>'数据-取费表'!B43</f>
        <v>6.000000000000001E-3</v>
      </c>
      <c r="E93" s="3394" t="s">
        <v>1851</v>
      </c>
      <c r="F93" s="3395"/>
      <c r="G93" s="3395"/>
      <c r="H93" s="3396"/>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3">
        <f>ROUND((C87+C90+C91)*D94,0)</f>
        <v>0</v>
      </c>
      <c r="D94" s="2748">
        <v>0.2</v>
      </c>
      <c r="E94" s="3442" t="s">
        <v>1871</v>
      </c>
      <c r="F94" s="3443"/>
      <c r="G94" s="3443"/>
      <c r="H94" s="3444"/>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598</v>
      </c>
      <c r="B95" s="179" t="s">
        <v>1852</v>
      </c>
      <c r="C95" s="2739">
        <f ca="1">ROUND(C85-C86,0)</f>
        <v>216</v>
      </c>
      <c r="D95" s="175" t="s">
        <v>32</v>
      </c>
      <c r="E95" s="2502"/>
      <c r="F95" s="2501"/>
      <c r="G95" s="2501"/>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9">
        <f ca="1">IF(C95&lt;=0,0,C95/C86)</f>
        <v>216</v>
      </c>
      <c r="D96" s="175" t="s">
        <v>32</v>
      </c>
      <c r="E96" s="2495" t="str">
        <f ca="1">IF(C96&gt;=200%,"增值额超过扣除项目金额200%",IF(C96&gt;=100%,"增值额超过扣除项目金额100%，未超过200%",IF(C96&gt;=50%,"增值额超过扣除项目金额50%，未超过100%",IF(C96&lt;50%,"增值额未超过扣除项目金额50%"))))</f>
        <v>增值额超过扣除项目金额200%</v>
      </c>
      <c r="F96" s="2501"/>
      <c r="G96" s="2501"/>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50">
        <f ca="1">ROUND(IF(C95&lt;=0,0,IF(C96&gt;=200%,C95*60%-C86*35%,IF(C96&gt;=100%,C95*50%-C86*15%,IF(C96&gt;=50%,C95*40%-C86*5%,IF(C96&lt;50%,C95*30%,0))))),0)</f>
        <v>129</v>
      </c>
      <c r="D97" s="275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44" t="s">
        <v>1873</v>
      </c>
      <c r="B100" s="3345"/>
      <c r="C100" s="3345"/>
      <c r="D100" s="3379"/>
      <c r="E100" s="3345" t="s">
        <v>1874</v>
      </c>
      <c r="F100" s="3345"/>
      <c r="G100" s="3345"/>
      <c r="H100" s="3379"/>
      <c r="I100" s="134"/>
    </row>
    <row r="101" spans="1:35" ht="18.75" customHeight="1">
      <c r="A101" s="3387" t="s">
        <v>1875</v>
      </c>
      <c r="B101" s="3388"/>
      <c r="C101" s="2756" t="str">
        <f>C4</f>
        <v>比较法-商业</v>
      </c>
      <c r="D101" s="2757" t="str">
        <f>D4</f>
        <v>收益法 (元)</v>
      </c>
      <c r="E101" s="3357" t="s">
        <v>1876</v>
      </c>
      <c r="F101" s="3358"/>
      <c r="G101" s="1961" t="s">
        <v>1877</v>
      </c>
      <c r="H101" s="2766">
        <f ca="1">H118</f>
        <v>228</v>
      </c>
      <c r="I101" s="134"/>
    </row>
    <row r="102" spans="1:35" ht="18.75" customHeight="1">
      <c r="A102" s="3389" t="s">
        <v>1878</v>
      </c>
      <c r="B102" s="2755" t="s">
        <v>1877</v>
      </c>
      <c r="C102" s="2756">
        <f ca="1">C19</f>
        <v>253</v>
      </c>
      <c r="D102" s="2757">
        <f ca="1">D19</f>
        <v>203</v>
      </c>
      <c r="E102" s="3357"/>
      <c r="F102" s="3358"/>
      <c r="G102" s="1961" t="s">
        <v>1879</v>
      </c>
      <c r="H102" s="2726">
        <f ca="1">I118</f>
        <v>8966</v>
      </c>
      <c r="I102" s="134"/>
    </row>
    <row r="103" spans="1:35" ht="42.75" customHeight="1">
      <c r="A103" s="3389"/>
      <c r="B103" s="2755" t="s">
        <v>1879</v>
      </c>
      <c r="C103" s="2758">
        <f ca="1">C20</f>
        <v>9930</v>
      </c>
      <c r="D103" s="2759">
        <f ca="1">D20</f>
        <v>8001</v>
      </c>
      <c r="E103" s="3350" t="s">
        <v>1880</v>
      </c>
      <c r="F103" s="3351"/>
      <c r="G103" s="1962" t="s">
        <v>1881</v>
      </c>
      <c r="H103" s="2766">
        <f>IF(D36="正常操作",H104+H105+H106,H105+H106)</f>
        <v>0</v>
      </c>
      <c r="I103" s="134"/>
    </row>
    <row r="104" spans="1:35" ht="18.75" customHeight="1">
      <c r="A104" s="3389" t="s">
        <v>1882</v>
      </c>
      <c r="B104" s="2760" t="s">
        <v>1877</v>
      </c>
      <c r="C104" s="2761">
        <f ca="1">H118</f>
        <v>228</v>
      </c>
      <c r="D104" s="2762"/>
      <c r="E104" s="1808" t="s">
        <v>1883</v>
      </c>
      <c r="F104" s="1799"/>
      <c r="G104" s="1962" t="s">
        <v>1881</v>
      </c>
      <c r="H104" s="2767">
        <f>IF(D36="同一抵押权人同一抵押物续贷",C36&amp;"（续贷，未扣减，详见特别提示）",C36)</f>
        <v>0</v>
      </c>
      <c r="I104" s="134"/>
    </row>
    <row r="105" spans="1:35" ht="18.75" customHeight="1" thickBot="1">
      <c r="A105" s="3399"/>
      <c r="B105" s="2763" t="s">
        <v>1879</v>
      </c>
      <c r="C105" s="2764">
        <f ca="1">I118</f>
        <v>8966</v>
      </c>
      <c r="D105" s="2765"/>
      <c r="E105" s="1808" t="s">
        <v>1884</v>
      </c>
      <c r="F105" s="1799"/>
      <c r="G105" s="1962" t="s">
        <v>1881</v>
      </c>
      <c r="H105" s="2768">
        <f>C37</f>
        <v>0</v>
      </c>
      <c r="I105" s="134"/>
    </row>
    <row r="106" spans="1:35" ht="18.75" customHeight="1">
      <c r="A106" s="1881" t="s">
        <v>1885</v>
      </c>
      <c r="B106" s="1881"/>
      <c r="C106" s="1881"/>
      <c r="D106" s="1881"/>
      <c r="E106" s="1963" t="s">
        <v>1886</v>
      </c>
      <c r="F106" s="1799"/>
      <c r="G106" s="1962" t="s">
        <v>1881</v>
      </c>
      <c r="H106" s="2768">
        <f>C38</f>
        <v>0</v>
      </c>
      <c r="I106" s="134"/>
    </row>
    <row r="107" spans="1:35" ht="18.75" customHeight="1">
      <c r="A107" s="134"/>
      <c r="B107" s="134"/>
      <c r="C107" s="134"/>
      <c r="D107" s="134"/>
      <c r="E107" s="3390" t="str">
        <f>IF(项目基本情况!E8="已注销","——","3.房地产抵押价值")</f>
        <v>3.房地产抵押价值</v>
      </c>
      <c r="F107" s="3358"/>
      <c r="G107" s="1961" t="s">
        <v>1877</v>
      </c>
      <c r="H107" s="2766">
        <f ca="1">IF(E107="——","——",H101-H103)</f>
        <v>228</v>
      </c>
      <c r="I107" s="134"/>
    </row>
    <row r="108" spans="1:35" ht="18.75" customHeight="1">
      <c r="A108" s="134"/>
      <c r="B108" s="134"/>
      <c r="C108" s="134"/>
      <c r="D108" s="134"/>
      <c r="E108" s="3390"/>
      <c r="F108" s="3358"/>
      <c r="G108" s="1961" t="s">
        <v>1879</v>
      </c>
      <c r="H108" s="2726">
        <f ca="1">ROUND(H107*10000/'数据-汇总表'!E3,0)</f>
        <v>8966</v>
      </c>
      <c r="I108" s="134"/>
    </row>
    <row r="109" spans="1:35" ht="18.75" customHeight="1">
      <c r="A109" s="134"/>
      <c r="B109" s="134"/>
      <c r="C109" s="134"/>
      <c r="D109" s="134"/>
      <c r="E109" s="3390" t="str">
        <f>IF(项目基本情况!E8="已注销及未注销","4.抵押担保权已注销时的房地产抵押价值",IF(项目基本情况!E8="已注销","3.抵押担保权已注销时的房地产抵押价值","——"))</f>
        <v>——</v>
      </c>
      <c r="F109" s="3358"/>
      <c r="G109" s="1961" t="s">
        <v>1877</v>
      </c>
      <c r="H109" s="2769" t="str">
        <f>IF(E109="——","——",H101-H105-H106)</f>
        <v>——</v>
      </c>
      <c r="I109" s="134"/>
    </row>
    <row r="110" spans="1:35" ht="18.75" customHeight="1">
      <c r="A110" s="134"/>
      <c r="B110" s="134"/>
      <c r="C110" s="134"/>
      <c r="D110" s="134"/>
      <c r="E110" s="3390"/>
      <c r="F110" s="3358"/>
      <c r="G110" s="1961" t="s">
        <v>1879</v>
      </c>
      <c r="H110" s="2726"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77"/>
      <c r="G111" s="1961" t="s">
        <v>1877</v>
      </c>
      <c r="H111" s="2766" t="str">
        <f>IF(E111="——","——",N59)</f>
        <v>——</v>
      </c>
      <c r="I111" s="134"/>
    </row>
    <row r="112" spans="1:35" ht="18.75" customHeight="1" thickBot="1">
      <c r="A112" s="134"/>
      <c r="B112" s="134"/>
      <c r="C112" s="134"/>
      <c r="D112" s="134"/>
      <c r="E112" s="3392"/>
      <c r="F112" s="3393"/>
      <c r="G112" s="1964" t="s">
        <v>1879</v>
      </c>
      <c r="H112" s="2770" t="str">
        <f>IF(E111="——","——",N61)</f>
        <v>——</v>
      </c>
      <c r="I112" s="134"/>
    </row>
    <row r="113" spans="1:27" ht="18.75" customHeight="1">
      <c r="A113" s="134"/>
      <c r="B113" s="134"/>
      <c r="C113" s="134"/>
      <c r="D113" s="134"/>
      <c r="E113" s="3400" t="s">
        <v>1885</v>
      </c>
      <c r="F113" s="3400"/>
      <c r="G113" s="3400"/>
      <c r="H113" s="3400"/>
      <c r="I113" s="134"/>
    </row>
    <row r="114" spans="1:27" ht="3.75" customHeight="1">
      <c r="A114" s="1881"/>
      <c r="B114" s="1881"/>
      <c r="C114" s="1881"/>
      <c r="D114" s="1881"/>
      <c r="E114" s="1943"/>
      <c r="F114" s="1943"/>
      <c r="G114" s="1943"/>
      <c r="H114" s="1943"/>
      <c r="I114" s="1881"/>
    </row>
    <row r="115" spans="1:27" ht="18.75" customHeight="1">
      <c r="A115" s="3411" t="s">
        <v>1887</v>
      </c>
      <c r="B115" s="3412"/>
      <c r="C115" s="3412"/>
      <c r="D115" s="3412"/>
      <c r="E115" s="3412"/>
      <c r="F115" s="3412"/>
      <c r="G115" s="3412"/>
      <c r="H115" s="3412"/>
      <c r="I115" s="3413"/>
    </row>
    <row r="116" spans="1:27" ht="27" customHeight="1">
      <c r="A116" s="3365" t="s">
        <v>1888</v>
      </c>
      <c r="B116" s="3369" t="s">
        <v>1889</v>
      </c>
      <c r="C116" s="3369" t="s">
        <v>1890</v>
      </c>
      <c r="D116" s="3375" t="s">
        <v>1891</v>
      </c>
      <c r="E116" s="3376"/>
      <c r="F116" s="3407" t="s">
        <v>1892</v>
      </c>
      <c r="G116" s="3407"/>
      <c r="H116" s="3365" t="s">
        <v>1893</v>
      </c>
      <c r="I116" s="3365"/>
    </row>
    <row r="117" spans="1:27" ht="18.75" customHeight="1">
      <c r="A117" s="3365"/>
      <c r="B117" s="3370"/>
      <c r="C117" s="3370"/>
      <c r="D117" s="2500" t="s">
        <v>1894</v>
      </c>
      <c r="E117" s="2500" t="s">
        <v>1895</v>
      </c>
      <c r="F117" s="2500" t="s">
        <v>1894</v>
      </c>
      <c r="G117" s="2500" t="s">
        <v>1896</v>
      </c>
      <c r="H117" s="2500" t="s">
        <v>1894</v>
      </c>
      <c r="I117" s="2500" t="s">
        <v>1896</v>
      </c>
    </row>
    <row r="118" spans="1:27" ht="24.75" customHeight="1">
      <c r="A118" s="2771" t="str">
        <f>项目基本情况!S2</f>
        <v>湖北省黄石市房地产</v>
      </c>
      <c r="B118" s="2500">
        <f>M18</f>
        <v>254.29000000000002</v>
      </c>
      <c r="C118" s="2500">
        <f>M19</f>
        <v>0</v>
      </c>
      <c r="D118" s="2500" t="e">
        <f ca="1">ROUND(IF(D32="总价",C34,E118*B118/10000),0)</f>
        <v>#REF!</v>
      </c>
      <c r="E118" s="2500" t="e">
        <f ca="1">ROUND(IF(C33="自定义",IF(D32="楼面单价",C34,D118*10000/B118),I118-G118),0)</f>
        <v>#REF!</v>
      </c>
      <c r="F118" s="2500" t="e">
        <f ca="1">ROUND(IF(D32="总价",C35,G118*B118/10000),0)</f>
        <v>#REF!</v>
      </c>
      <c r="G118" s="2500" t="e">
        <f ca="1">ROUND(IF(D32="楼面单价",C35,F118*10000/B118),0)</f>
        <v>#REF!</v>
      </c>
      <c r="H118" s="2500">
        <f ca="1">ROUND(IF(D32="总价",C32,I118*B118/10000),0)</f>
        <v>228</v>
      </c>
      <c r="I118" s="2500">
        <f ca="1">ROUND(IF(D32="楼面单价",C32,H118*10000/B118),0)</f>
        <v>8966</v>
      </c>
    </row>
    <row r="119" spans="1:27" ht="18.75" customHeight="1">
      <c r="A119" s="3365" t="s">
        <v>1897</v>
      </c>
      <c r="B119" s="3365"/>
      <c r="C119" s="3365"/>
      <c r="D119" s="3371" t="e">
        <f ca="1">NUMBERSTRING(INT(D118*10000),2)&amp;"元整"</f>
        <v>#REF!</v>
      </c>
      <c r="E119" s="3372"/>
      <c r="F119" s="3371" t="e">
        <f ca="1">NUMBERSTRING(INT(F118*10000),2)&amp;"元整"</f>
        <v>#REF!</v>
      </c>
      <c r="G119" s="3372"/>
      <c r="H119" s="3371" t="str">
        <f ca="1">NUMBERSTRING(INT(H118*10000),2)&amp;"元整"</f>
        <v>贰佰贰拾捌万元整</v>
      </c>
      <c r="I119" s="3372"/>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08" t="s">
        <v>1897</v>
      </c>
      <c r="B121" s="3409"/>
      <c r="C121" s="3410"/>
      <c r="D121" s="3371" t="str">
        <f>IF(D120=0,"零元整",NUMBERSTRING(INT(D120*10000),2)&amp;"元整")</f>
        <v>零元整</v>
      </c>
      <c r="E121" s="3373"/>
      <c r="F121" s="3373"/>
      <c r="G121" s="3373"/>
      <c r="H121" s="3373"/>
      <c r="I121" s="3372"/>
      <c r="AA121" s="731"/>
    </row>
    <row r="122" spans="1:27" ht="18.75" customHeight="1">
      <c r="A122" s="3377" t="str">
        <f>IF(项目基本情况!B9="房地产市场价值","",MID(E107,3,LEN(E107)-2))</f>
        <v>房地产抵押价值</v>
      </c>
      <c r="B122" s="3377"/>
      <c r="C122" s="3377"/>
      <c r="D122" s="3366">
        <f ca="1">H107</f>
        <v>228</v>
      </c>
      <c r="E122" s="3367"/>
      <c r="F122" s="3367"/>
      <c r="G122" s="3367"/>
      <c r="H122" s="3367"/>
      <c r="I122" s="3368"/>
      <c r="AA122" s="731"/>
    </row>
    <row r="123" spans="1:27" ht="18.75" customHeight="1">
      <c r="A123" s="3365" t="s">
        <v>1897</v>
      </c>
      <c r="B123" s="3365"/>
      <c r="C123" s="3365"/>
      <c r="D123" s="3371" t="str">
        <f ca="1">NUMBERSTRING(INT(D122*10000),2)&amp;"元整"</f>
        <v>贰佰贰拾捌万元整</v>
      </c>
      <c r="E123" s="3373"/>
      <c r="F123" s="3373"/>
      <c r="G123" s="3373"/>
      <c r="H123" s="3373"/>
      <c r="I123" s="3372"/>
      <c r="AA123" s="731"/>
    </row>
    <row r="124" spans="1:27" ht="18.75" customHeight="1">
      <c r="A124" s="3377" t="str">
        <f>IF(项目基本情况!B9="房地产市场价值","",MID(E109,3,LEN(E109)-2))</f>
        <v/>
      </c>
      <c r="B124" s="3377"/>
      <c r="C124" s="3377"/>
      <c r="D124" s="3366" t="str">
        <f>H109</f>
        <v>——</v>
      </c>
      <c r="E124" s="3367"/>
      <c r="F124" s="3367"/>
      <c r="G124" s="3367"/>
      <c r="H124" s="3367"/>
      <c r="I124" s="3368"/>
      <c r="AA124" s="731"/>
    </row>
    <row r="125" spans="1:27" ht="18.75" customHeight="1">
      <c r="A125" s="3365" t="s">
        <v>1897</v>
      </c>
      <c r="B125" s="3365"/>
      <c r="C125" s="3365"/>
      <c r="D125" s="3371" t="e">
        <f>NUMBERSTRING(INT(D124*10000),2)&amp;"元整"</f>
        <v>#VALUE!</v>
      </c>
      <c r="E125" s="3373"/>
      <c r="F125" s="3373"/>
      <c r="G125" s="3373"/>
      <c r="H125" s="3373"/>
      <c r="I125" s="3372"/>
      <c r="AA125" s="731"/>
    </row>
    <row r="126" spans="1:27" ht="18.75" customHeight="1">
      <c r="A126" s="3377" t="str">
        <f>IF(项目基本情况!B9="房地产市场价值","",MID(E111,3,LEN(E111)-2))</f>
        <v/>
      </c>
      <c r="B126" s="3377"/>
      <c r="C126" s="3377"/>
      <c r="D126" s="3366" t="str">
        <f>H111</f>
        <v>——</v>
      </c>
      <c r="E126" s="3367"/>
      <c r="F126" s="3367"/>
      <c r="G126" s="3367"/>
      <c r="H126" s="3367"/>
      <c r="I126" s="3368"/>
      <c r="AA126" s="731"/>
    </row>
    <row r="127" spans="1:27" ht="18.75" customHeight="1">
      <c r="A127" s="3365" t="s">
        <v>1897</v>
      </c>
      <c r="B127" s="3365"/>
      <c r="C127" s="3365"/>
      <c r="D127" s="3371" t="e">
        <f>NUMBERSTRING(INT(D126*10000),2)&amp;"元整"</f>
        <v>#VALUE!</v>
      </c>
      <c r="E127" s="3373"/>
      <c r="F127" s="3373"/>
      <c r="G127" s="3373"/>
      <c r="H127" s="3373"/>
      <c r="I127" s="3372"/>
      <c r="AA127" s="731"/>
    </row>
    <row r="128" spans="1:27" ht="21.75" customHeight="1">
      <c r="A128" s="3374" t="s">
        <v>1898</v>
      </c>
      <c r="B128" s="3374"/>
      <c r="C128" s="3374"/>
      <c r="D128" s="3374"/>
      <c r="E128" s="3374"/>
      <c r="F128" s="3374"/>
      <c r="G128" s="3374"/>
      <c r="H128" s="3374"/>
      <c r="I128" s="3374"/>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A19" sqref="A19:XFD19"/>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7</v>
      </c>
    </row>
    <row r="2" spans="1:9" s="206" customFormat="1" ht="18" customHeight="1">
      <c r="A2" s="207" t="s">
        <v>1907</v>
      </c>
      <c r="B2" s="208">
        <f ca="1">IF(D2="——",C52,C52-E2)</f>
        <v>99</v>
      </c>
      <c r="C2" s="205" t="s">
        <v>1908</v>
      </c>
      <c r="D2" s="1987" t="s">
        <v>70</v>
      </c>
      <c r="E2" s="1281" t="e">
        <f ca="1">SUMIF(INDIRECT("'"&amp;G2&amp;"'"&amp;"!A:A"),"承租人权益价值",INDIRECT("'"&amp;G2&amp;"'"&amp;"!c:c"))</f>
        <v>#REF!</v>
      </c>
      <c r="F2" s="1988" t="s">
        <v>1908</v>
      </c>
      <c r="G2" s="1989"/>
    </row>
    <row r="3" spans="1:9" s="206" customFormat="1" ht="18" customHeight="1" thickBot="1">
      <c r="A3" s="209" t="s">
        <v>1909</v>
      </c>
      <c r="B3" s="210">
        <f ca="1">ROUND(B2*10000/(IF(B1="",'数据-汇总表'!E3,INDIRECT("'数据-取费表'!k"&amp;$G$1))),0)</f>
        <v>3893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31</v>
      </c>
      <c r="D5" s="217" t="s">
        <v>1914</v>
      </c>
      <c r="E5" s="218" t="s">
        <v>1915</v>
      </c>
      <c r="F5" s="218" t="s">
        <v>1916</v>
      </c>
      <c r="G5" s="219"/>
    </row>
    <row r="6" spans="1:9" s="220" customFormat="1" ht="13.5" customHeight="1">
      <c r="A6" s="864" t="s">
        <v>1917</v>
      </c>
      <c r="B6" s="221" t="s">
        <v>1918</v>
      </c>
      <c r="C6" s="222">
        <f>'土地比较法-住宅、综合'!B2</f>
        <v>29</v>
      </c>
      <c r="D6" s="223"/>
      <c r="E6" s="224"/>
      <c r="F6" s="224"/>
      <c r="G6" s="225"/>
    </row>
    <row r="7" spans="1:9" s="220" customFormat="1" ht="13.5" customHeight="1">
      <c r="A7" s="864" t="s">
        <v>1919</v>
      </c>
      <c r="B7" s="221" t="s">
        <v>1920</v>
      </c>
      <c r="C7" s="226">
        <f>ROUND(C6*F7,0)</f>
        <v>2</v>
      </c>
      <c r="D7" s="226"/>
      <c r="E7" s="224"/>
      <c r="F7" s="227">
        <f>IF(项目基本情况!B8="出让",0,'数据-取费表'!B48+'数据-取费表'!B49)</f>
        <v>5.5E-2</v>
      </c>
      <c r="G7" s="225"/>
    </row>
    <row r="8" spans="1:9" s="229" customFormat="1">
      <c r="A8" s="864" t="s">
        <v>1921</v>
      </c>
      <c r="B8" s="221" t="s">
        <v>1922</v>
      </c>
      <c r="C8" s="226">
        <f>IF(G8="已包含在土地购买价格中","0",IF(B1="",'数据-取费表'!B29,IF(G9="全部缴纳",C9+C10,H9)))</f>
        <v>0</v>
      </c>
      <c r="D8" s="228"/>
      <c r="E8" s="226"/>
      <c r="F8" s="227"/>
      <c r="G8" s="1990" t="s">
        <v>3308</v>
      </c>
    </row>
    <row r="9" spans="1:9" s="220" customFormat="1" ht="13.5" customHeight="1">
      <c r="A9" s="865" t="s">
        <v>619</v>
      </c>
      <c r="B9" s="230" t="s">
        <v>1923</v>
      </c>
      <c r="C9" s="231">
        <f ca="1">ROUND(D9*E9/10000,0)</f>
        <v>0</v>
      </c>
      <c r="D9" s="932">
        <f ca="1">IF(B1="",'数据-汇总表'!E5,IF(INDIRECT("'数据-取费表'!c"&amp;$G$1)="住宅",INDIRECT("'数据-取费表'!k"&amp;$G$1),0))</f>
        <v>0</v>
      </c>
      <c r="E9" s="231">
        <f>'数据-取费表'!B27</f>
        <v>65</v>
      </c>
      <c r="F9" s="227"/>
      <c r="G9" s="1991" t="s">
        <v>3309</v>
      </c>
      <c r="H9" s="1249"/>
      <c r="I9" s="1992" t="s">
        <v>1924</v>
      </c>
    </row>
    <row r="10" spans="1:9" s="220" customFormat="1" ht="13.5" customHeight="1">
      <c r="A10" s="865" t="s">
        <v>620</v>
      </c>
      <c r="B10" s="230" t="s">
        <v>1925</v>
      </c>
      <c r="C10" s="231">
        <f ca="1">ROUND(D10*E10/10000,0)</f>
        <v>2</v>
      </c>
      <c r="D10" s="932">
        <f ca="1">IF(B1="",'数据-汇总表'!E6,IF(INDIRECT("'数据-取费表'!c"&amp;$G$1)="住宅",INDIRECT("'数据-取费表'!s"&amp;$G$1),INDIRECT("'数据-取费表'!k"&amp;$G$1)+INDIRECT("'数据-取费表'!s"&amp;$G$1)))</f>
        <v>254.29000000000002</v>
      </c>
      <c r="E10" s="231">
        <f>'数据-取费表'!B28</f>
        <v>65</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t="str">
        <f>IF(G19="已包含在土地取得成本中","0",ROUND(D19*E19/10000,0))</f>
        <v>0</v>
      </c>
      <c r="D19" s="936">
        <f ca="1">D9+D10</f>
        <v>254.29000000000002</v>
      </c>
      <c r="E19" s="217">
        <f>'数据-取费表'!B31</f>
        <v>200</v>
      </c>
      <c r="F19" s="237"/>
      <c r="G19" s="1990" t="s">
        <v>3310</v>
      </c>
    </row>
    <row r="20" spans="1:7" s="220" customFormat="1" ht="13.5" customHeight="1">
      <c r="A20" s="261" t="s">
        <v>1938</v>
      </c>
      <c r="B20" s="216" t="s">
        <v>1939</v>
      </c>
      <c r="C20" s="238">
        <f>ROUND((C5+C19)*F20,0)</f>
        <v>1</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2</v>
      </c>
      <c r="D22" s="241">
        <f ca="1">C26</f>
        <v>5.9999999999999995E-4</v>
      </c>
      <c r="E22" s="242" t="s">
        <v>1943</v>
      </c>
      <c r="F22" s="243">
        <f ca="1">'数据-取费表'!B40</f>
        <v>3.7000000000000005E-2</v>
      </c>
      <c r="G22" s="240" t="str">
        <f>IF('数据-取费表'!B22&lt;=1,"单利计息","复利计息")</f>
        <v>复利计息</v>
      </c>
    </row>
    <row r="23" spans="1:7" s="220" customFormat="1" ht="13.5" customHeight="1">
      <c r="A23" s="866" t="s">
        <v>1947</v>
      </c>
      <c r="B23" s="221" t="s">
        <v>1948</v>
      </c>
      <c r="C23" s="1215">
        <f ca="1">ROUND(IF('数据-取费表'!B22&lt;=1,C5*F22*'数据-取费表'!B23,C5*(POWER((1+F22),'数据-取费表'!B23)-1)),0)</f>
        <v>2</v>
      </c>
      <c r="D23" s="244"/>
      <c r="E23" s="244"/>
      <c r="F23" s="245"/>
      <c r="G23" s="246" t="s">
        <v>1949</v>
      </c>
    </row>
    <row r="24" spans="1:7" s="220" customFormat="1" ht="13.5" customHeight="1">
      <c r="A24" s="866" t="s">
        <v>1950</v>
      </c>
      <c r="B24" s="221" t="s">
        <v>1951</v>
      </c>
      <c r="C24" s="1215">
        <f ca="1">ROUND(IF('数据-取费表'!B22&lt;=1,C19*F22*('数据-取费表'!B19/2+'数据-取费表'!B21),C19*(POWER((1+F22),('数据-取费表'!B19/2+'数据-取费表'!B21))-1)),0)</f>
        <v>0</v>
      </c>
      <c r="D24" s="244"/>
      <c r="E24" s="244"/>
      <c r="F24" s="245"/>
      <c r="G24" s="246" t="s">
        <v>1952</v>
      </c>
    </row>
    <row r="25" spans="1:7" s="220" customFormat="1" ht="24">
      <c r="A25" s="866" t="s">
        <v>1953</v>
      </c>
      <c r="B25" s="221" t="s">
        <v>1954</v>
      </c>
      <c r="C25" s="1215">
        <f ca="1">ROUND(IF('数据-取费表'!B22&lt;=1,C20*F22*'数据-取费表'!B23/2,C20*(POWER((1+F22),'数据-取费表'!B23/2)-1)),0)</f>
        <v>0</v>
      </c>
      <c r="D25" s="244"/>
      <c r="E25" s="247"/>
      <c r="F25" s="245"/>
      <c r="G25" s="248" t="s">
        <v>1955</v>
      </c>
    </row>
    <row r="26" spans="1:7" s="220" customFormat="1">
      <c r="A26" s="866"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5</v>
      </c>
      <c r="D27" s="241">
        <f ca="1">C29</f>
        <v>3.0000000000000001E-3</v>
      </c>
      <c r="E27" s="242" t="s">
        <v>1959</v>
      </c>
      <c r="F27" s="252">
        <f ca="1">IF(B1="",'数据-取费表'!Q16,INDIRECT("'数据-取费表'!q"&amp;$G$1))</f>
        <v>0.15</v>
      </c>
      <c r="G27" s="253" t="s">
        <v>1960</v>
      </c>
    </row>
    <row r="28" spans="1:7" s="220" customFormat="1" ht="13.5" customHeight="1">
      <c r="A28" s="866" t="s">
        <v>610</v>
      </c>
      <c r="B28" s="254" t="s">
        <v>1961</v>
      </c>
      <c r="C28" s="255">
        <f ca="1">ROUND((C5+C19+C20)*F27*'数据-取费表'!B21/'数据-取费表'!B20,0)</f>
        <v>5</v>
      </c>
      <c r="D28" s="241"/>
      <c r="E28" s="242"/>
      <c r="F28" s="252"/>
      <c r="G28" s="253"/>
    </row>
    <row r="29" spans="1:7" s="220" customFormat="1" ht="13.5" customHeight="1">
      <c r="A29" s="866"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74</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66</v>
      </c>
      <c r="D34" s="223"/>
      <c r="E34" s="226"/>
      <c r="F34" s="263">
        <f ca="1">IF('数据-取费表'!B24=0,1,IF(B1="",'数据-取费表'!N16,INDIRECT("'数据-取费表'!n"&amp;$G$1)))</f>
        <v>1</v>
      </c>
      <c r="G34" s="225" t="s">
        <v>1971</v>
      </c>
    </row>
    <row r="35" spans="1:7" ht="13.5" customHeight="1">
      <c r="A35" s="866" t="s">
        <v>615</v>
      </c>
      <c r="B35" s="221" t="s">
        <v>1972</v>
      </c>
      <c r="C35" s="226">
        <f ca="1">ROUND(C34*F35,0)</f>
        <v>2</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6" t="s">
        <v>617</v>
      </c>
      <c r="B37" s="221" t="s">
        <v>1976</v>
      </c>
      <c r="C37" s="255">
        <f ca="1">ROUND(E37*D37*F34/10000,0)</f>
        <v>5</v>
      </c>
      <c r="D37" s="223">
        <f ca="1">D19</f>
        <v>254.29000000000002</v>
      </c>
      <c r="E37" s="255">
        <f>'数据-取费表'!B35</f>
        <v>200</v>
      </c>
      <c r="F37" s="265"/>
      <c r="G37" s="267" t="s">
        <v>1977</v>
      </c>
    </row>
    <row r="38" spans="1:7" ht="13.5" customHeight="1">
      <c r="A38" s="866" t="s">
        <v>618</v>
      </c>
      <c r="B38" s="221" t="s">
        <v>1978</v>
      </c>
      <c r="C38" s="226">
        <f ca="1">ROUND(C34*F38,0)</f>
        <v>1</v>
      </c>
      <c r="D38" s="226"/>
      <c r="E38" s="226"/>
      <c r="F38" s="265">
        <f>'数据-取费表'!B36</f>
        <v>1.4999999999999999E-2</v>
      </c>
      <c r="G38" s="225" t="s">
        <v>1973</v>
      </c>
    </row>
    <row r="39" spans="1:7" s="220" customFormat="1" ht="13.5" customHeight="1">
      <c r="A39" s="261" t="s">
        <v>1979</v>
      </c>
      <c r="B39" s="216" t="s">
        <v>1980</v>
      </c>
      <c r="C39" s="238">
        <f ca="1">ROUND(C33*F20,0)</f>
        <v>1</v>
      </c>
      <c r="D39" s="238"/>
      <c r="E39" s="238"/>
      <c r="F39" s="2483">
        <f>F20</f>
        <v>0.02</v>
      </c>
      <c r="G39" s="240" t="s">
        <v>1981</v>
      </c>
    </row>
    <row r="40" spans="1:7" s="220" customFormat="1" ht="13.5" customHeight="1">
      <c r="A40" s="261" t="s">
        <v>1982</v>
      </c>
      <c r="B40" s="216" t="s">
        <v>1983</v>
      </c>
      <c r="C40" s="1445">
        <f>F21</f>
        <v>0.02</v>
      </c>
      <c r="D40" s="242" t="s">
        <v>1984</v>
      </c>
      <c r="E40" s="238"/>
      <c r="F40" s="2483">
        <f>F21</f>
        <v>0.02</v>
      </c>
      <c r="G40" s="240" t="s">
        <v>1985</v>
      </c>
    </row>
    <row r="41" spans="1:7" s="220" customFormat="1" ht="13.5" customHeight="1">
      <c r="A41" s="261" t="s">
        <v>1986</v>
      </c>
      <c r="B41" s="216" t="s">
        <v>1987</v>
      </c>
      <c r="C41" s="238">
        <f ca="1">ROUND(SUM(C42:C43),0)</f>
        <v>2</v>
      </c>
      <c r="D41" s="241">
        <f ca="1">C44</f>
        <v>5.9999999999999995E-4</v>
      </c>
      <c r="E41" s="242" t="s">
        <v>1984</v>
      </c>
      <c r="F41" s="2484">
        <f ca="1">F22</f>
        <v>3.7000000000000005E-2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2</v>
      </c>
      <c r="D42" s="244"/>
      <c r="E42" s="244"/>
      <c r="F42" s="245"/>
      <c r="G42" s="3447" t="s">
        <v>1989</v>
      </c>
    </row>
    <row r="43" spans="1:7" ht="13.5" customHeight="1">
      <c r="A43" s="866" t="s">
        <v>611</v>
      </c>
      <c r="B43" s="221" t="s">
        <v>1990</v>
      </c>
      <c r="C43" s="244">
        <f ca="1">ROUND(IF('数据-取费表'!B22&lt;=1,C39*F22*'数据-取费表'!B21/2,C39*(POWER((1+F22),'数据-取费表'!B21/2)-1)),0)</f>
        <v>0</v>
      </c>
      <c r="D43" s="244"/>
      <c r="E43" s="244"/>
      <c r="F43" s="245"/>
      <c r="G43" s="3448"/>
    </row>
    <row r="44" spans="1:7" ht="13.5" customHeight="1">
      <c r="A44" s="866" t="s">
        <v>612</v>
      </c>
      <c r="B44" s="221" t="s">
        <v>1991</v>
      </c>
      <c r="C44" s="244">
        <f ca="1">ROUND(IF('数据-取费表'!B22&lt;=1,C40*F22*'数据-取费表'!B21/2,C40*(POWER((1+F22),'数据-取费表'!B21/2)-1)),4)</f>
        <v>5.9999999999999995E-4</v>
      </c>
      <c r="D44" s="244"/>
      <c r="E44" s="244"/>
      <c r="F44" s="245"/>
      <c r="G44" s="3449"/>
    </row>
    <row r="45" spans="1:7" s="220" customFormat="1" ht="13.5" customHeight="1">
      <c r="A45" s="261" t="s">
        <v>1992</v>
      </c>
      <c r="B45" s="250" t="s">
        <v>1958</v>
      </c>
      <c r="C45" s="251">
        <f ca="1">C46</f>
        <v>11</v>
      </c>
      <c r="D45" s="241">
        <f ca="1">C47</f>
        <v>3.0000000000000001E-3</v>
      </c>
      <c r="E45" s="242" t="s">
        <v>1984</v>
      </c>
      <c r="F45" s="2485">
        <f ca="1">F27</f>
        <v>0.15</v>
      </c>
      <c r="G45" s="253" t="s">
        <v>1993</v>
      </c>
    </row>
    <row r="46" spans="1:7" s="220" customFormat="1" ht="13.5" customHeight="1">
      <c r="A46" s="866" t="s">
        <v>610</v>
      </c>
      <c r="B46" s="254" t="s">
        <v>1994</v>
      </c>
      <c r="C46" s="255">
        <f ca="1">ROUND((C33+C39)*F27,0)</f>
        <v>11</v>
      </c>
      <c r="D46" s="269"/>
      <c r="E46" s="242"/>
      <c r="F46" s="252"/>
      <c r="G46" s="253"/>
    </row>
    <row r="47" spans="1:7" s="220" customFormat="1" ht="13.5" customHeight="1">
      <c r="A47" s="866" t="s">
        <v>611</v>
      </c>
      <c r="B47" s="254" t="s">
        <v>1995</v>
      </c>
      <c r="C47" s="244">
        <f ca="1">ROUND(C40*F27,4)</f>
        <v>3.0000000000000001E-3</v>
      </c>
      <c r="D47" s="269"/>
      <c r="E47" s="242"/>
      <c r="F47" s="252"/>
      <c r="G47" s="253"/>
    </row>
    <row r="48" spans="1:7" s="220" customFormat="1" ht="13.5" customHeight="1">
      <c r="A48" s="261" t="s">
        <v>1957</v>
      </c>
      <c r="B48" s="216" t="s">
        <v>1996</v>
      </c>
      <c r="C48" s="1445">
        <f>ROUND(F30/(1+'数据-取费表'!C42),4)</f>
        <v>5.33E-2</v>
      </c>
      <c r="D48" s="242" t="s">
        <v>1984</v>
      </c>
      <c r="E48" s="238"/>
      <c r="F48" s="2484">
        <f>F30</f>
        <v>5.6000000000000001E-2</v>
      </c>
      <c r="G48" s="240" t="s">
        <v>1997</v>
      </c>
    </row>
    <row r="49" spans="1:7" ht="16.5" customHeight="1">
      <c r="A49" s="261" t="s">
        <v>1963</v>
      </c>
      <c r="B49" s="216" t="s">
        <v>1998</v>
      </c>
      <c r="C49" s="238">
        <f ca="1">ROUND((C33+C39+C41+C45)/(1-C40-D41-D45-C48),0)</f>
        <v>95</v>
      </c>
      <c r="D49" s="238"/>
      <c r="E49" s="238"/>
      <c r="F49" s="270"/>
      <c r="G49" s="240" t="s">
        <v>1999</v>
      </c>
    </row>
    <row r="50" spans="1:7" s="264" customFormat="1" ht="24">
      <c r="A50" s="261" t="s">
        <v>2000</v>
      </c>
      <c r="B50" s="216" t="s">
        <v>2001</v>
      </c>
      <c r="C50" s="238"/>
      <c r="D50" s="238"/>
      <c r="E50" s="238"/>
      <c r="F50" s="270">
        <f>IF('数据-取费表'!B24=0,'数据-取费表'!N16,1)</f>
        <v>0.6</v>
      </c>
      <c r="G50" s="253" t="s">
        <v>2002</v>
      </c>
    </row>
    <row r="51" spans="1:7" ht="16.5" customHeight="1">
      <c r="A51" s="261" t="s">
        <v>2003</v>
      </c>
      <c r="B51" s="216" t="s">
        <v>2004</v>
      </c>
      <c r="C51" s="238">
        <f ca="1">ROUND(C49*F50,0)</f>
        <v>57</v>
      </c>
      <c r="D51" s="238"/>
      <c r="E51" s="238"/>
      <c r="F51" s="270"/>
      <c r="G51" s="240" t="s">
        <v>2005</v>
      </c>
    </row>
    <row r="52" spans="1:7" s="214" customFormat="1" ht="16.5" thickBot="1">
      <c r="A52" s="271" t="s">
        <v>2006</v>
      </c>
      <c r="B52" s="272"/>
      <c r="C52" s="273">
        <f ca="1">C31+C51</f>
        <v>99</v>
      </c>
      <c r="D52" s="272"/>
      <c r="E52" s="272"/>
      <c r="F52" s="272"/>
      <c r="G52" s="274"/>
    </row>
    <row r="55" spans="1:7" ht="15">
      <c r="B55" s="276" t="s">
        <v>2007</v>
      </c>
      <c r="C55" s="277"/>
    </row>
    <row r="56" spans="1:7">
      <c r="B56" s="279" t="s">
        <v>1237</v>
      </c>
      <c r="C56" s="281">
        <f ca="1">1-C57</f>
        <v>0.42400000000000004</v>
      </c>
    </row>
    <row r="57" spans="1:7">
      <c r="B57" s="279" t="s">
        <v>1238</v>
      </c>
      <c r="C57" s="280">
        <f ca="1">ROUND(C51/C52,3)</f>
        <v>0.57599999999999996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25" sqref="G25"/>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1906</v>
      </c>
      <c r="B1" s="1602"/>
      <c r="C1" s="1993" t="s">
        <v>2008</v>
      </c>
      <c r="D1" s="204"/>
      <c r="E1" s="204"/>
      <c r="F1" s="204"/>
      <c r="G1" s="1238">
        <f>MATCH(B1,'数据-取费表'!A6:A16,0)+5</f>
        <v>7</v>
      </c>
      <c r="H1" s="1170" t="str">
        <f>IF(ISERROR(FIND("住宅",B1)),"非住宅","住宅")</f>
        <v>非住宅</v>
      </c>
    </row>
    <row r="2" spans="1:8" s="206" customFormat="1" ht="18" customHeight="1">
      <c r="A2" s="207" t="s">
        <v>1907</v>
      </c>
      <c r="B2" s="208">
        <f ca="1">ROUND(IF(D2="——",C52/10000,C52/10000-E2),0)</f>
        <v>101</v>
      </c>
      <c r="C2" s="205" t="s">
        <v>1908</v>
      </c>
      <c r="D2" s="1987" t="s">
        <v>70</v>
      </c>
      <c r="E2" s="1281" t="e">
        <f ca="1">SUMIF(INDIRECT("'"&amp;G2&amp;"'"&amp;"!A:A"),"承租人权益价值",INDIRECT("'"&amp;G2&amp;"'"&amp;"!c:c"))</f>
        <v>#REF!</v>
      </c>
      <c r="F2" s="1988" t="s">
        <v>1908</v>
      </c>
      <c r="G2" s="1989"/>
    </row>
    <row r="3" spans="1:8" s="206" customFormat="1" ht="18" customHeight="1" thickBot="1">
      <c r="A3" s="209" t="s">
        <v>1909</v>
      </c>
      <c r="B3" s="210">
        <f ca="1">ROUND(B2*10000/(IF(B1="",'数据-汇总表'!E3,INDIRECT("'数据-取费表'!k"&amp;$G$1))),0)</f>
        <v>3972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322363.60000000003</v>
      </c>
      <c r="D5" s="217" t="s">
        <v>1914</v>
      </c>
      <c r="E5" s="218" t="s">
        <v>1915</v>
      </c>
      <c r="F5" s="218" t="s">
        <v>1916</v>
      </c>
      <c r="G5" s="219"/>
    </row>
    <row r="6" spans="1:8" s="220" customFormat="1" ht="13.5" customHeight="1">
      <c r="A6" s="864" t="s">
        <v>1917</v>
      </c>
      <c r="B6" s="221" t="s">
        <v>1918</v>
      </c>
      <c r="C6" s="222">
        <f ca="1">'土地比较法-住宅、综合'!B3*'成本法 (元)'!D10</f>
        <v>289890.60000000003</v>
      </c>
      <c r="D6" s="223"/>
      <c r="E6" s="224"/>
      <c r="F6" s="224"/>
      <c r="G6" s="225"/>
    </row>
    <row r="7" spans="1:8" s="220" customFormat="1" ht="13.5" customHeight="1">
      <c r="A7" s="864" t="s">
        <v>1919</v>
      </c>
      <c r="B7" s="221" t="s">
        <v>1920</v>
      </c>
      <c r="C7" s="226">
        <f ca="1">ROUND(C6*F7,0)</f>
        <v>15944</v>
      </c>
      <c r="D7" s="226"/>
      <c r="E7" s="224"/>
      <c r="F7" s="227">
        <f>IF(项目基本情况!B8="出让",0,'数据-取费表'!B48+'数据-取费表'!B49)</f>
        <v>5.5E-2</v>
      </c>
      <c r="G7" s="225"/>
    </row>
    <row r="8" spans="1:8" s="229" customFormat="1">
      <c r="A8" s="864" t="s">
        <v>1921</v>
      </c>
      <c r="B8" s="221" t="s">
        <v>1922</v>
      </c>
      <c r="C8" s="226">
        <f ca="1">IF(G8="已包含在土地购买价格中",0,C9+C10)</f>
        <v>16529</v>
      </c>
      <c r="D8" s="228"/>
      <c r="E8" s="226"/>
      <c r="F8" s="227"/>
      <c r="G8" s="1990" t="s">
        <v>3308</v>
      </c>
    </row>
    <row r="9" spans="1:8" s="220" customFormat="1" ht="13.5" customHeight="1">
      <c r="A9" s="865" t="s">
        <v>619</v>
      </c>
      <c r="B9" s="230" t="s">
        <v>1923</v>
      </c>
      <c r="C9" s="231">
        <f ca="1">ROUND(D9*E9,0)</f>
        <v>0</v>
      </c>
      <c r="D9" s="932">
        <f ca="1">IF(B1="",'数据-汇总表'!E5,IF(INDIRECT("'数据-取费表'!c"&amp;$G$1)="住宅",INDIRECT("'数据-取费表'!k"&amp;$G$1),0))</f>
        <v>0</v>
      </c>
      <c r="E9" s="231">
        <f>'数据-取费表'!B27</f>
        <v>65</v>
      </c>
      <c r="F9" s="227"/>
      <c r="G9" s="232"/>
    </row>
    <row r="10" spans="1:8" s="220" customFormat="1" ht="13.5" customHeight="1">
      <c r="A10" s="865" t="s">
        <v>620</v>
      </c>
      <c r="B10" s="230" t="s">
        <v>1925</v>
      </c>
      <c r="C10" s="231">
        <f ca="1">ROUND(D10*E10,0)</f>
        <v>16529</v>
      </c>
      <c r="D10" s="932">
        <f ca="1">IF(B1="",'数据-汇总表'!E6,IF(INDIRECT("'数据-取费表'!c"&amp;$G$1)="住宅",INDIRECT("'数据-取费表'!s"&amp;$G$1),INDIRECT("'数据-取费表'!k"&amp;$G$1)+INDIRECT("'数据-取费表'!s"&amp;$G$1)))</f>
        <v>254.29000000000002</v>
      </c>
      <c r="E10" s="231">
        <f>'数据-取费表'!B28</f>
        <v>65</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t="str">
        <f>IF(G19="已包含在土地取得成本中","0",ROUND(D19*E19,0))</f>
        <v>0</v>
      </c>
      <c r="D19" s="936">
        <f ca="1">D9+D10</f>
        <v>254.29000000000002</v>
      </c>
      <c r="E19" s="217">
        <f>'数据-取费表'!B31</f>
        <v>200</v>
      </c>
      <c r="F19" s="237"/>
      <c r="G19" s="1990" t="s">
        <v>3310</v>
      </c>
    </row>
    <row r="20" spans="1:7" s="220" customFormat="1" ht="13.5" customHeight="1">
      <c r="A20" s="261" t="s">
        <v>2019</v>
      </c>
      <c r="B20" s="216" t="s">
        <v>2020</v>
      </c>
      <c r="C20" s="238">
        <f ca="1">ROUND((C5+C19)*F20,0)</f>
        <v>6447</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18234</v>
      </c>
      <c r="D22" s="241">
        <f ca="1">C26</f>
        <v>5.9999999999999995E-4</v>
      </c>
      <c r="E22" s="242" t="s">
        <v>2024</v>
      </c>
      <c r="F22" s="243">
        <f ca="1">'数据-取费表'!B40</f>
        <v>3.7000000000000005E-2</v>
      </c>
      <c r="G22" s="240" t="str">
        <f>IF('数据-取费表'!B22&lt;=1,"单利计息","复利计息")</f>
        <v>复利计息</v>
      </c>
    </row>
    <row r="23" spans="1:7" s="220" customFormat="1" ht="13.5" customHeight="1">
      <c r="A23" s="866" t="s">
        <v>1917</v>
      </c>
      <c r="B23" s="221" t="s">
        <v>2028</v>
      </c>
      <c r="C23" s="1240">
        <f ca="1">ROUND(IF('数据-取费表'!B22&lt;=1,C5*F22*'数据-取费表'!B22,C5*(POWER((1+F22),'数据-取费表'!B22)-1)),0)</f>
        <v>18056</v>
      </c>
      <c r="D23" s="244"/>
      <c r="E23" s="244"/>
      <c r="F23" s="245"/>
      <c r="G23" s="246" t="s">
        <v>2029</v>
      </c>
    </row>
    <row r="24" spans="1:7" s="220" customFormat="1" ht="13.5" customHeight="1">
      <c r="A24" s="866" t="s">
        <v>1919</v>
      </c>
      <c r="B24" s="221" t="s">
        <v>2030</v>
      </c>
      <c r="C24" s="1240">
        <f ca="1">ROUND(IF('数据-取费表'!B22&lt;=1,C19*F22*('数据-取费表'!B19/2+'数据-取费表'!B20),C19*(POWER((1+F22),('数据-取费表'!B19/2+'数据-取费表'!B20))-1)),0)</f>
        <v>0</v>
      </c>
      <c r="D24" s="244"/>
      <c r="E24" s="244"/>
      <c r="F24" s="245"/>
      <c r="G24" s="246" t="s">
        <v>2031</v>
      </c>
    </row>
    <row r="25" spans="1:7" s="220" customFormat="1" ht="24">
      <c r="A25" s="866" t="s">
        <v>1921</v>
      </c>
      <c r="B25" s="221" t="s">
        <v>2032</v>
      </c>
      <c r="C25" s="1240">
        <f ca="1">ROUND(IF('数据-取费表'!B22&lt;=1,C20*F22*'数据-取费表'!B22/2,C20*(POWER((1+F22),'数据-取费表'!B22/2)-1)),0)</f>
        <v>178</v>
      </c>
      <c r="D25" s="244"/>
      <c r="E25" s="247"/>
      <c r="F25" s="245"/>
      <c r="G25" s="248" t="s">
        <v>2033</v>
      </c>
    </row>
    <row r="26" spans="1:7" s="220" customFormat="1">
      <c r="A26" s="866"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49322</v>
      </c>
      <c r="D27" s="241">
        <f ca="1">C29</f>
        <v>3.0000000000000001E-3</v>
      </c>
      <c r="E27" s="242" t="s">
        <v>1959</v>
      </c>
      <c r="F27" s="252">
        <f ca="1">IF(B1="",'数据-取费表'!Q16,INDIRECT("'数据-取费表'!q"&amp;$G$1))</f>
        <v>0.15</v>
      </c>
      <c r="G27" s="253" t="s">
        <v>1960</v>
      </c>
    </row>
    <row r="28" spans="1:7" s="220" customFormat="1" ht="13.5" customHeight="1">
      <c r="A28" s="866" t="s">
        <v>610</v>
      </c>
      <c r="B28" s="254" t="s">
        <v>1961</v>
      </c>
      <c r="C28" s="255">
        <f ca="1">ROUND((C5+C19+C20)*F27,0)</f>
        <v>49322</v>
      </c>
      <c r="D28" s="241"/>
      <c r="E28" s="242"/>
      <c r="F28" s="252"/>
      <c r="G28" s="253"/>
    </row>
    <row r="29" spans="1:7" s="220" customFormat="1" ht="13.5" customHeight="1">
      <c r="A29" s="866"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429386</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741764</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661154</v>
      </c>
      <c r="D34" s="223"/>
      <c r="E34" s="226"/>
      <c r="F34" s="263"/>
      <c r="G34" s="225"/>
    </row>
    <row r="35" spans="1:7" ht="13.5" customHeight="1">
      <c r="A35" s="866" t="s">
        <v>615</v>
      </c>
      <c r="B35" s="221" t="s">
        <v>1972</v>
      </c>
      <c r="C35" s="226">
        <f ca="1">ROUND(C34*F35,0)</f>
        <v>19835</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6" t="s">
        <v>617</v>
      </c>
      <c r="B37" s="221" t="s">
        <v>1976</v>
      </c>
      <c r="C37" s="255">
        <f ca="1">ROUND(E37*D37,0)</f>
        <v>50858</v>
      </c>
      <c r="D37" s="223">
        <f ca="1">D19</f>
        <v>254.29000000000002</v>
      </c>
      <c r="E37" s="255">
        <f>'数据-取费表'!B35</f>
        <v>200</v>
      </c>
      <c r="F37" s="265"/>
      <c r="G37" s="267"/>
    </row>
    <row r="38" spans="1:7" ht="13.5" customHeight="1">
      <c r="A38" s="866" t="s">
        <v>618</v>
      </c>
      <c r="B38" s="221" t="s">
        <v>1978</v>
      </c>
      <c r="C38" s="226">
        <f ca="1">ROUND(C34*F38,0)</f>
        <v>9917</v>
      </c>
      <c r="D38" s="226"/>
      <c r="E38" s="226"/>
      <c r="F38" s="265">
        <f>'数据-取费表'!B36</f>
        <v>1.4999999999999999E-2</v>
      </c>
      <c r="G38" s="225" t="s">
        <v>1973</v>
      </c>
    </row>
    <row r="39" spans="1:7" s="220" customFormat="1" ht="13.5" customHeight="1">
      <c r="A39" s="261" t="s">
        <v>1979</v>
      </c>
      <c r="B39" s="216" t="s">
        <v>1980</v>
      </c>
      <c r="C39" s="238">
        <f ca="1">ROUND(C33*F20,0)</f>
        <v>14835</v>
      </c>
      <c r="D39" s="238"/>
      <c r="E39" s="238"/>
      <c r="F39" s="2483">
        <f>F20</f>
        <v>0.02</v>
      </c>
      <c r="G39" s="240" t="s">
        <v>1981</v>
      </c>
    </row>
    <row r="40" spans="1:7" s="220" customFormat="1" ht="13.5" customHeight="1">
      <c r="A40" s="261" t="s">
        <v>1982</v>
      </c>
      <c r="B40" s="216" t="s">
        <v>1983</v>
      </c>
      <c r="C40" s="1445">
        <f>F21</f>
        <v>0.02</v>
      </c>
      <c r="D40" s="242" t="s">
        <v>1984</v>
      </c>
      <c r="E40" s="238"/>
      <c r="F40" s="2483">
        <f>F21</f>
        <v>0.02</v>
      </c>
      <c r="G40" s="240" t="s">
        <v>1985</v>
      </c>
    </row>
    <row r="41" spans="1:7" s="220" customFormat="1" ht="13.5" customHeight="1">
      <c r="A41" s="261" t="s">
        <v>1986</v>
      </c>
      <c r="B41" s="216" t="s">
        <v>1987</v>
      </c>
      <c r="C41" s="238">
        <f ca="1">ROUND(SUM(C42:C43),0)</f>
        <v>20900</v>
      </c>
      <c r="D41" s="241">
        <f ca="1">C44</f>
        <v>5.9999999999999995E-4</v>
      </c>
      <c r="E41" s="242" t="s">
        <v>1984</v>
      </c>
      <c r="F41" s="2484">
        <f ca="1">F22</f>
        <v>3.7000000000000005E-2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20490</v>
      </c>
      <c r="D42" s="244"/>
      <c r="E42" s="244"/>
      <c r="F42" s="245"/>
      <c r="G42" s="3447" t="s">
        <v>2036</v>
      </c>
    </row>
    <row r="43" spans="1:7" ht="13.5" customHeight="1">
      <c r="A43" s="866" t="s">
        <v>611</v>
      </c>
      <c r="B43" s="221" t="s">
        <v>1990</v>
      </c>
      <c r="C43" s="244">
        <f ca="1">ROUND(IF('数据-取费表'!B22&lt;=1,C39*F22*'数据-取费表'!B20/2,C39*(POWER((1+F22),'数据-取费表'!B20/2)-1)),0)</f>
        <v>410</v>
      </c>
      <c r="D43" s="244"/>
      <c r="E43" s="244"/>
      <c r="F43" s="245"/>
      <c r="G43" s="3448"/>
    </row>
    <row r="44" spans="1:7" ht="13.5" customHeight="1">
      <c r="A44" s="866" t="s">
        <v>612</v>
      </c>
      <c r="B44" s="221" t="s">
        <v>1991</v>
      </c>
      <c r="C44" s="244">
        <f ca="1">ROUND(IF('数据-取费表'!B22&lt;=1,C40*F22*'数据-取费表'!B20/2,C40*(POWER((1+F22),'数据-取费表'!B20/2)-1)),4)</f>
        <v>5.9999999999999995E-4</v>
      </c>
      <c r="D44" s="244"/>
      <c r="E44" s="244"/>
      <c r="F44" s="245"/>
      <c r="G44" s="3449"/>
    </row>
    <row r="45" spans="1:7" s="220" customFormat="1" ht="13.5" customHeight="1">
      <c r="A45" s="261" t="s">
        <v>1992</v>
      </c>
      <c r="B45" s="250" t="s">
        <v>1958</v>
      </c>
      <c r="C45" s="251">
        <f ca="1">C46</f>
        <v>113490</v>
      </c>
      <c r="D45" s="241">
        <f ca="1">C47</f>
        <v>3.0000000000000001E-3</v>
      </c>
      <c r="E45" s="242" t="s">
        <v>1984</v>
      </c>
      <c r="F45" s="2485">
        <f ca="1">F27</f>
        <v>0.15</v>
      </c>
      <c r="G45" s="253" t="s">
        <v>1993</v>
      </c>
    </row>
    <row r="46" spans="1:7" s="220" customFormat="1" ht="13.5" customHeight="1">
      <c r="A46" s="866" t="s">
        <v>610</v>
      </c>
      <c r="B46" s="254" t="s">
        <v>1994</v>
      </c>
      <c r="C46" s="255">
        <f ca="1">ROUND((C33+C39)*F27,0)</f>
        <v>113490</v>
      </c>
      <c r="D46" s="269"/>
      <c r="E46" s="242"/>
      <c r="F46" s="252"/>
      <c r="G46" s="253"/>
    </row>
    <row r="47" spans="1:7" s="220" customFormat="1" ht="13.5" customHeight="1">
      <c r="A47" s="866"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4">
        <f>F30</f>
        <v>5.6000000000000001E-2</v>
      </c>
      <c r="G48" s="240" t="s">
        <v>1997</v>
      </c>
    </row>
    <row r="49" spans="1:7" ht="16.5" customHeight="1">
      <c r="A49" s="261" t="s">
        <v>1963</v>
      </c>
      <c r="B49" s="216" t="s">
        <v>2037</v>
      </c>
      <c r="C49" s="238">
        <f ca="1">ROUND((C33+C39+C41+C45)/(1-C40-D41-D45-C48),0)</f>
        <v>965214</v>
      </c>
      <c r="D49" s="238"/>
      <c r="E49" s="238"/>
      <c r="F49" s="270"/>
      <c r="G49" s="240" t="s">
        <v>1999</v>
      </c>
    </row>
    <row r="50" spans="1:7" s="264" customFormat="1">
      <c r="A50" s="261" t="s">
        <v>2000</v>
      </c>
      <c r="B50" s="216" t="s">
        <v>2001</v>
      </c>
      <c r="C50" s="238"/>
      <c r="D50" s="238"/>
      <c r="E50" s="238"/>
      <c r="F50" s="270">
        <f>IF('数据-取费表'!B24=0,'数据-取费表'!N16,1)</f>
        <v>0.6</v>
      </c>
      <c r="G50" s="253"/>
    </row>
    <row r="51" spans="1:7" ht="16.5" customHeight="1">
      <c r="A51" s="261" t="s">
        <v>2003</v>
      </c>
      <c r="B51" s="216" t="s">
        <v>2038</v>
      </c>
      <c r="C51" s="238">
        <f ca="1">ROUND(C49*F50,0)</f>
        <v>579128</v>
      </c>
      <c r="D51" s="238"/>
      <c r="E51" s="238"/>
      <c r="F51" s="270"/>
      <c r="G51" s="240" t="s">
        <v>2005</v>
      </c>
    </row>
    <row r="52" spans="1:7" s="214" customFormat="1" ht="16.5" thickBot="1">
      <c r="A52" s="271" t="s">
        <v>2006</v>
      </c>
      <c r="B52" s="272"/>
      <c r="C52" s="273">
        <f ca="1">C31+C51</f>
        <v>1008514</v>
      </c>
      <c r="D52" s="272"/>
      <c r="E52" s="272"/>
      <c r="F52" s="272"/>
      <c r="G52" s="274"/>
    </row>
    <row r="55" spans="1:7" ht="15">
      <c r="B55" s="276" t="s">
        <v>2007</v>
      </c>
      <c r="C55" s="277"/>
    </row>
    <row r="56" spans="1:7">
      <c r="B56" s="279" t="s">
        <v>1237</v>
      </c>
      <c r="C56" s="281">
        <f ca="1">1-C57</f>
        <v>0.42600000000000005</v>
      </c>
    </row>
    <row r="57" spans="1:7">
      <c r="B57" s="279" t="s">
        <v>1238</v>
      </c>
      <c r="C57" s="280">
        <f ca="1">ROUND(C51/C52,3)</f>
        <v>0.57399999999999995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625" style="734" customWidth="1"/>
    <col min="2" max="2" width="25.625" style="867" customWidth="1"/>
    <col min="3" max="3" width="10.375" style="910" customWidth="1"/>
    <col min="4" max="4" width="9.875" style="867" customWidth="1"/>
    <col min="5" max="5" width="9.5" style="734" customWidth="1"/>
    <col min="6" max="6" width="10.125" style="867" customWidth="1"/>
    <col min="7" max="7" width="10.62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3"/>
      <c r="C1" s="1304"/>
      <c r="D1" s="1302"/>
      <c r="E1" s="2981"/>
      <c r="F1" s="2981"/>
      <c r="G1" s="2844"/>
      <c r="H1" s="2981"/>
      <c r="I1" s="2981"/>
      <c r="J1" s="2981"/>
      <c r="K1" s="2982">
        <f>MATCH(C1,'数据-取费表'!A6:A16,0)+5</f>
        <v>7</v>
      </c>
    </row>
    <row r="2" spans="1:33" ht="18" customHeight="1">
      <c r="A2" s="207" t="s">
        <v>1907</v>
      </c>
      <c r="B2" s="210">
        <f ca="1">C32</f>
        <v>-2</v>
      </c>
      <c r="C2" s="282" t="s">
        <v>2040</v>
      </c>
      <c r="D2" s="282"/>
      <c r="E2" s="2981"/>
      <c r="F2" s="2981"/>
      <c r="G2" s="2981"/>
      <c r="H2" s="2981"/>
      <c r="I2" s="2981"/>
      <c r="J2" s="2981"/>
      <c r="K2" s="2981"/>
    </row>
    <row r="3" spans="1:33" ht="18" customHeight="1" thickBot="1">
      <c r="A3" s="209" t="s">
        <v>1909</v>
      </c>
      <c r="B3" s="210">
        <f ca="1">ROUND(B2*10000/IF(C1="",'数据-汇总表'!E3,INDIRECT("'数据-取费表'!K"&amp;$K$1)),0)</f>
        <v>-79</v>
      </c>
      <c r="C3" s="282" t="s">
        <v>2041</v>
      </c>
      <c r="D3" s="282"/>
      <c r="E3" s="2981"/>
      <c r="F3" s="2981"/>
      <c r="G3" s="2981"/>
      <c r="H3" s="2981"/>
      <c r="I3" s="2981"/>
      <c r="J3" s="2981"/>
      <c r="K3" s="2981"/>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4" t="s">
        <v>2045</v>
      </c>
      <c r="D5" s="1994" t="s">
        <v>2046</v>
      </c>
      <c r="E5" s="1994" t="s">
        <v>2047</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254.29000000000002</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254.29000000000002</v>
      </c>
      <c r="E17" s="24">
        <f>'数据-取费表'!B32</f>
        <v>0</v>
      </c>
      <c r="F17" s="893"/>
      <c r="G17" s="136"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2</v>
      </c>
      <c r="D18" s="933"/>
      <c r="E18" s="24"/>
      <c r="F18" s="891"/>
      <c r="G18" s="1996"/>
      <c r="H18" s="1299"/>
      <c r="I18" s="1997"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65</v>
      </c>
      <c r="F19" s="891"/>
      <c r="G19" s="15"/>
      <c r="H19" s="1301"/>
      <c r="I19" s="896"/>
      <c r="J19" s="896"/>
      <c r="K19" s="897"/>
    </row>
    <row r="20" spans="1:33" s="890" customFormat="1" ht="13.5" customHeight="1">
      <c r="A20" s="886" t="s">
        <v>625</v>
      </c>
      <c r="B20" s="887" t="s">
        <v>2075</v>
      </c>
      <c r="C20" s="24">
        <f ca="1">ROUND(D20*E20/10000,0)</f>
        <v>2</v>
      </c>
      <c r="D20" s="933">
        <f ca="1">IF(C1="",'数据-汇总表'!E6,IF(INDIRECT("'数据-取费表'!c"&amp;$K$1)="住宅",INDIRECT("'数据-取费表'!s"&amp;$K$1),INDIRECT("'数据-取费表'!k"&amp;$K$1)+INDIRECT("'数据-取费表'!s"&amp;$K$1)))</f>
        <v>254.29000000000002</v>
      </c>
      <c r="E20" s="24">
        <f>'数据-取费表'!B28</f>
        <v>65</v>
      </c>
      <c r="F20" s="891"/>
      <c r="G20" s="15"/>
      <c r="H20" s="896"/>
      <c r="I20" s="896"/>
      <c r="J20" s="896"/>
      <c r="K20" s="897"/>
    </row>
    <row r="21" spans="1:33" s="890" customFormat="1" ht="13.5" customHeight="1">
      <c r="A21" s="876" t="s">
        <v>621</v>
      </c>
      <c r="B21" s="900" t="s">
        <v>2076</v>
      </c>
      <c r="C21" s="901">
        <f ca="1">C16+C17+C18</f>
        <v>2</v>
      </c>
      <c r="D21" s="902"/>
      <c r="E21" s="287"/>
      <c r="F21" s="287"/>
      <c r="G21" s="136" t="s">
        <v>2077</v>
      </c>
      <c r="H21" s="894"/>
      <c r="I21" s="894"/>
      <c r="J21" s="894"/>
      <c r="K21" s="895"/>
    </row>
    <row r="22" spans="1:33" s="890" customFormat="1" ht="13.5" customHeight="1">
      <c r="A22" s="876" t="s">
        <v>2049</v>
      </c>
      <c r="B22" s="900" t="s">
        <v>2078</v>
      </c>
      <c r="C22" s="901">
        <f ca="1">ROUND(C21*F22,0)</f>
        <v>0</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5.2400000000000002E-2</v>
      </c>
      <c r="D24" s="287" t="s">
        <v>15</v>
      </c>
      <c r="E24" s="287"/>
      <c r="F24" s="903">
        <f>IF(项目基本情况!B8="出让",0,'数据-取费表'!B48+'数据-取费表'!B49)</f>
        <v>5.5E-2</v>
      </c>
      <c r="G24" s="8" t="s">
        <v>2084</v>
      </c>
      <c r="H24" s="905"/>
      <c r="I24" s="905"/>
      <c r="J24" s="905"/>
      <c r="K24" s="906"/>
    </row>
    <row r="25" spans="1:33" s="890" customFormat="1" ht="13.5" customHeight="1">
      <c r="A25" s="876" t="s">
        <v>2085</v>
      </c>
      <c r="B25" s="902" t="s">
        <v>2086</v>
      </c>
      <c r="C25" s="1216">
        <f ca="1">C27</f>
        <v>0</v>
      </c>
      <c r="D25" s="286">
        <f ca="1">C26</f>
        <v>0</v>
      </c>
      <c r="E25" s="288" t="s">
        <v>15</v>
      </c>
      <c r="F25" s="289">
        <f ca="1">'数据-取费表'!B40</f>
        <v>3.7000000000000005E-2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2089</v>
      </c>
      <c r="B28" s="1999" t="s">
        <v>2090</v>
      </c>
      <c r="C28" s="293">
        <f ca="1">C30</f>
        <v>0</v>
      </c>
      <c r="D28" s="286">
        <f ca="1">C29</f>
        <v>0</v>
      </c>
      <c r="E28" s="288" t="s">
        <v>15</v>
      </c>
      <c r="F28" s="294">
        <f ca="1">IF(C1="",'数据-取费表'!Q16,INDIRECT("'数据-取费表'!q"&amp;$K$1))</f>
        <v>0.15</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0</v>
      </c>
      <c r="D30" s="290"/>
      <c r="E30" s="291"/>
      <c r="F30" s="296"/>
      <c r="G30" s="136"/>
      <c r="H30" s="894"/>
      <c r="I30" s="894"/>
      <c r="J30" s="894"/>
      <c r="K30" s="895"/>
    </row>
    <row r="31" spans="1:33" s="890" customFormat="1" ht="13.5" customHeight="1" thickBot="1">
      <c r="A31" s="2000"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-2</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80" zoomScaleNormal="60" zoomScaleSheetLayoutView="80" workbookViewId="0">
      <selection activeCell="M44" sqref="M44"/>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f>F65</f>
        <v>29</v>
      </c>
      <c r="C2" s="1016"/>
      <c r="D2" s="1016"/>
      <c r="E2" s="1017"/>
      <c r="F2" s="1018"/>
      <c r="G2" s="1017"/>
      <c r="H2" s="1017"/>
      <c r="I2" s="1017"/>
      <c r="J2" s="1017"/>
      <c r="K2" s="1019"/>
      <c r="L2" s="2907"/>
      <c r="M2" s="2908"/>
      <c r="N2" s="2908"/>
      <c r="O2" s="2908"/>
      <c r="P2" s="705"/>
      <c r="Q2" s="705"/>
      <c r="R2" s="705"/>
      <c r="S2" s="705"/>
      <c r="T2" s="705"/>
      <c r="U2" s="705"/>
      <c r="V2" s="705"/>
      <c r="W2" s="705"/>
      <c r="X2" s="705"/>
      <c r="Y2" s="705"/>
      <c r="Z2" s="705"/>
      <c r="AA2" s="705"/>
      <c r="AB2" s="705"/>
      <c r="AC2" s="706"/>
      <c r="AD2" s="357"/>
    </row>
    <row r="3" spans="1:30" s="358" customFormat="1" ht="28.5" customHeight="1" thickBot="1">
      <c r="A3" s="209" t="s">
        <v>1909</v>
      </c>
      <c r="B3" s="566">
        <f>ROUND(IF(D3="",B2*10000/'数据-汇总表'!E3,B2*10000/D3),0)</f>
        <v>1140</v>
      </c>
      <c r="C3" s="209" t="s">
        <v>2326</v>
      </c>
      <c r="D3" s="1305"/>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30" ht="15">
      <c r="A4" s="361" t="s">
        <v>2225</v>
      </c>
      <c r="B4" s="362"/>
      <c r="C4" s="3468" t="s">
        <v>2226</v>
      </c>
      <c r="D4" s="3469"/>
      <c r="E4" s="3470" t="s">
        <v>2227</v>
      </c>
      <c r="F4" s="3471"/>
      <c r="G4" s="3468" t="s">
        <v>2228</v>
      </c>
      <c r="H4" s="3469"/>
      <c r="I4" s="3468" t="s">
        <v>2229</v>
      </c>
      <c r="J4" s="3469"/>
      <c r="K4" s="567" t="s">
        <v>2230</v>
      </c>
      <c r="L4" s="2888"/>
      <c r="M4" s="2889"/>
      <c r="N4" s="2889"/>
      <c r="O4" s="2889"/>
      <c r="P4" s="3472" t="s">
        <v>2231</v>
      </c>
      <c r="Q4" s="3473"/>
      <c r="R4" s="3455" t="s">
        <v>2227</v>
      </c>
      <c r="S4" s="3456"/>
      <c r="T4" s="3455" t="s">
        <v>2228</v>
      </c>
      <c r="U4" s="3456"/>
      <c r="V4" s="3480" t="s">
        <v>2229</v>
      </c>
      <c r="W4" s="3480"/>
      <c r="X4" s="1487"/>
      <c r="Y4" s="3455" t="s">
        <v>2231</v>
      </c>
      <c r="Z4" s="3456"/>
      <c r="AA4" s="3450" t="s">
        <v>2227</v>
      </c>
      <c r="AB4" s="3451" t="s">
        <v>2228</v>
      </c>
      <c r="AC4" s="3450" t="s">
        <v>2229</v>
      </c>
    </row>
    <row r="5" spans="1:30" ht="15">
      <c r="A5" s="364"/>
      <c r="B5" s="365"/>
      <c r="C5" s="3461" t="s">
        <v>2122</v>
      </c>
      <c r="D5" s="3462"/>
      <c r="E5" s="3459" t="str">
        <f>土地案例!A4</f>
        <v>大箕铺镇曹家堍村高铁南路东侧地块</v>
      </c>
      <c r="F5" s="3460"/>
      <c r="G5" s="3461" t="str">
        <f>土地案例!A8</f>
        <v>大冶市铜都大道以西、畈口路以南、罗金路以北地块</v>
      </c>
      <c r="H5" s="3462"/>
      <c r="I5" s="3461" t="str">
        <f>土地案例!A19</f>
        <v>熊家洲海雅路南侧、熊家洲大道北侧地块</v>
      </c>
      <c r="J5" s="3462"/>
      <c r="K5" s="567"/>
      <c r="L5" s="2888"/>
      <c r="M5" s="2889"/>
      <c r="N5" s="2889"/>
      <c r="O5" s="2889"/>
      <c r="P5" s="3474"/>
      <c r="Q5" s="3475"/>
      <c r="R5" s="3457"/>
      <c r="S5" s="3458"/>
      <c r="T5" s="3457"/>
      <c r="U5" s="3458"/>
      <c r="V5" s="3480"/>
      <c r="W5" s="3480"/>
      <c r="X5" s="1487"/>
      <c r="Y5" s="3457"/>
      <c r="Z5" s="3458"/>
      <c r="AA5" s="3451"/>
      <c r="AB5" s="3451"/>
      <c r="AC5" s="3451"/>
    </row>
    <row r="6" spans="1:30" ht="15.75" thickBot="1">
      <c r="A6" s="366"/>
      <c r="B6" s="367"/>
      <c r="C6" s="3463" t="s">
        <v>2126</v>
      </c>
      <c r="D6" s="3464"/>
      <c r="E6" s="3465" t="s">
        <v>2126</v>
      </c>
      <c r="F6" s="3466"/>
      <c r="G6" s="3463" t="s">
        <v>2126</v>
      </c>
      <c r="H6" s="3464"/>
      <c r="I6" s="3463" t="s">
        <v>2126</v>
      </c>
      <c r="J6" s="3464"/>
      <c r="K6" s="567" t="s">
        <v>2127</v>
      </c>
      <c r="L6" s="2888"/>
      <c r="M6" s="2889"/>
      <c r="N6" s="2889"/>
      <c r="O6" s="2889"/>
      <c r="P6" s="3476"/>
      <c r="Q6" s="3477"/>
      <c r="R6" s="3457"/>
      <c r="S6" s="3458"/>
      <c r="T6" s="3478"/>
      <c r="U6" s="3479"/>
      <c r="V6" s="3480"/>
      <c r="W6" s="3480"/>
      <c r="X6" s="1487"/>
      <c r="Y6" s="3478"/>
      <c r="Z6" s="3479"/>
      <c r="AA6" s="3452"/>
      <c r="AB6" s="3452"/>
      <c r="AC6" s="3452"/>
    </row>
    <row r="7" spans="1:30" s="113" customFormat="1" ht="15.75" thickBot="1">
      <c r="A7" s="368" t="s">
        <v>2128</v>
      </c>
      <c r="B7" s="369"/>
      <c r="C7" s="370">
        <f>'数据-取费表'!B2</f>
        <v>44698</v>
      </c>
      <c r="D7" s="371">
        <v>100</v>
      </c>
      <c r="E7" s="372" t="str">
        <f>土地案例!N4</f>
        <v>2022-05-06</v>
      </c>
      <c r="F7" s="373">
        <f>SUMIF(69:69,YEAR(E7)&amp;"-"&amp;INT((MONTH(E7)+2)/3),70:70)</f>
        <v>100</v>
      </c>
      <c r="G7" s="2108" t="str">
        <f>土地案例!N8</f>
        <v>2022-04-15</v>
      </c>
      <c r="H7" s="371">
        <f>SUMIF(69:69,YEAR(G7)&amp;"-"&amp;INT((MONTH(G7)+2)/3),70:70)</f>
        <v>100</v>
      </c>
      <c r="I7" s="2108" t="str">
        <f>土地案例!N19</f>
        <v>2022-02-10</v>
      </c>
      <c r="J7" s="371">
        <f>SUMIF(69:69,YEAR(I7)&amp;"-"&amp;INT((MONTH(I7)+2)/3),70:70)</f>
        <v>99.5</v>
      </c>
      <c r="K7" s="568"/>
      <c r="L7" s="2890"/>
      <c r="M7" s="2891"/>
      <c r="N7" s="2891"/>
      <c r="O7" s="2891"/>
      <c r="P7" s="3453" t="s">
        <v>2129</v>
      </c>
      <c r="Q7" s="3481"/>
      <c r="R7" s="707" t="s">
        <v>17</v>
      </c>
      <c r="S7" s="708">
        <f t="shared" ref="S7:S15" si="0">F7</f>
        <v>100</v>
      </c>
      <c r="T7" s="707" t="s">
        <v>17</v>
      </c>
      <c r="U7" s="708">
        <f t="shared" ref="U7:U15" si="1">H7</f>
        <v>100</v>
      </c>
      <c r="V7" s="707" t="s">
        <v>17</v>
      </c>
      <c r="W7" s="708">
        <f t="shared" ref="W7:W15" si="2">J7</f>
        <v>99.5</v>
      </c>
      <c r="X7" s="709"/>
      <c r="Y7" s="3453" t="s">
        <v>2129</v>
      </c>
      <c r="Z7" s="3454"/>
      <c r="AA7" s="710">
        <f>D7/F7</f>
        <v>1</v>
      </c>
      <c r="AB7" s="710">
        <f>D7/H7</f>
        <v>1</v>
      </c>
      <c r="AC7" s="710">
        <f>D7/J7</f>
        <v>1.0050251256281406</v>
      </c>
    </row>
    <row r="8" spans="1:30" s="113" customFormat="1" ht="15.75" thickBot="1">
      <c r="A8" s="368" t="s">
        <v>2130</v>
      </c>
      <c r="B8" s="369"/>
      <c r="C8" s="374" t="s">
        <v>2131</v>
      </c>
      <c r="D8" s="371">
        <v>100</v>
      </c>
      <c r="E8" s="374" t="s">
        <v>2131</v>
      </c>
      <c r="F8" s="373">
        <f>SUMIF(72:72,E8,73:73)-SUMIF(72:72,C8,73:73)+100</f>
        <v>100</v>
      </c>
      <c r="G8" s="374" t="s">
        <v>2131</v>
      </c>
      <c r="H8" s="371">
        <f>SUMIF(72:72,G8,73:73)-SUMIF(72:72,C8,73:73)+100</f>
        <v>100</v>
      </c>
      <c r="I8" s="374" t="s">
        <v>2131</v>
      </c>
      <c r="J8" s="371">
        <f>SUMIF(72:72,I8,73:73)-SUMIF(72:72,C8,73:73)+100</f>
        <v>100</v>
      </c>
      <c r="K8" s="568"/>
      <c r="L8" s="2890"/>
      <c r="M8" s="2891"/>
      <c r="N8" s="2891"/>
      <c r="O8" s="2891"/>
      <c r="P8" s="3453" t="s">
        <v>2132</v>
      </c>
      <c r="Q8" s="3454"/>
      <c r="R8" s="707" t="s">
        <v>17</v>
      </c>
      <c r="S8" s="708">
        <f t="shared" si="0"/>
        <v>100</v>
      </c>
      <c r="T8" s="707" t="s">
        <v>17</v>
      </c>
      <c r="U8" s="708">
        <f t="shared" si="1"/>
        <v>100</v>
      </c>
      <c r="V8" s="707" t="s">
        <v>17</v>
      </c>
      <c r="W8" s="708">
        <f t="shared" si="2"/>
        <v>100</v>
      </c>
      <c r="X8" s="709"/>
      <c r="Y8" s="3453" t="s">
        <v>2132</v>
      </c>
      <c r="Z8" s="3454"/>
      <c r="AA8" s="710">
        <f t="shared" ref="AA8:AA45" si="3">D8/F8</f>
        <v>1</v>
      </c>
      <c r="AB8" s="710">
        <f t="shared" ref="AB8:AB45" si="4">D8/H8</f>
        <v>1</v>
      </c>
      <c r="AC8" s="710">
        <f t="shared" ref="AC8:AC45" si="5">D8/J8</f>
        <v>1</v>
      </c>
    </row>
    <row r="9" spans="1:30" s="113" customFormat="1">
      <c r="A9" s="375" t="s">
        <v>2133</v>
      </c>
      <c r="B9" s="67" t="s">
        <v>2134</v>
      </c>
      <c r="C9" s="2111" t="s">
        <v>1102</v>
      </c>
      <c r="D9" s="131">
        <v>100</v>
      </c>
      <c r="E9" s="2111" t="s">
        <v>1102</v>
      </c>
      <c r="F9" s="131">
        <f>SUMIF(74:74,E9,75:75)-SUMIF(74:74,C9,75:75)+100</f>
        <v>100</v>
      </c>
      <c r="G9" s="2111" t="s">
        <v>1102</v>
      </c>
      <c r="H9" s="131">
        <f>SUMIF(74:74,G9,75:75)-SUMIF(74:74,C9,75:75)+100</f>
        <v>100</v>
      </c>
      <c r="I9" s="2111" t="s">
        <v>1102</v>
      </c>
      <c r="J9" s="131">
        <f>SUMIF(74:74,I9,75:75)-SUMIF(74:74,C9,75:75)+100</f>
        <v>100</v>
      </c>
      <c r="K9" s="568"/>
      <c r="L9" s="2890"/>
      <c r="M9" s="2891"/>
      <c r="N9" s="2891"/>
      <c r="O9" s="2945"/>
      <c r="P9" s="3467"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103</v>
      </c>
      <c r="G10" s="422"/>
      <c r="H10" s="132">
        <f>ROUND(100/'数据-取费表'!G16,0)</f>
        <v>103</v>
      </c>
      <c r="I10" s="422"/>
      <c r="J10" s="132">
        <f>ROUND(100/'数据-取费表'!G16,0)</f>
        <v>103</v>
      </c>
      <c r="K10" s="627"/>
      <c r="L10" s="2892"/>
      <c r="M10" s="2893"/>
      <c r="N10" s="2893"/>
      <c r="O10" s="2946"/>
      <c r="P10" s="3467"/>
      <c r="Q10" s="1475" t="str">
        <f t="shared" si="6"/>
        <v>土地使用年限（年）</v>
      </c>
      <c r="R10" s="707" t="s">
        <v>17</v>
      </c>
      <c r="S10" s="708">
        <f t="shared" si="0"/>
        <v>103</v>
      </c>
      <c r="T10" s="707" t="s">
        <v>17</v>
      </c>
      <c r="U10" s="708">
        <f t="shared" si="1"/>
        <v>103</v>
      </c>
      <c r="V10" s="707" t="s">
        <v>17</v>
      </c>
      <c r="W10" s="708">
        <f t="shared" si="2"/>
        <v>103</v>
      </c>
      <c r="X10" s="709"/>
      <c r="Y10" s="3423"/>
      <c r="Z10" s="55" t="str">
        <f t="shared" si="7"/>
        <v>土地使用年限（年）</v>
      </c>
      <c r="AA10" s="710">
        <f t="shared" si="3"/>
        <v>0.970873786407767</v>
      </c>
      <c r="AB10" s="710">
        <f t="shared" si="4"/>
        <v>0.970873786407767</v>
      </c>
      <c r="AC10" s="710">
        <f t="shared" si="5"/>
        <v>0.970873786407767</v>
      </c>
    </row>
    <row r="11" spans="1:30" ht="15">
      <c r="A11" s="387"/>
      <c r="B11" s="381" t="s">
        <v>2138</v>
      </c>
      <c r="C11" s="388"/>
      <c r="D11" s="132">
        <v>100</v>
      </c>
      <c r="E11" s="388"/>
      <c r="F11" s="132">
        <f>LOOKUP(E11,79:79,80:80)-LOOKUP(C11,79:79,80:80)+100</f>
        <v>100</v>
      </c>
      <c r="G11" s="389"/>
      <c r="H11" s="132">
        <f>LOOKUP(G11,79:79,80:80)-LOOKUP(C11,79:79,80:80)+100</f>
        <v>100</v>
      </c>
      <c r="I11" s="388"/>
      <c r="J11" s="132">
        <f>LOOKUP(I11,79:79,80:80)-LOOKUP(C11,79:79,80:80)+100</f>
        <v>100</v>
      </c>
      <c r="K11" s="628"/>
      <c r="L11" s="2894"/>
      <c r="M11" s="2889"/>
      <c r="N11" s="2889"/>
      <c r="O11" s="2947"/>
      <c r="P11" s="3467"/>
      <c r="Q11" s="1475" t="str">
        <f t="shared" si="6"/>
        <v>容积率</v>
      </c>
      <c r="R11" s="707" t="s">
        <v>17</v>
      </c>
      <c r="S11" s="708">
        <f t="shared" si="0"/>
        <v>100</v>
      </c>
      <c r="T11" s="707" t="s">
        <v>17</v>
      </c>
      <c r="U11" s="708">
        <f t="shared" si="1"/>
        <v>100</v>
      </c>
      <c r="V11" s="707" t="s">
        <v>17</v>
      </c>
      <c r="W11" s="708">
        <f t="shared" si="2"/>
        <v>100</v>
      </c>
      <c r="X11" s="709"/>
      <c r="Y11" s="3423"/>
      <c r="Z11" s="55" t="str">
        <f t="shared" si="7"/>
        <v>容积率</v>
      </c>
      <c r="AA11" s="710">
        <f t="shared" si="3"/>
        <v>1</v>
      </c>
      <c r="AB11" s="710">
        <f t="shared" si="4"/>
        <v>1</v>
      </c>
      <c r="AC11" s="710">
        <f t="shared" si="5"/>
        <v>1</v>
      </c>
    </row>
    <row r="12" spans="1:30" s="113" customFormat="1" ht="15">
      <c r="A12" s="390"/>
      <c r="B12" s="2027" t="s">
        <v>2327</v>
      </c>
      <c r="C12" s="391"/>
      <c r="D12" s="392">
        <v>100</v>
      </c>
      <c r="E12" s="424"/>
      <c r="F12" s="132">
        <f>SUMIF(81:81,E12,82:82)-SUMIF(81:81,C12,82:82)+100</f>
        <v>100</v>
      </c>
      <c r="G12" s="422"/>
      <c r="H12" s="132">
        <f>SUMIF(81:81,G12,82:82)-SUMIF(81:81,C12,82:82)+100</f>
        <v>100</v>
      </c>
      <c r="I12" s="424"/>
      <c r="J12" s="132">
        <f>SUMIF(81:81,I12,82:82)-SUMIF(81:81,C12,82:82)+100</f>
        <v>100</v>
      </c>
      <c r="K12" s="627"/>
      <c r="L12" s="2890"/>
      <c r="M12" s="2891"/>
      <c r="N12" s="2891"/>
      <c r="O12" s="2945"/>
      <c r="P12" s="3467"/>
      <c r="Q12" s="1475" t="str">
        <f t="shared" si="6"/>
        <v>配建</v>
      </c>
      <c r="R12" s="707" t="s">
        <v>17</v>
      </c>
      <c r="S12" s="708">
        <f t="shared" si="0"/>
        <v>100</v>
      </c>
      <c r="T12" s="707" t="s">
        <v>17</v>
      </c>
      <c r="U12" s="708">
        <f t="shared" si="1"/>
        <v>100</v>
      </c>
      <c r="V12" s="707" t="s">
        <v>17</v>
      </c>
      <c r="W12" s="708">
        <f t="shared" si="2"/>
        <v>100</v>
      </c>
      <c r="X12" s="709"/>
      <c r="Y12" s="3423"/>
      <c r="Z12" s="55" t="str">
        <f t="shared" si="7"/>
        <v>配建</v>
      </c>
      <c r="AA12" s="710">
        <f>D12/F12</f>
        <v>1</v>
      </c>
      <c r="AB12" s="710">
        <f>D12/H12</f>
        <v>1</v>
      </c>
      <c r="AC12" s="710">
        <f>D12/J12</f>
        <v>1</v>
      </c>
    </row>
    <row r="13" spans="1:30" ht="15">
      <c r="A13" s="387"/>
      <c r="B13" s="2027">
        <v>111</v>
      </c>
      <c r="C13" s="393"/>
      <c r="D13" s="394">
        <v>100</v>
      </c>
      <c r="E13" s="506"/>
      <c r="F13" s="132">
        <f>SUMIF(83:83,E13,84:84)-SUMIF(83:83,C13,84:84)+100</f>
        <v>100</v>
      </c>
      <c r="G13" s="629"/>
      <c r="H13" s="394">
        <f>SUMIF(83:83,G13,84:84)-SUMIF(83:83,C13,84:84)+100</f>
        <v>100</v>
      </c>
      <c r="I13" s="629"/>
      <c r="J13" s="394">
        <f>SUMIF(83:83,I13,84:84)-SUMIF(83:83,C13,84:84)+100</f>
        <v>100</v>
      </c>
      <c r="K13" s="627"/>
      <c r="L13" s="2895"/>
      <c r="M13" s="2889"/>
      <c r="N13" s="2889"/>
      <c r="O13" s="2947"/>
      <c r="P13" s="3467"/>
      <c r="Q13" s="1475">
        <f t="shared" si="6"/>
        <v>111</v>
      </c>
      <c r="R13" s="707" t="s">
        <v>17</v>
      </c>
      <c r="S13" s="708">
        <f t="shared" si="0"/>
        <v>100</v>
      </c>
      <c r="T13" s="707" t="s">
        <v>17</v>
      </c>
      <c r="U13" s="708">
        <f t="shared" si="1"/>
        <v>100</v>
      </c>
      <c r="V13" s="707" t="s">
        <v>17</v>
      </c>
      <c r="W13" s="708">
        <f t="shared" si="2"/>
        <v>100</v>
      </c>
      <c r="X13" s="709"/>
      <c r="Y13" s="3423"/>
      <c r="Z13" s="55">
        <f t="shared" si="7"/>
        <v>111</v>
      </c>
      <c r="AA13" s="710">
        <f>D13/F13</f>
        <v>1</v>
      </c>
      <c r="AB13" s="710">
        <f>D13/H13</f>
        <v>1</v>
      </c>
      <c r="AC13" s="710">
        <f>D13/J13</f>
        <v>1</v>
      </c>
    </row>
    <row r="14" spans="1:30" ht="15.75" thickBot="1">
      <c r="A14" s="395"/>
      <c r="B14" s="2029">
        <v>111</v>
      </c>
      <c r="C14" s="396"/>
      <c r="D14" s="397">
        <v>100</v>
      </c>
      <c r="E14" s="506"/>
      <c r="F14" s="397">
        <f>SUMIF(85:85,E14,86:86)-SUMIF(85:85,C14,86:86)+100</f>
        <v>100</v>
      </c>
      <c r="G14" s="629"/>
      <c r="H14" s="397">
        <f>SUMIF(85:85,G14,86:86)-SUMIF(85:85,C14,86:86)+100</f>
        <v>100</v>
      </c>
      <c r="I14" s="629"/>
      <c r="J14" s="397">
        <f>SUMIF(85:85,I14,86:86)-SUMIF(85:85,C14,86:86)+100</f>
        <v>100</v>
      </c>
      <c r="K14" s="627"/>
      <c r="L14" s="2895"/>
      <c r="M14" s="2889"/>
      <c r="N14" s="2889"/>
      <c r="O14" s="2947"/>
      <c r="P14" s="3467"/>
      <c r="Q14" s="1475">
        <f t="shared" si="6"/>
        <v>111</v>
      </c>
      <c r="R14" s="707" t="s">
        <v>17</v>
      </c>
      <c r="S14" s="708">
        <f t="shared" si="0"/>
        <v>100</v>
      </c>
      <c r="T14" s="707" t="s">
        <v>17</v>
      </c>
      <c r="U14" s="708">
        <f t="shared" si="1"/>
        <v>100</v>
      </c>
      <c r="V14" s="707" t="s">
        <v>17</v>
      </c>
      <c r="W14" s="708">
        <f t="shared" si="2"/>
        <v>100</v>
      </c>
      <c r="X14" s="709"/>
      <c r="Y14" s="3423"/>
      <c r="Z14" s="55">
        <f t="shared" si="7"/>
        <v>111</v>
      </c>
      <c r="AA14" s="710">
        <f>D14/F14</f>
        <v>1</v>
      </c>
      <c r="AB14" s="710">
        <f>D14/H14</f>
        <v>1</v>
      </c>
      <c r="AC14" s="710">
        <f>D14/J14</f>
        <v>1</v>
      </c>
    </row>
    <row r="15" spans="1:30" ht="99.75">
      <c r="A15" s="399" t="s">
        <v>2139</v>
      </c>
      <c r="B15" s="65" t="s">
        <v>1702</v>
      </c>
      <c r="C15" s="2030"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8"/>
      <c r="L15" s="2895"/>
      <c r="M15" s="2889"/>
      <c r="N15" s="2889"/>
      <c r="O15" s="2947"/>
      <c r="P15" s="3482" t="s">
        <v>2140</v>
      </c>
      <c r="Q15" s="1484" t="str">
        <f t="shared" si="6"/>
        <v>居住社区成熟度</v>
      </c>
      <c r="R15" s="711" t="s">
        <v>17</v>
      </c>
      <c r="S15" s="712">
        <f t="shared" si="0"/>
        <v>100</v>
      </c>
      <c r="T15" s="711" t="s">
        <v>17</v>
      </c>
      <c r="U15" s="712">
        <f t="shared" si="1"/>
        <v>100</v>
      </c>
      <c r="V15" s="711" t="s">
        <v>17</v>
      </c>
      <c r="W15" s="712">
        <f t="shared" si="2"/>
        <v>100</v>
      </c>
      <c r="X15" s="1487"/>
      <c r="Y15" s="3482" t="s">
        <v>2140</v>
      </c>
      <c r="Z15" s="1488" t="str">
        <f t="shared" si="7"/>
        <v>居住社区成熟度</v>
      </c>
      <c r="AA15" s="1485">
        <f t="shared" si="3"/>
        <v>1</v>
      </c>
      <c r="AB15" s="1485">
        <f t="shared" si="4"/>
        <v>1</v>
      </c>
      <c r="AC15" s="1485">
        <f t="shared" si="5"/>
        <v>1</v>
      </c>
    </row>
    <row r="16" spans="1:30" ht="15">
      <c r="A16" s="387"/>
      <c r="B16" s="405"/>
      <c r="C16" s="406"/>
      <c r="D16" s="407"/>
      <c r="E16" s="2032"/>
      <c r="F16" s="407"/>
      <c r="G16" s="2032"/>
      <c r="H16" s="409"/>
      <c r="I16" s="2031"/>
      <c r="J16" s="407"/>
      <c r="K16" s="627"/>
      <c r="L16" s="2895"/>
      <c r="M16" s="2889"/>
      <c r="N16" s="2889"/>
      <c r="O16" s="2947"/>
      <c r="P16" s="3483"/>
      <c r="Q16" s="1484"/>
      <c r="R16" s="711"/>
      <c r="S16" s="712"/>
      <c r="T16" s="711"/>
      <c r="U16" s="712"/>
      <c r="V16" s="711"/>
      <c r="W16" s="712"/>
      <c r="X16" s="1487"/>
      <c r="Y16" s="3483"/>
      <c r="Z16" s="1488"/>
      <c r="AA16" s="1485">
        <v>1</v>
      </c>
      <c r="AB16" s="1485">
        <v>1</v>
      </c>
      <c r="AC16" s="1485">
        <v>1</v>
      </c>
    </row>
    <row r="17" spans="1:29" ht="71.25">
      <c r="A17" s="387"/>
      <c r="B17" s="410" t="s">
        <v>2233</v>
      </c>
      <c r="C17" s="2089"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8"/>
      <c r="L17" s="2895"/>
      <c r="M17" s="2889"/>
      <c r="N17" s="2889"/>
      <c r="O17" s="2947"/>
      <c r="P17" s="3483"/>
      <c r="Q17" s="1484" t="str">
        <f>B17</f>
        <v>商业繁华度</v>
      </c>
      <c r="R17" s="711" t="s">
        <v>17</v>
      </c>
      <c r="S17" s="712">
        <f>F17</f>
        <v>100</v>
      </c>
      <c r="T17" s="711" t="s">
        <v>17</v>
      </c>
      <c r="U17" s="712">
        <f>H17</f>
        <v>100</v>
      </c>
      <c r="V17" s="711" t="s">
        <v>17</v>
      </c>
      <c r="W17" s="712">
        <f>J17</f>
        <v>100</v>
      </c>
      <c r="X17" s="1487"/>
      <c r="Y17" s="3483"/>
      <c r="Z17" s="1488" t="str">
        <f>Q17</f>
        <v>商业繁华度</v>
      </c>
      <c r="AA17" s="1485">
        <f t="shared" si="3"/>
        <v>1</v>
      </c>
      <c r="AB17" s="1485">
        <f t="shared" si="4"/>
        <v>1</v>
      </c>
      <c r="AC17" s="1485">
        <f t="shared" si="5"/>
        <v>1</v>
      </c>
    </row>
    <row r="18" spans="1:29" ht="15">
      <c r="A18" s="387"/>
      <c r="B18" s="415"/>
      <c r="C18" s="2035"/>
      <c r="D18" s="409"/>
      <c r="E18" s="2037"/>
      <c r="F18" s="409"/>
      <c r="G18" s="2037"/>
      <c r="H18" s="407"/>
      <c r="I18" s="2036"/>
      <c r="J18" s="407"/>
      <c r="K18" s="627"/>
      <c r="L18" s="2895"/>
      <c r="M18" s="2889"/>
      <c r="N18" s="2889"/>
      <c r="O18" s="2947"/>
      <c r="P18" s="3483"/>
      <c r="Q18" s="1484"/>
      <c r="R18" s="711"/>
      <c r="S18" s="712"/>
      <c r="T18" s="711"/>
      <c r="U18" s="712"/>
      <c r="V18" s="711"/>
      <c r="W18" s="712"/>
      <c r="X18" s="1487"/>
      <c r="Y18" s="3483"/>
      <c r="Z18" s="1488"/>
      <c r="AA18" s="1485">
        <v>1</v>
      </c>
      <c r="AB18" s="1485">
        <v>1</v>
      </c>
      <c r="AC18" s="1485">
        <v>1</v>
      </c>
    </row>
    <row r="19" spans="1:29" ht="71.25">
      <c r="A19" s="387"/>
      <c r="B19" s="410" t="s">
        <v>2267</v>
      </c>
      <c r="C19" s="2089"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5"/>
      <c r="M19" s="2889"/>
      <c r="N19" s="2889"/>
      <c r="O19" s="2947"/>
      <c r="P19" s="3483"/>
      <c r="Q19" s="1484" t="str">
        <f>B19</f>
        <v>办公集聚程度</v>
      </c>
      <c r="R19" s="711" t="s">
        <v>17</v>
      </c>
      <c r="S19" s="712">
        <f>F19</f>
        <v>100</v>
      </c>
      <c r="T19" s="711" t="s">
        <v>17</v>
      </c>
      <c r="U19" s="712">
        <f>H19</f>
        <v>100</v>
      </c>
      <c r="V19" s="711" t="s">
        <v>17</v>
      </c>
      <c r="W19" s="712">
        <f>J19</f>
        <v>100</v>
      </c>
      <c r="X19" s="1487"/>
      <c r="Y19" s="3483"/>
      <c r="Z19" s="1488" t="str">
        <f>Q19</f>
        <v>办公集聚程度</v>
      </c>
      <c r="AA19" s="1485">
        <f t="shared" si="3"/>
        <v>1</v>
      </c>
      <c r="AB19" s="1485">
        <f t="shared" si="4"/>
        <v>1</v>
      </c>
      <c r="AC19" s="1485">
        <f t="shared" si="5"/>
        <v>1</v>
      </c>
    </row>
    <row r="20" spans="1:29" ht="15">
      <c r="A20" s="387"/>
      <c r="B20" s="415"/>
      <c r="C20" s="406"/>
      <c r="D20" s="407"/>
      <c r="E20" s="2032"/>
      <c r="F20" s="407"/>
      <c r="G20" s="2032"/>
      <c r="H20" s="407"/>
      <c r="I20" s="2031"/>
      <c r="J20" s="407"/>
      <c r="K20" s="627"/>
      <c r="L20" s="2895"/>
      <c r="M20" s="2889"/>
      <c r="N20" s="2889"/>
      <c r="O20" s="2947"/>
      <c r="P20" s="3483"/>
      <c r="Q20" s="1484"/>
      <c r="R20" s="711"/>
      <c r="S20" s="712"/>
      <c r="T20" s="711"/>
      <c r="U20" s="712"/>
      <c r="V20" s="711"/>
      <c r="W20" s="712"/>
      <c r="X20" s="1487"/>
      <c r="Y20" s="3483"/>
      <c r="Z20" s="1488"/>
      <c r="AA20" s="1485">
        <v>1</v>
      </c>
      <c r="AB20" s="1485">
        <v>1</v>
      </c>
      <c r="AC20" s="1485">
        <v>1</v>
      </c>
    </row>
    <row r="21" spans="1:29" ht="85.5">
      <c r="A21" s="387"/>
      <c r="B21" s="410" t="s">
        <v>2289</v>
      </c>
      <c r="C21" s="2034"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5"/>
      <c r="M21" s="2889"/>
      <c r="N21" s="2889"/>
      <c r="O21" s="2947"/>
      <c r="P21" s="3483"/>
      <c r="Q21" s="1484" t="str">
        <f>B21</f>
        <v>交通便捷度</v>
      </c>
      <c r="R21" s="711" t="s">
        <v>17</v>
      </c>
      <c r="S21" s="712">
        <f>F21</f>
        <v>100</v>
      </c>
      <c r="T21" s="711" t="s">
        <v>17</v>
      </c>
      <c r="U21" s="712">
        <f>H21</f>
        <v>100</v>
      </c>
      <c r="V21" s="711" t="s">
        <v>17</v>
      </c>
      <c r="W21" s="712">
        <f>J21</f>
        <v>100</v>
      </c>
      <c r="X21" s="1487"/>
      <c r="Y21" s="3483"/>
      <c r="Z21" s="1488" t="str">
        <f>Q21</f>
        <v>交通便捷度</v>
      </c>
      <c r="AA21" s="1485">
        <f t="shared" si="3"/>
        <v>1</v>
      </c>
      <c r="AB21" s="1485">
        <f t="shared" si="4"/>
        <v>1</v>
      </c>
      <c r="AC21" s="1485">
        <f t="shared" si="5"/>
        <v>1</v>
      </c>
    </row>
    <row r="22" spans="1:29" ht="15">
      <c r="A22" s="387"/>
      <c r="B22" s="1243"/>
      <c r="C22" s="406"/>
      <c r="D22" s="409"/>
      <c r="E22" s="2032"/>
      <c r="F22" s="407"/>
      <c r="G22" s="2032"/>
      <c r="H22" s="407"/>
      <c r="I22" s="2031"/>
      <c r="J22" s="407"/>
      <c r="K22" s="627"/>
      <c r="L22" s="2895"/>
      <c r="M22" s="2889"/>
      <c r="N22" s="2889"/>
      <c r="O22" s="2947"/>
      <c r="P22" s="3483"/>
      <c r="Q22" s="1484"/>
      <c r="R22" s="711"/>
      <c r="S22" s="712"/>
      <c r="T22" s="711"/>
      <c r="U22" s="712"/>
      <c r="V22" s="711"/>
      <c r="W22" s="712"/>
      <c r="X22" s="1487"/>
      <c r="Y22" s="3483"/>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5"/>
      <c r="M23" s="2889"/>
      <c r="N23" s="2889"/>
      <c r="O23" s="2947"/>
      <c r="P23" s="3483"/>
      <c r="Q23" s="1484" t="str">
        <f t="shared" ref="Q23:Q37" si="8">B23</f>
        <v>区域土地利用方向</v>
      </c>
      <c r="R23" s="711" t="s">
        <v>17</v>
      </c>
      <c r="S23" s="712">
        <f>F23</f>
        <v>100</v>
      </c>
      <c r="T23" s="711" t="s">
        <v>17</v>
      </c>
      <c r="U23" s="712">
        <f>H23</f>
        <v>100</v>
      </c>
      <c r="V23" s="711" t="s">
        <v>17</v>
      </c>
      <c r="W23" s="712">
        <f>J23</f>
        <v>100</v>
      </c>
      <c r="X23" s="1487"/>
      <c r="Y23" s="3483"/>
      <c r="Z23" s="1488" t="str">
        <f>Q23</f>
        <v>区域土地利用方向</v>
      </c>
      <c r="AA23" s="1485">
        <f t="shared" si="3"/>
        <v>1</v>
      </c>
      <c r="AB23" s="1485">
        <f t="shared" si="4"/>
        <v>1</v>
      </c>
      <c r="AC23" s="1485">
        <f t="shared" si="5"/>
        <v>1</v>
      </c>
    </row>
    <row r="24" spans="1:29" ht="15">
      <c r="A24" s="364"/>
      <c r="B24" s="415"/>
      <c r="C24" s="573"/>
      <c r="D24" s="407"/>
      <c r="E24" s="2032"/>
      <c r="F24" s="407"/>
      <c r="G24" s="2031"/>
      <c r="H24" s="407"/>
      <c r="I24" s="2031"/>
      <c r="J24" s="407"/>
      <c r="K24" s="748"/>
      <c r="L24" s="2895"/>
      <c r="M24" s="2889"/>
      <c r="N24" s="2889"/>
      <c r="O24" s="2947"/>
      <c r="P24" s="3483"/>
      <c r="Q24" s="1484"/>
      <c r="R24" s="711"/>
      <c r="S24" s="712"/>
      <c r="T24" s="711"/>
      <c r="U24" s="712"/>
      <c r="V24" s="711"/>
      <c r="W24" s="712"/>
      <c r="X24" s="1487"/>
      <c r="Y24" s="3483"/>
      <c r="Z24" s="1488"/>
      <c r="AA24" s="1485"/>
      <c r="AB24" s="1485"/>
      <c r="AC24" s="1485"/>
    </row>
    <row r="25" spans="1:29" ht="57">
      <c r="A25" s="364"/>
      <c r="B25" s="1243" t="s">
        <v>2329</v>
      </c>
      <c r="C25" s="2089"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8"/>
      <c r="L25" s="2895"/>
      <c r="M25" s="2889"/>
      <c r="N25" s="2889"/>
      <c r="O25" s="2947"/>
      <c r="P25" s="3483"/>
      <c r="Q25" s="1484" t="str">
        <f t="shared" si="8"/>
        <v>自然及人文环境状况</v>
      </c>
      <c r="R25" s="711" t="s">
        <v>17</v>
      </c>
      <c r="S25" s="712">
        <f>F25</f>
        <v>100</v>
      </c>
      <c r="T25" s="711" t="s">
        <v>17</v>
      </c>
      <c r="U25" s="712">
        <f>H25</f>
        <v>100</v>
      </c>
      <c r="V25" s="711" t="s">
        <v>17</v>
      </c>
      <c r="W25" s="712">
        <f>J25</f>
        <v>100</v>
      </c>
      <c r="X25" s="1487"/>
      <c r="Y25" s="3483"/>
      <c r="Z25" s="1488" t="str">
        <f>Q25</f>
        <v>自然及人文环境状况</v>
      </c>
      <c r="AA25" s="1485">
        <f t="shared" si="3"/>
        <v>1</v>
      </c>
      <c r="AB25" s="1485">
        <f t="shared" si="4"/>
        <v>1</v>
      </c>
      <c r="AC25" s="1485">
        <f t="shared" si="5"/>
        <v>1</v>
      </c>
    </row>
    <row r="26" spans="1:29" ht="15">
      <c r="A26" s="364"/>
      <c r="B26" s="415"/>
      <c r="C26" s="406"/>
      <c r="D26" s="407"/>
      <c r="E26" s="2038"/>
      <c r="F26" s="407"/>
      <c r="G26" s="2038"/>
      <c r="H26" s="407"/>
      <c r="I26" s="406"/>
      <c r="J26" s="407"/>
      <c r="K26" s="627"/>
      <c r="L26" s="2895"/>
      <c r="M26" s="2889"/>
      <c r="N26" s="2889"/>
      <c r="O26" s="2947"/>
      <c r="P26" s="3483"/>
      <c r="Q26" s="1484"/>
      <c r="R26" s="711"/>
      <c r="S26" s="712"/>
      <c r="T26" s="711"/>
      <c r="U26" s="712"/>
      <c r="V26" s="711"/>
      <c r="W26" s="712"/>
      <c r="X26" s="1487"/>
      <c r="Y26" s="3483"/>
      <c r="Z26" s="1488"/>
      <c r="AA26" s="1485">
        <v>1</v>
      </c>
      <c r="AB26" s="1485">
        <v>1</v>
      </c>
      <c r="AC26" s="1485">
        <v>1</v>
      </c>
    </row>
    <row r="27" spans="1:29" s="113" customFormat="1" ht="42.75">
      <c r="A27" s="604"/>
      <c r="B27" s="1243" t="s">
        <v>2234</v>
      </c>
      <c r="C27" s="2034"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8"/>
      <c r="L27" s="2890"/>
      <c r="M27" s="2891"/>
      <c r="N27" s="2891"/>
      <c r="O27" s="2945"/>
      <c r="P27" s="3483"/>
      <c r="Q27" s="1475" t="str">
        <f t="shared" si="8"/>
        <v>公共配套设施</v>
      </c>
      <c r="R27" s="707" t="s">
        <v>17</v>
      </c>
      <c r="S27" s="708">
        <f>F27</f>
        <v>100</v>
      </c>
      <c r="T27" s="707" t="s">
        <v>17</v>
      </c>
      <c r="U27" s="708">
        <f>H27</f>
        <v>100</v>
      </c>
      <c r="V27" s="707" t="s">
        <v>17</v>
      </c>
      <c r="W27" s="708">
        <f>J27</f>
        <v>100</v>
      </c>
      <c r="X27" s="709"/>
      <c r="Y27" s="3483"/>
      <c r="Z27" s="55" t="str">
        <f>Q27</f>
        <v>公共配套设施</v>
      </c>
      <c r="AA27" s="1485">
        <f>D27/F27</f>
        <v>1</v>
      </c>
      <c r="AB27" s="1485">
        <f>D27/H27</f>
        <v>1</v>
      </c>
      <c r="AC27" s="1485">
        <f>D27/J27</f>
        <v>1</v>
      </c>
    </row>
    <row r="28" spans="1:29" s="113" customFormat="1" ht="15">
      <c r="A28" s="604"/>
      <c r="B28" s="415"/>
      <c r="C28" s="2112"/>
      <c r="D28" s="407"/>
      <c r="E28" s="2038"/>
      <c r="F28" s="407"/>
      <c r="G28" s="2038"/>
      <c r="H28" s="407"/>
      <c r="I28" s="406"/>
      <c r="J28" s="407"/>
      <c r="K28" s="627"/>
      <c r="L28" s="2890"/>
      <c r="M28" s="2891"/>
      <c r="N28" s="2891"/>
      <c r="O28" s="2945"/>
      <c r="P28" s="3483"/>
      <c r="Q28" s="1475"/>
      <c r="R28" s="707"/>
      <c r="S28" s="708"/>
      <c r="T28" s="707"/>
      <c r="U28" s="708"/>
      <c r="V28" s="707"/>
      <c r="W28" s="708"/>
      <c r="X28" s="709"/>
      <c r="Y28" s="3483"/>
      <c r="Z28" s="55"/>
      <c r="AA28" s="1485">
        <v>1</v>
      </c>
      <c r="AB28" s="1485">
        <v>1</v>
      </c>
      <c r="AC28" s="1485">
        <v>1</v>
      </c>
    </row>
    <row r="29" spans="1:29" s="113" customFormat="1" ht="28.5">
      <c r="A29" s="604"/>
      <c r="B29" s="1243" t="s">
        <v>2235</v>
      </c>
      <c r="C29" s="2034"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0"/>
      <c r="M29" s="2891"/>
      <c r="N29" s="2891"/>
      <c r="O29" s="2945"/>
      <c r="P29" s="3483"/>
      <c r="Q29" s="1475" t="str">
        <f t="shared" ref="Q29" si="9">B29</f>
        <v>基础设施水平</v>
      </c>
      <c r="R29" s="707" t="s">
        <v>17</v>
      </c>
      <c r="S29" s="708">
        <f>F29</f>
        <v>100</v>
      </c>
      <c r="T29" s="707" t="s">
        <v>17</v>
      </c>
      <c r="U29" s="708">
        <f>H29</f>
        <v>100</v>
      </c>
      <c r="V29" s="707" t="s">
        <v>17</v>
      </c>
      <c r="W29" s="708">
        <f>J29</f>
        <v>100</v>
      </c>
      <c r="X29" s="709"/>
      <c r="Y29" s="3483"/>
      <c r="Z29" s="55" t="str">
        <f>Q29</f>
        <v>基础设施水平</v>
      </c>
      <c r="AA29" s="1485">
        <f>D29/F29</f>
        <v>1</v>
      </c>
      <c r="AB29" s="1485">
        <f>D29/H29</f>
        <v>1</v>
      </c>
      <c r="AC29" s="1485">
        <f>D29/J29</f>
        <v>1</v>
      </c>
    </row>
    <row r="30" spans="1:29" s="113" customFormat="1" ht="15">
      <c r="A30" s="604"/>
      <c r="B30" s="415"/>
      <c r="C30" s="2112"/>
      <c r="D30" s="407"/>
      <c r="E30" s="2113"/>
      <c r="F30" s="407"/>
      <c r="G30" s="2113"/>
      <c r="H30" s="407"/>
      <c r="I30" s="2113"/>
      <c r="J30" s="407"/>
      <c r="K30" s="627"/>
      <c r="L30" s="2890"/>
      <c r="M30" s="2891"/>
      <c r="N30" s="2891"/>
      <c r="O30" s="2945"/>
      <c r="P30" s="3483"/>
      <c r="Q30" s="1475"/>
      <c r="R30" s="707"/>
      <c r="S30" s="708"/>
      <c r="T30" s="707"/>
      <c r="U30" s="708"/>
      <c r="V30" s="707"/>
      <c r="W30" s="708"/>
      <c r="X30" s="709"/>
      <c r="Y30" s="3483"/>
      <c r="Z30" s="55"/>
      <c r="AA30" s="1485">
        <v>1</v>
      </c>
      <c r="AB30" s="1485">
        <v>1</v>
      </c>
      <c r="AC30" s="1485">
        <v>1</v>
      </c>
    </row>
    <row r="31" spans="1:29" ht="15">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895"/>
      <c r="M31" s="2889"/>
      <c r="N31" s="2889"/>
      <c r="O31" s="2947"/>
      <c r="P31" s="3483"/>
      <c r="Q31" s="1484" t="str">
        <f t="shared" si="8"/>
        <v>临街状况</v>
      </c>
      <c r="R31" s="711" t="s">
        <v>17</v>
      </c>
      <c r="S31" s="712">
        <f t="shared" ref="S31:S45" si="10">F31</f>
        <v>100</v>
      </c>
      <c r="T31" s="711" t="s">
        <v>17</v>
      </c>
      <c r="U31" s="712">
        <f t="shared" ref="U31:U45" si="11">H31</f>
        <v>100</v>
      </c>
      <c r="V31" s="711" t="s">
        <v>17</v>
      </c>
      <c r="W31" s="712">
        <f t="shared" ref="W31:W45" si="12">J31</f>
        <v>100</v>
      </c>
      <c r="X31" s="1487"/>
      <c r="Y31" s="3483"/>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5"/>
      <c r="M32" s="2889"/>
      <c r="N32" s="2889"/>
      <c r="O32" s="2947"/>
      <c r="P32" s="3483"/>
      <c r="Q32" s="1484" t="str">
        <f t="shared" si="8"/>
        <v>毗邻道路的类型与等级</v>
      </c>
      <c r="R32" s="711" t="s">
        <v>17</v>
      </c>
      <c r="S32" s="712">
        <f t="shared" si="10"/>
        <v>100</v>
      </c>
      <c r="T32" s="711" t="s">
        <v>17</v>
      </c>
      <c r="U32" s="712">
        <f t="shared" si="11"/>
        <v>100</v>
      </c>
      <c r="V32" s="711" t="s">
        <v>17</v>
      </c>
      <c r="W32" s="712">
        <f t="shared" si="12"/>
        <v>100</v>
      </c>
      <c r="X32" s="1487"/>
      <c r="Y32" s="3483"/>
      <c r="Z32" s="1488" t="str">
        <f t="shared" si="13"/>
        <v>毗邻道路的类型与等级</v>
      </c>
      <c r="AA32" s="1485">
        <f t="shared" si="3"/>
        <v>1</v>
      </c>
      <c r="AB32" s="1485">
        <f t="shared" si="4"/>
        <v>1</v>
      </c>
      <c r="AC32" s="1485">
        <f t="shared" si="5"/>
        <v>1</v>
      </c>
    </row>
    <row r="33" spans="1:29" ht="15">
      <c r="A33" s="387"/>
      <c r="B33" s="415"/>
      <c r="C33" s="406"/>
      <c r="D33" s="407"/>
      <c r="E33" s="2038"/>
      <c r="F33" s="407"/>
      <c r="G33" s="2038"/>
      <c r="H33" s="407"/>
      <c r="I33" s="406"/>
      <c r="J33" s="407"/>
      <c r="K33" s="570"/>
      <c r="L33" s="2895"/>
      <c r="M33" s="2889"/>
      <c r="N33" s="2889"/>
      <c r="O33" s="2947"/>
      <c r="P33" s="3483"/>
      <c r="Q33" s="1484"/>
      <c r="R33" s="711"/>
      <c r="S33" s="712"/>
      <c r="T33" s="711"/>
      <c r="U33" s="712"/>
      <c r="V33" s="711"/>
      <c r="W33" s="712"/>
      <c r="X33" s="1487"/>
      <c r="Y33" s="3483"/>
      <c r="Z33" s="1488"/>
      <c r="AA33" s="1485">
        <v>1</v>
      </c>
      <c r="AB33" s="1485">
        <v>1</v>
      </c>
      <c r="AC33" s="1485">
        <v>1</v>
      </c>
    </row>
    <row r="34" spans="1:29" ht="15">
      <c r="A34" s="387"/>
      <c r="B34" s="381" t="s">
        <v>2330</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895"/>
      <c r="M34" s="2889"/>
      <c r="N34" s="2889"/>
      <c r="O34" s="2947"/>
      <c r="P34" s="3483"/>
      <c r="Q34" s="1484" t="str">
        <f t="shared" si="8"/>
        <v>土地级别</v>
      </c>
      <c r="R34" s="711" t="s">
        <v>17</v>
      </c>
      <c r="S34" s="712">
        <f t="shared" si="10"/>
        <v>100</v>
      </c>
      <c r="T34" s="711" t="s">
        <v>17</v>
      </c>
      <c r="U34" s="712">
        <f t="shared" si="11"/>
        <v>100</v>
      </c>
      <c r="V34" s="711" t="s">
        <v>17</v>
      </c>
      <c r="W34" s="712">
        <f t="shared" si="12"/>
        <v>100</v>
      </c>
      <c r="X34" s="1487"/>
      <c r="Y34" s="3483"/>
      <c r="Z34" s="1488" t="str">
        <f t="shared" si="13"/>
        <v>土地级别</v>
      </c>
      <c r="AA34" s="1485">
        <f t="shared" si="3"/>
        <v>1</v>
      </c>
      <c r="AB34" s="1485">
        <f t="shared" si="4"/>
        <v>1</v>
      </c>
      <c r="AC34" s="1485">
        <f t="shared" si="5"/>
        <v>1</v>
      </c>
    </row>
    <row r="35" spans="1:29" ht="15">
      <c r="A35" s="364"/>
      <c r="B35" s="1245">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5"/>
      <c r="M35" s="2889"/>
      <c r="N35" s="2889"/>
      <c r="O35" s="2947"/>
      <c r="P35" s="3483"/>
      <c r="Q35" s="1484">
        <f t="shared" si="8"/>
        <v>111</v>
      </c>
      <c r="R35" s="711" t="s">
        <v>17</v>
      </c>
      <c r="S35" s="712">
        <f t="shared" si="10"/>
        <v>100</v>
      </c>
      <c r="T35" s="711" t="s">
        <v>17</v>
      </c>
      <c r="U35" s="712">
        <f t="shared" si="11"/>
        <v>100</v>
      </c>
      <c r="V35" s="711" t="s">
        <v>17</v>
      </c>
      <c r="W35" s="712">
        <f t="shared" si="12"/>
        <v>100</v>
      </c>
      <c r="X35" s="1487"/>
      <c r="Y35" s="3483"/>
      <c r="Z35" s="1488">
        <f t="shared" si="13"/>
        <v>111</v>
      </c>
      <c r="AA35" s="1485">
        <f t="shared" si="3"/>
        <v>1</v>
      </c>
      <c r="AB35" s="1485">
        <f t="shared" si="4"/>
        <v>1</v>
      </c>
      <c r="AC35" s="1485">
        <f t="shared" si="5"/>
        <v>1</v>
      </c>
    </row>
    <row r="36" spans="1:29" ht="15">
      <c r="A36" s="630"/>
      <c r="B36" s="1246">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5"/>
      <c r="M36" s="2889"/>
      <c r="N36" s="2889"/>
      <c r="O36" s="2947"/>
      <c r="P36" s="3484" t="s">
        <v>2145</v>
      </c>
      <c r="Q36" s="1484">
        <f t="shared" si="8"/>
        <v>111</v>
      </c>
      <c r="R36" s="711" t="s">
        <v>17</v>
      </c>
      <c r="S36" s="712">
        <f t="shared" si="10"/>
        <v>100</v>
      </c>
      <c r="T36" s="711" t="s">
        <v>17</v>
      </c>
      <c r="U36" s="712">
        <f t="shared" si="11"/>
        <v>100</v>
      </c>
      <c r="V36" s="711" t="s">
        <v>17</v>
      </c>
      <c r="W36" s="712">
        <f t="shared" si="12"/>
        <v>100</v>
      </c>
      <c r="X36" s="1487"/>
      <c r="Y36" s="3485" t="s">
        <v>2145</v>
      </c>
      <c r="Z36" s="1488">
        <f t="shared" si="13"/>
        <v>111</v>
      </c>
      <c r="AA36" s="1485">
        <f t="shared" si="3"/>
        <v>1</v>
      </c>
      <c r="AB36" s="1485">
        <f t="shared" si="4"/>
        <v>1</v>
      </c>
      <c r="AC36" s="1485">
        <f t="shared" si="5"/>
        <v>1</v>
      </c>
    </row>
    <row r="37" spans="1:29" s="430" customFormat="1" ht="15.75" thickBot="1">
      <c r="A37" s="631"/>
      <c r="B37" s="1247">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4"/>
      <c r="M37" s="2896"/>
      <c r="N37" s="2896"/>
      <c r="O37" s="2948"/>
      <c r="P37" s="3485"/>
      <c r="Q37" s="1484">
        <f t="shared" si="8"/>
        <v>111</v>
      </c>
      <c r="R37" s="714" t="s">
        <v>17</v>
      </c>
      <c r="S37" s="715">
        <f t="shared" si="10"/>
        <v>100</v>
      </c>
      <c r="T37" s="714" t="s">
        <v>17</v>
      </c>
      <c r="U37" s="715">
        <f t="shared" si="11"/>
        <v>100</v>
      </c>
      <c r="V37" s="714" t="s">
        <v>17</v>
      </c>
      <c r="W37" s="715">
        <f t="shared" si="12"/>
        <v>100</v>
      </c>
      <c r="X37" s="716"/>
      <c r="Y37" s="3485"/>
      <c r="Z37" s="717">
        <f t="shared" si="13"/>
        <v>111</v>
      </c>
      <c r="AA37" s="1485">
        <f t="shared" si="3"/>
        <v>1</v>
      </c>
      <c r="AB37" s="1485">
        <f t="shared" si="4"/>
        <v>1</v>
      </c>
      <c r="AC37" s="1485">
        <f t="shared" si="5"/>
        <v>1</v>
      </c>
    </row>
    <row r="38" spans="1:29" ht="15">
      <c r="A38" s="431" t="s">
        <v>2143</v>
      </c>
      <c r="B38" s="415" t="s">
        <v>2331</v>
      </c>
      <c r="C38" s="634">
        <v>14114.62</v>
      </c>
      <c r="D38" s="426">
        <v>100</v>
      </c>
      <c r="E38" s="634">
        <f>土地案例!E4</f>
        <v>20165.72</v>
      </c>
      <c r="F38" s="426">
        <f>LOOKUP(E38,116:116,117:117)-LOOKUP(C38,116:116,117:117)+100</f>
        <v>101</v>
      </c>
      <c r="G38" s="634">
        <f>土地案例!E8</f>
        <v>15945.55</v>
      </c>
      <c r="H38" s="426">
        <f>LOOKUP(G38,116:116,117:117)-LOOKUP(C38,116:116,117:117)+100</f>
        <v>100</v>
      </c>
      <c r="I38" s="487">
        <f>土地案例!E19</f>
        <v>31312.81</v>
      </c>
      <c r="J38" s="426">
        <f>LOOKUP(I38,116:116,117:117)-LOOKUP(C38,116:116,117:117)+100</f>
        <v>102</v>
      </c>
      <c r="K38" s="570"/>
      <c r="L38" s="2895"/>
      <c r="M38" s="2889"/>
      <c r="N38" s="2889"/>
      <c r="O38" s="2947"/>
      <c r="P38" s="3485"/>
      <c r="Q38" s="1484" t="str">
        <f>B38</f>
        <v>宗地面积</v>
      </c>
      <c r="R38" s="711" t="s">
        <v>17</v>
      </c>
      <c r="S38" s="712">
        <f t="shared" si="10"/>
        <v>101</v>
      </c>
      <c r="T38" s="711" t="s">
        <v>17</v>
      </c>
      <c r="U38" s="712">
        <f t="shared" si="11"/>
        <v>100</v>
      </c>
      <c r="V38" s="711" t="s">
        <v>17</v>
      </c>
      <c r="W38" s="712">
        <f t="shared" si="12"/>
        <v>102</v>
      </c>
      <c r="X38" s="1487"/>
      <c r="Y38" s="3485"/>
      <c r="Z38" s="1488" t="str">
        <f t="shared" si="13"/>
        <v>宗地面积</v>
      </c>
      <c r="AA38" s="1485">
        <f t="shared" si="3"/>
        <v>0.99009900990099009</v>
      </c>
      <c r="AB38" s="1485">
        <f t="shared" si="4"/>
        <v>1</v>
      </c>
      <c r="AC38" s="1485">
        <f t="shared" si="5"/>
        <v>0.98039215686274506</v>
      </c>
    </row>
    <row r="39" spans="1:29" ht="15">
      <c r="A39" s="431"/>
      <c r="B39" s="381" t="s">
        <v>2332</v>
      </c>
      <c r="C39" s="2040" t="s">
        <v>3299</v>
      </c>
      <c r="D39" s="394">
        <v>100</v>
      </c>
      <c r="E39" s="2040" t="s">
        <v>3299</v>
      </c>
      <c r="F39" s="394">
        <f>SUMIF(118:118,E39,119:119)-SUMIF(118:118,C39,119:119)+100</f>
        <v>100</v>
      </c>
      <c r="G39" s="2040" t="s">
        <v>3299</v>
      </c>
      <c r="H39" s="394">
        <f>SUMIF(118:118,G39,119:119)-SUMIF(118:118,C39,119:119)+100</f>
        <v>100</v>
      </c>
      <c r="I39" s="2040" t="s">
        <v>3299</v>
      </c>
      <c r="J39" s="394">
        <f>SUMIF(118:118,I39,119:119)-SUMIF(118:118,C39,119:119)+100</f>
        <v>100</v>
      </c>
      <c r="K39" s="569"/>
      <c r="L39" s="2895"/>
      <c r="M39" s="2889"/>
      <c r="N39" s="2889"/>
      <c r="O39" s="2947"/>
      <c r="P39" s="3485"/>
      <c r="Q39" s="1484" t="str">
        <f t="shared" ref="Q39:Q45" si="14">B39</f>
        <v>宗地形状</v>
      </c>
      <c r="R39" s="711" t="s">
        <v>17</v>
      </c>
      <c r="S39" s="712">
        <f t="shared" si="10"/>
        <v>100</v>
      </c>
      <c r="T39" s="711" t="s">
        <v>17</v>
      </c>
      <c r="U39" s="712">
        <f t="shared" si="11"/>
        <v>100</v>
      </c>
      <c r="V39" s="711" t="s">
        <v>17</v>
      </c>
      <c r="W39" s="712">
        <f t="shared" si="12"/>
        <v>100</v>
      </c>
      <c r="X39" s="1487"/>
      <c r="Y39" s="3485"/>
      <c r="Z39" s="1488" t="str">
        <f t="shared" si="13"/>
        <v>宗地形状</v>
      </c>
      <c r="AA39" s="1485">
        <f t="shared" si="3"/>
        <v>1</v>
      </c>
      <c r="AB39" s="1485">
        <f t="shared" si="4"/>
        <v>1</v>
      </c>
      <c r="AC39" s="1485">
        <f t="shared" si="5"/>
        <v>1</v>
      </c>
    </row>
    <row r="40" spans="1:29" ht="15">
      <c r="A40" s="431"/>
      <c r="B40" s="381" t="s">
        <v>2333</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5"/>
      <c r="M40" s="2889"/>
      <c r="N40" s="2889"/>
      <c r="O40" s="2947"/>
      <c r="P40" s="3485"/>
      <c r="Q40" s="1484" t="str">
        <f t="shared" si="14"/>
        <v>临街宽度及深度</v>
      </c>
      <c r="R40" s="711" t="s">
        <v>17</v>
      </c>
      <c r="S40" s="712">
        <f t="shared" si="10"/>
        <v>100</v>
      </c>
      <c r="T40" s="711" t="s">
        <v>17</v>
      </c>
      <c r="U40" s="712">
        <f t="shared" si="11"/>
        <v>100</v>
      </c>
      <c r="V40" s="711" t="s">
        <v>17</v>
      </c>
      <c r="W40" s="712">
        <f t="shared" si="12"/>
        <v>100</v>
      </c>
      <c r="X40" s="1487"/>
      <c r="Y40" s="3485"/>
      <c r="Z40" s="1488" t="str">
        <f t="shared" si="13"/>
        <v>临街宽度及深度</v>
      </c>
      <c r="AA40" s="1485">
        <f t="shared" si="3"/>
        <v>1</v>
      </c>
      <c r="AB40" s="1485">
        <f t="shared" si="4"/>
        <v>1</v>
      </c>
      <c r="AC40" s="1485">
        <f t="shared" si="5"/>
        <v>1</v>
      </c>
    </row>
    <row r="41" spans="1:29" s="113" customFormat="1" ht="15">
      <c r="A41" s="432"/>
      <c r="B41" s="381" t="s">
        <v>2334</v>
      </c>
      <c r="C41" s="2114" t="s">
        <v>3233</v>
      </c>
      <c r="D41" s="132">
        <v>100</v>
      </c>
      <c r="E41" s="2114" t="s">
        <v>3233</v>
      </c>
      <c r="F41" s="394">
        <f>SUMIF(122:122,E41,123:123)-SUMIF(122:122,C41,123:123)+100</f>
        <v>100</v>
      </c>
      <c r="G41" s="2114" t="s">
        <v>3233</v>
      </c>
      <c r="H41" s="394">
        <f>SUMIF(122:122,G41,123:123)-SUMIF(122:122,C41,123:123)+100</f>
        <v>100</v>
      </c>
      <c r="I41" s="2114" t="s">
        <v>3233</v>
      </c>
      <c r="J41" s="394">
        <f>SUMIF(122:122,I41,123:123)-SUMIF(122:122,C41,123:123)+100</f>
        <v>100</v>
      </c>
      <c r="K41" s="569"/>
      <c r="L41" s="2890"/>
      <c r="M41" s="2891"/>
      <c r="N41" s="2891"/>
      <c r="O41" s="2945"/>
      <c r="P41" s="3485"/>
      <c r="Q41" s="1484" t="str">
        <f t="shared" si="14"/>
        <v>宗地开发程度</v>
      </c>
      <c r="R41" s="707" t="s">
        <v>17</v>
      </c>
      <c r="S41" s="708">
        <f t="shared" si="10"/>
        <v>100</v>
      </c>
      <c r="T41" s="707" t="s">
        <v>17</v>
      </c>
      <c r="U41" s="708">
        <f t="shared" si="11"/>
        <v>100</v>
      </c>
      <c r="V41" s="707" t="s">
        <v>17</v>
      </c>
      <c r="W41" s="708">
        <f t="shared" si="12"/>
        <v>100</v>
      </c>
      <c r="X41" s="709"/>
      <c r="Y41" s="3485"/>
      <c r="Z41" s="55" t="str">
        <f t="shared" si="13"/>
        <v>宗地开发程度</v>
      </c>
      <c r="AA41" s="710">
        <f t="shared" si="3"/>
        <v>1</v>
      </c>
      <c r="AB41" s="710">
        <f t="shared" si="4"/>
        <v>1</v>
      </c>
      <c r="AC41" s="710">
        <f t="shared" si="5"/>
        <v>1</v>
      </c>
    </row>
    <row r="42" spans="1:29" ht="15">
      <c r="A42" s="431"/>
      <c r="B42" s="381" t="s">
        <v>2335</v>
      </c>
      <c r="C42" s="2040" t="s">
        <v>3212</v>
      </c>
      <c r="D42" s="394">
        <v>100</v>
      </c>
      <c r="E42" s="2040" t="s">
        <v>3212</v>
      </c>
      <c r="F42" s="394">
        <f>SUMIF(124:124,E42,125:125)-SUMIF(124:124,C42,125:125)+100</f>
        <v>100</v>
      </c>
      <c r="G42" s="2040" t="s">
        <v>3212</v>
      </c>
      <c r="H42" s="394">
        <f>SUMIF(124:124,G42,125:125)-SUMIF(124:124,C42,125:125)+100</f>
        <v>100</v>
      </c>
      <c r="I42" s="2040" t="s">
        <v>3212</v>
      </c>
      <c r="J42" s="394">
        <f>SUMIF(124:124,I42,125:125)-SUMIF(124:124,C42,125:125)+100</f>
        <v>100</v>
      </c>
      <c r="K42" s="569"/>
      <c r="L42" s="2895"/>
      <c r="M42" s="2889"/>
      <c r="N42" s="2889"/>
      <c r="O42" s="2947"/>
      <c r="P42" s="3485" t="s">
        <v>2145</v>
      </c>
      <c r="Q42" s="1484" t="str">
        <f t="shared" si="14"/>
        <v>工程地质条件</v>
      </c>
      <c r="R42" s="711" t="s">
        <v>17</v>
      </c>
      <c r="S42" s="712">
        <f t="shared" si="10"/>
        <v>100</v>
      </c>
      <c r="T42" s="711" t="s">
        <v>17</v>
      </c>
      <c r="U42" s="712">
        <f t="shared" si="11"/>
        <v>100</v>
      </c>
      <c r="V42" s="711" t="s">
        <v>17</v>
      </c>
      <c r="W42" s="712">
        <f t="shared" si="12"/>
        <v>100</v>
      </c>
      <c r="X42" s="1487"/>
      <c r="Y42" s="3485" t="s">
        <v>2145</v>
      </c>
      <c r="Z42" s="1488" t="str">
        <f t="shared" si="13"/>
        <v>工程地质条件</v>
      </c>
      <c r="AA42" s="1485">
        <f t="shared" si="3"/>
        <v>1</v>
      </c>
      <c r="AB42" s="1485">
        <f t="shared" si="4"/>
        <v>1</v>
      </c>
      <c r="AC42" s="1485">
        <f t="shared" si="5"/>
        <v>1</v>
      </c>
    </row>
    <row r="43" spans="1:29" ht="15">
      <c r="A43" s="431"/>
      <c r="B43" s="1246">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5"/>
      <c r="M43" s="2889"/>
      <c r="N43" s="2889"/>
      <c r="O43" s="2947"/>
      <c r="P43" s="3485"/>
      <c r="Q43" s="1484">
        <f t="shared" si="14"/>
        <v>111</v>
      </c>
      <c r="R43" s="711" t="s">
        <v>17</v>
      </c>
      <c r="S43" s="712">
        <f t="shared" si="10"/>
        <v>100</v>
      </c>
      <c r="T43" s="711" t="s">
        <v>17</v>
      </c>
      <c r="U43" s="712">
        <f t="shared" si="11"/>
        <v>100</v>
      </c>
      <c r="V43" s="711" t="s">
        <v>17</v>
      </c>
      <c r="W43" s="712">
        <f t="shared" si="12"/>
        <v>100</v>
      </c>
      <c r="X43" s="1487"/>
      <c r="Y43" s="3485"/>
      <c r="Z43" s="1488">
        <f t="shared" si="13"/>
        <v>111</v>
      </c>
      <c r="AA43" s="1485">
        <f t="shared" si="3"/>
        <v>1</v>
      </c>
      <c r="AB43" s="1485">
        <f t="shared" si="4"/>
        <v>1</v>
      </c>
      <c r="AC43" s="1485">
        <f t="shared" si="5"/>
        <v>1</v>
      </c>
    </row>
    <row r="44" spans="1:29" ht="15">
      <c r="A44" s="431"/>
      <c r="B44" s="1246">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5"/>
      <c r="M44" s="2889"/>
      <c r="N44" s="2889"/>
      <c r="O44" s="2947"/>
      <c r="P44" s="3485"/>
      <c r="Q44" s="1484">
        <f t="shared" si="14"/>
        <v>111</v>
      </c>
      <c r="R44" s="711" t="s">
        <v>17</v>
      </c>
      <c r="S44" s="712">
        <f t="shared" si="10"/>
        <v>100</v>
      </c>
      <c r="T44" s="711" t="s">
        <v>17</v>
      </c>
      <c r="U44" s="712">
        <f t="shared" si="11"/>
        <v>100</v>
      </c>
      <c r="V44" s="711" t="s">
        <v>17</v>
      </c>
      <c r="W44" s="712">
        <f t="shared" si="12"/>
        <v>100</v>
      </c>
      <c r="X44" s="1487"/>
      <c r="Y44" s="3485"/>
      <c r="Z44" s="1488">
        <f t="shared" si="13"/>
        <v>111</v>
      </c>
      <c r="AA44" s="1485">
        <f t="shared" si="3"/>
        <v>1</v>
      </c>
      <c r="AB44" s="1485">
        <f t="shared" si="4"/>
        <v>1</v>
      </c>
      <c r="AC44" s="1485">
        <f t="shared" si="5"/>
        <v>1</v>
      </c>
    </row>
    <row r="45" spans="1:29" s="430" customFormat="1" ht="15.75" thickBot="1">
      <c r="A45" s="427"/>
      <c r="B45" s="1246">
        <v>111</v>
      </c>
      <c r="C45" s="2115"/>
      <c r="D45" s="635">
        <v>100</v>
      </c>
      <c r="E45" s="629"/>
      <c r="F45" s="397">
        <f>SUMIF(130:130,E45,131:131)-SUMIF(130:130,C45,131:131)+100</f>
        <v>100</v>
      </c>
      <c r="G45" s="629"/>
      <c r="H45" s="397">
        <f>SUMIF(130:130,G45,131:131)-SUMIF(130:130,C45,131:131)+100</f>
        <v>100</v>
      </c>
      <c r="I45" s="629"/>
      <c r="J45" s="397">
        <f>SUMIF(130:130,I45,131:131)-SUMIF(130:130,C45,131:131)+100</f>
        <v>100</v>
      </c>
      <c r="K45" s="636"/>
      <c r="L45" s="2894"/>
      <c r="M45" s="2896"/>
      <c r="N45" s="2896"/>
      <c r="O45" s="2948"/>
      <c r="P45" s="3485"/>
      <c r="Q45" s="1484">
        <f t="shared" si="14"/>
        <v>111</v>
      </c>
      <c r="R45" s="714" t="s">
        <v>17</v>
      </c>
      <c r="S45" s="715">
        <f t="shared" si="10"/>
        <v>100</v>
      </c>
      <c r="T45" s="714" t="s">
        <v>17</v>
      </c>
      <c r="U45" s="715">
        <f t="shared" si="11"/>
        <v>100</v>
      </c>
      <c r="V45" s="714" t="s">
        <v>17</v>
      </c>
      <c r="W45" s="715">
        <f t="shared" si="12"/>
        <v>100</v>
      </c>
      <c r="X45" s="716"/>
      <c r="Y45" s="3485"/>
      <c r="Z45" s="717">
        <f t="shared" si="13"/>
        <v>111</v>
      </c>
      <c r="AA45" s="1485">
        <f t="shared" si="3"/>
        <v>1</v>
      </c>
      <c r="AB45" s="1485">
        <f t="shared" si="4"/>
        <v>1</v>
      </c>
      <c r="AC45" s="1485">
        <f t="shared" si="5"/>
        <v>1</v>
      </c>
    </row>
    <row r="46" spans="1:29" ht="15">
      <c r="A46" s="438" t="s">
        <v>2300</v>
      </c>
      <c r="B46" s="2116" t="s">
        <v>2336</v>
      </c>
      <c r="C46" s="637" t="s">
        <v>1</v>
      </c>
      <c r="D46" s="440"/>
      <c r="E46" s="441">
        <f>土地案例!R4</f>
        <v>1507.51</v>
      </c>
      <c r="F46" s="442"/>
      <c r="G46" s="443">
        <f>土地案例!R8</f>
        <v>1175.8800000000001</v>
      </c>
      <c r="H46" s="444"/>
      <c r="I46" s="441">
        <f>土地案例!R19</f>
        <v>919.22</v>
      </c>
      <c r="J46" s="444"/>
      <c r="K46" s="720"/>
      <c r="L46" s="2897"/>
      <c r="M46" s="2898"/>
      <c r="N46" s="2889"/>
      <c r="O46" s="2898"/>
      <c r="P46" s="3467" t="str">
        <f>A46</f>
        <v>成交单价</v>
      </c>
      <c r="Q46" s="3467"/>
      <c r="R46" s="3480">
        <f>E46</f>
        <v>1507.51</v>
      </c>
      <c r="S46" s="3480"/>
      <c r="T46" s="3480">
        <f>G46</f>
        <v>1175.8800000000001</v>
      </c>
      <c r="U46" s="3480"/>
      <c r="V46" s="3480">
        <f>I46</f>
        <v>919.22</v>
      </c>
      <c r="W46" s="3480"/>
      <c r="X46" s="696"/>
      <c r="Y46" s="718"/>
      <c r="Z46" s="696"/>
      <c r="AA46" s="696"/>
      <c r="AB46" s="696"/>
      <c r="AC46" s="696"/>
    </row>
    <row r="47" spans="1:29" ht="15.75" thickBot="1">
      <c r="A47" s="445" t="s">
        <v>2249</v>
      </c>
      <c r="B47" s="638"/>
      <c r="C47" s="448">
        <f>R48</f>
        <v>1157</v>
      </c>
      <c r="D47" s="2486" t="s">
        <v>2637</v>
      </c>
      <c r="E47" s="448">
        <f>R47</f>
        <v>1449</v>
      </c>
      <c r="F47" s="2487"/>
      <c r="G47" s="447">
        <f>T47</f>
        <v>1142</v>
      </c>
      <c r="H47" s="2487"/>
      <c r="I47" s="448">
        <f>V47</f>
        <v>879</v>
      </c>
      <c r="J47" s="2487"/>
      <c r="K47" s="2489">
        <f>F47+H47+J47</f>
        <v>0</v>
      </c>
      <c r="L47" s="2897"/>
      <c r="M47" s="2898"/>
      <c r="N47" s="2898"/>
      <c r="O47" s="2898"/>
      <c r="P47" s="3467" t="str">
        <f>A47</f>
        <v>比较价值（元/平方米）</v>
      </c>
      <c r="Q47" s="3467"/>
      <c r="R47" s="3486">
        <f>ROUND(PRODUCT(R46,AA7:AA45),0)</f>
        <v>1449</v>
      </c>
      <c r="S47" s="3486"/>
      <c r="T47" s="3486">
        <f>ROUND(PRODUCT(T46,AB7:AB45),0)</f>
        <v>1142</v>
      </c>
      <c r="U47" s="3486"/>
      <c r="V47" s="3486">
        <f>ROUND(PRODUCT(V46,AC7:AC45),0)</f>
        <v>879</v>
      </c>
      <c r="W47" s="3486"/>
      <c r="X47" s="696"/>
      <c r="Y47" s="696"/>
      <c r="Z47" s="696"/>
      <c r="AA47" s="696"/>
      <c r="AB47" s="696"/>
      <c r="AC47" s="696"/>
    </row>
    <row r="48" spans="1:29" ht="15.75" thickBot="1">
      <c r="A48" s="449" t="s">
        <v>2337</v>
      </c>
      <c r="B48" s="450"/>
      <c r="C48" s="451">
        <f>R48</f>
        <v>1157</v>
      </c>
      <c r="D48" s="451"/>
      <c r="E48" s="451"/>
      <c r="F48" s="451"/>
      <c r="G48" s="451"/>
      <c r="H48" s="451"/>
      <c r="I48" s="451"/>
      <c r="J48" s="451"/>
      <c r="K48" s="721"/>
      <c r="L48" s="2897"/>
      <c r="M48" s="2898"/>
      <c r="N48" s="2898"/>
      <c r="O48" s="2898"/>
      <c r="P48" s="3487" t="str">
        <f>A48</f>
        <v>估价对象XX用房的比较价值（楼面单价，元/平方米）</v>
      </c>
      <c r="Q48" s="3488"/>
      <c r="R48" s="3489">
        <f>ROUND(IF(D47="简单平均",AVERAGE(R47:W47),R47*F47+T47*H47+V47*J47),0)</f>
        <v>1157</v>
      </c>
      <c r="S48" s="3489"/>
      <c r="T48" s="3489"/>
      <c r="U48" s="3489"/>
      <c r="V48" s="3489"/>
      <c r="W48" s="3489"/>
      <c r="X48" s="696"/>
      <c r="Y48" s="696"/>
      <c r="Z48" s="696"/>
      <c r="AA48" s="696"/>
      <c r="AB48" s="696"/>
      <c r="AC48" s="696"/>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2251</v>
      </c>
      <c r="D51" s="455"/>
      <c r="E51" s="456">
        <f>IF(E46&lt;E47,E47/E46-1,E46/E47-1)</f>
        <v>4.0379572118702578E-2</v>
      </c>
      <c r="F51" s="457" t="str">
        <f>IF(OR(E51&gt;=0.3,E51&lt;=-0.3),"超过30%","")</f>
        <v/>
      </c>
      <c r="G51" s="456">
        <f>IF(G46&lt;G47,G47/G46-1,G46/G47-1)</f>
        <v>2.9667250437828363E-2</v>
      </c>
      <c r="H51" s="457" t="str">
        <f>IF(OR(G51&gt;=0.3,G51&lt;=-0.3),"超过30%","")</f>
        <v/>
      </c>
      <c r="I51" s="456">
        <f>IF(I46&lt;I47,I47/I46-1,I46/I47-1)</f>
        <v>4.5756541524459626E-2</v>
      </c>
      <c r="J51" s="457" t="str">
        <f>IF(OR(I51&gt;=0.3,I51&lt;=-0.3),"超过30%","")</f>
        <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2252</v>
      </c>
      <c r="D52" s="458"/>
      <c r="E52" s="456">
        <f>IF(E47&lt;G47,G47/E47-1,E47/G47-1)</f>
        <v>0.26882661996497381</v>
      </c>
      <c r="F52" s="457" t="str">
        <f>IF(OR(E52&gt;=0.2,E52&lt;=-0.2),"超过20%","")</f>
        <v>超过20%</v>
      </c>
      <c r="G52" s="456">
        <f>IF(G47&lt;I47,I47/G47-1,G47/I47-1)</f>
        <v>0.29920364050056891</v>
      </c>
      <c r="H52" s="457" t="str">
        <f>IF(OR(G52&gt;=0.2,G52&lt;=-0.2),"超过20%","")</f>
        <v>超过20%</v>
      </c>
      <c r="I52" s="456">
        <f>IF(I47&lt;E47,E47/I47-1,I47/E47-1)</f>
        <v>0.6484641638225257</v>
      </c>
      <c r="J52" s="457" t="str">
        <f>IF(OR(I52&gt;=0.2,I52&lt;=-0.2),"超过20%","")</f>
        <v>超过20%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2253</v>
      </c>
      <c r="D53" s="458"/>
      <c r="E53" s="456">
        <f>IF(E46&lt;G46,G46/E46-1,E46/G46-1)</f>
        <v>0.28202707759295143</v>
      </c>
      <c r="F53" s="457" t="str">
        <f>IF(OR(E53&gt;=0.3,E53&lt;=-0.3),"超过30%","")</f>
        <v/>
      </c>
      <c r="G53" s="456">
        <f>IF(G46&lt;I46,I46/G46-1,G46/I46-1)</f>
        <v>0.27921498661909028</v>
      </c>
      <c r="H53" s="457" t="str">
        <f>IF(OR(G53&gt;=0.3,G53&lt;=-0.3),"超过30%","")</f>
        <v/>
      </c>
      <c r="I53" s="456">
        <f>IF(I46&lt;E46,E46/I46-1,I46/E46-1)</f>
        <v>0.63998825090837874</v>
      </c>
      <c r="J53" s="457" t="str">
        <f>IF(OR(I53&gt;=0.3,I53&lt;=-0.3),"超过30%","")</f>
        <v>超过30%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699"/>
      <c r="D54" s="697"/>
      <c r="E54" s="697"/>
      <c r="F54" s="697"/>
      <c r="G54" s="697"/>
      <c r="H54" s="697"/>
      <c r="I54" s="697"/>
      <c r="J54" s="697"/>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39" t="s">
        <v>2338</v>
      </c>
      <c r="B55" s="640" t="s">
        <v>2339</v>
      </c>
      <c r="C55" s="2117" t="s">
        <v>2340</v>
      </c>
      <c r="D55" s="2118" t="s">
        <v>2341</v>
      </c>
      <c r="E55" s="641" t="s">
        <v>2342</v>
      </c>
      <c r="F55" s="999" t="s">
        <v>2343</v>
      </c>
      <c r="G55" s="3468" t="s">
        <v>2344</v>
      </c>
      <c r="H55" s="3490"/>
      <c r="I55" s="140" t="s">
        <v>2345</v>
      </c>
      <c r="J55" s="2119" t="str">
        <f>项目基本情况!F35</f>
        <v>湖北省黄石市</v>
      </c>
      <c r="K55" s="2120" t="s">
        <v>2346</v>
      </c>
      <c r="L55" s="2899"/>
      <c r="M55" s="2898"/>
      <c r="N55" s="2898"/>
      <c r="O55" s="2898"/>
      <c r="P55" s="2898"/>
      <c r="Q55" s="2898"/>
      <c r="R55" s="2898"/>
      <c r="S55" s="2898"/>
      <c r="T55" s="2898"/>
      <c r="U55" s="2898"/>
      <c r="V55" s="2898"/>
      <c r="W55" s="2898"/>
      <c r="X55" s="2898"/>
      <c r="Y55" s="2898"/>
      <c r="Z55" s="2898"/>
      <c r="AA55" s="2898"/>
      <c r="AB55" s="2898"/>
      <c r="AC55" s="2898"/>
    </row>
    <row r="56" spans="1:29" s="647" customFormat="1">
      <c r="A56" s="643" t="s">
        <v>2347</v>
      </c>
      <c r="B56" s="644">
        <f>C48</f>
        <v>1157</v>
      </c>
      <c r="C56" s="645">
        <v>1</v>
      </c>
      <c r="D56" s="1053">
        <v>1</v>
      </c>
      <c r="E56" s="645">
        <f>'数据-汇总表'!E8+'数据-汇总表'!E9</f>
        <v>254.29000000000002</v>
      </c>
      <c r="F56" s="995">
        <f t="shared" ref="F56:F64" si="15">ROUND(B56*E56/10000,0)</f>
        <v>29</v>
      </c>
      <c r="G56" s="3491"/>
      <c r="H56" s="3467"/>
      <c r="I56" s="1000">
        <v>1</v>
      </c>
      <c r="J56" s="1003">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7" customFormat="1">
      <c r="A57" s="648" t="s">
        <v>2348</v>
      </c>
      <c r="B57" s="224">
        <f>ROUND($C$48*C57*D57,0)</f>
        <v>0</v>
      </c>
      <c r="C57" s="176">
        <f t="shared" ref="C57:C64" si="16">IF($C$55="北京市系数",I57,J57)</f>
        <v>0</v>
      </c>
      <c r="D57" s="1054">
        <v>0.25</v>
      </c>
      <c r="E57" s="649"/>
      <c r="F57" s="995">
        <f t="shared" si="15"/>
        <v>0</v>
      </c>
      <c r="G57" s="3222" t="s">
        <v>2349</v>
      </c>
      <c r="H57" s="996">
        <f>项目基本情况!B37</f>
        <v>0</v>
      </c>
      <c r="I57" s="1000">
        <f>SUMIF(修正!A57:A68,H57,修正!B57:B68)</f>
        <v>0</v>
      </c>
      <c r="J57" s="1004"/>
      <c r="K57" s="2898"/>
      <c r="L57" s="2955"/>
      <c r="M57" s="2955"/>
      <c r="N57" s="2955"/>
      <c r="O57" s="2955"/>
      <c r="P57" s="2955"/>
      <c r="Q57" s="2955"/>
      <c r="R57" s="2955"/>
      <c r="S57" s="2955"/>
      <c r="T57" s="2955"/>
      <c r="U57" s="2955"/>
      <c r="V57" s="2955"/>
      <c r="W57" s="2955"/>
      <c r="X57" s="2955"/>
      <c r="Y57" s="2955"/>
      <c r="Z57" s="2955"/>
      <c r="AA57" s="2955"/>
      <c r="AB57" s="2955"/>
      <c r="AC57" s="2955"/>
    </row>
    <row r="58" spans="1:29" s="647" customFormat="1">
      <c r="A58" s="648" t="s">
        <v>2350</v>
      </c>
      <c r="B58" s="224">
        <f t="shared" ref="B58:B64" si="17">ROUND($C$48*C58*D58,0)</f>
        <v>0</v>
      </c>
      <c r="C58" s="176">
        <f t="shared" si="16"/>
        <v>0</v>
      </c>
      <c r="D58" s="1054">
        <v>0.25</v>
      </c>
      <c r="E58" s="649"/>
      <c r="F58" s="995">
        <f t="shared" si="15"/>
        <v>0</v>
      </c>
      <c r="G58" s="3223"/>
      <c r="H58" s="996">
        <f>项目基本情况!B37</f>
        <v>0</v>
      </c>
      <c r="I58" s="1000">
        <f>SUMIF(修正!A57:A68,H58,修正!C57:C68)</f>
        <v>0</v>
      </c>
      <c r="J58" s="1004"/>
      <c r="K58" s="2901"/>
      <c r="L58" s="2955"/>
      <c r="M58" s="2955"/>
      <c r="N58" s="2955"/>
      <c r="O58" s="2955"/>
      <c r="P58" s="2955"/>
      <c r="Q58" s="2955"/>
      <c r="R58" s="2955"/>
      <c r="S58" s="2955"/>
      <c r="T58" s="2955"/>
      <c r="U58" s="2955"/>
      <c r="V58" s="2955"/>
      <c r="W58" s="2955"/>
      <c r="X58" s="2955"/>
      <c r="Y58" s="2955"/>
      <c r="Z58" s="2955"/>
      <c r="AA58" s="2955"/>
      <c r="AB58" s="2955"/>
      <c r="AC58" s="2955"/>
    </row>
    <row r="59" spans="1:29" s="647" customFormat="1">
      <c r="A59" s="648" t="s">
        <v>2351</v>
      </c>
      <c r="B59" s="224">
        <f t="shared" si="17"/>
        <v>0</v>
      </c>
      <c r="C59" s="176">
        <f t="shared" si="16"/>
        <v>0</v>
      </c>
      <c r="D59" s="1054">
        <v>0.25</v>
      </c>
      <c r="E59" s="649"/>
      <c r="F59" s="995">
        <f t="shared" si="15"/>
        <v>0</v>
      </c>
      <c r="G59" s="3223"/>
      <c r="H59" s="996">
        <f>项目基本情况!B37</f>
        <v>0</v>
      </c>
      <c r="I59" s="1000">
        <f>SUMIF(修正!A57:A68,H59,修正!D57:D68)</f>
        <v>0</v>
      </c>
      <c r="J59" s="1004"/>
      <c r="K59" s="2898"/>
      <c r="L59" s="2955"/>
      <c r="M59" s="2955"/>
      <c r="N59" s="2955"/>
      <c r="O59" s="2955"/>
      <c r="P59" s="2955"/>
      <c r="Q59" s="2955"/>
      <c r="R59" s="2955"/>
      <c r="S59" s="2955"/>
      <c r="T59" s="2955"/>
      <c r="U59" s="2955"/>
      <c r="V59" s="2955"/>
      <c r="W59" s="2955"/>
      <c r="X59" s="2955"/>
      <c r="Y59" s="2955"/>
      <c r="Z59" s="2955"/>
      <c r="AA59" s="2955"/>
      <c r="AB59" s="2955"/>
      <c r="AC59" s="2955"/>
    </row>
    <row r="60" spans="1:29" s="647" customFormat="1">
      <c r="A60" s="648" t="s">
        <v>2352</v>
      </c>
      <c r="B60" s="224">
        <f t="shared" si="17"/>
        <v>0</v>
      </c>
      <c r="C60" s="176">
        <f t="shared" si="16"/>
        <v>0</v>
      </c>
      <c r="D60" s="1054">
        <v>0.25</v>
      </c>
      <c r="E60" s="223">
        <f>'数据-汇总表'!E11</f>
        <v>0</v>
      </c>
      <c r="F60" s="995">
        <f t="shared" si="15"/>
        <v>0</v>
      </c>
      <c r="G60" s="2121" t="s">
        <v>2353</v>
      </c>
      <c r="H60" s="996">
        <f>项目基本情况!C37</f>
        <v>0</v>
      </c>
      <c r="I60" s="1000">
        <f>SUMIF(修正!A57:A68,H60,修正!E57:E68)</f>
        <v>0</v>
      </c>
      <c r="J60" s="1004"/>
      <c r="K60" s="2898"/>
      <c r="L60" s="2955"/>
      <c r="M60" s="2955"/>
      <c r="N60" s="2955"/>
      <c r="O60" s="2955"/>
      <c r="P60" s="2955"/>
      <c r="Q60" s="2955"/>
      <c r="R60" s="2955"/>
      <c r="S60" s="2955"/>
      <c r="T60" s="2955"/>
      <c r="U60" s="2955"/>
      <c r="V60" s="2955"/>
      <c r="W60" s="2955"/>
      <c r="X60" s="2955"/>
      <c r="Y60" s="2955"/>
      <c r="Z60" s="2955"/>
      <c r="AA60" s="2955"/>
      <c r="AB60" s="2955"/>
      <c r="AC60" s="2955"/>
    </row>
    <row r="61" spans="1:29" s="647" customFormat="1">
      <c r="A61" s="648" t="s">
        <v>2354</v>
      </c>
      <c r="B61" s="224">
        <f t="shared" si="17"/>
        <v>0</v>
      </c>
      <c r="C61" s="176">
        <f t="shared" si="16"/>
        <v>0</v>
      </c>
      <c r="D61" s="1054">
        <v>0.25</v>
      </c>
      <c r="E61" s="223">
        <f>'数据-汇总表'!E12</f>
        <v>0</v>
      </c>
      <c r="F61" s="995">
        <f t="shared" si="15"/>
        <v>0</v>
      </c>
      <c r="G61" s="1001" t="s">
        <v>2355</v>
      </c>
      <c r="H61" s="996">
        <f>IF(G61="商业",项目基本情况!B37,IF(G61="办公",项目基本情况!C37,IF(G61="住宅",项目基本情况!D37,项目基本情况!E37)))</f>
        <v>0</v>
      </c>
      <c r="I61" s="1000">
        <f>SUMIF(修正!A57:A68,H61,修正!F57:F68)</f>
        <v>0</v>
      </c>
      <c r="J61" s="1004"/>
      <c r="K61" s="2901"/>
      <c r="L61" s="2955"/>
      <c r="M61" s="2955"/>
      <c r="N61" s="2955"/>
      <c r="O61" s="2955"/>
      <c r="P61" s="2955"/>
      <c r="Q61" s="2955"/>
      <c r="R61" s="2955"/>
      <c r="S61" s="2955"/>
      <c r="T61" s="2955"/>
      <c r="U61" s="2955"/>
      <c r="V61" s="2955"/>
      <c r="W61" s="2955"/>
      <c r="X61" s="2955"/>
      <c r="Y61" s="2955"/>
      <c r="Z61" s="2955"/>
      <c r="AA61" s="2955"/>
      <c r="AB61" s="2955"/>
      <c r="AC61" s="2955"/>
    </row>
    <row r="62" spans="1:29" s="647" customFormat="1">
      <c r="A62" s="648" t="s">
        <v>2356</v>
      </c>
      <c r="B62" s="224">
        <f t="shared" si="17"/>
        <v>0</v>
      </c>
      <c r="C62" s="176">
        <f t="shared" si="16"/>
        <v>0</v>
      </c>
      <c r="D62" s="1054">
        <v>0.25</v>
      </c>
      <c r="E62" s="223">
        <f>'数据-汇总表'!E13</f>
        <v>0</v>
      </c>
      <c r="F62" s="995">
        <f t="shared" si="15"/>
        <v>0</v>
      </c>
      <c r="G62" s="1001" t="s">
        <v>2357</v>
      </c>
      <c r="H62" s="996">
        <f>IF(G62="商业",项目基本情况!B37,IF(G62="办公",项目基本情况!C37,IF(G62="住宅",项目基本情况!D37,项目基本情况!E37)))</f>
        <v>0</v>
      </c>
      <c r="I62" s="1000">
        <f>SUMIF(修正!A57:A68,H62,修正!G57:G68)</f>
        <v>0</v>
      </c>
      <c r="J62" s="1004"/>
      <c r="K62" s="2898"/>
      <c r="L62" s="2955"/>
      <c r="M62" s="2955"/>
      <c r="N62" s="2955"/>
      <c r="O62" s="2955"/>
      <c r="P62" s="2955"/>
      <c r="Q62" s="2955"/>
      <c r="R62" s="2955"/>
      <c r="S62" s="2955"/>
      <c r="T62" s="2955"/>
      <c r="U62" s="2955"/>
      <c r="V62" s="2955"/>
      <c r="W62" s="2955"/>
      <c r="X62" s="2955"/>
      <c r="Y62" s="2955"/>
      <c r="Z62" s="2955"/>
      <c r="AA62" s="2955"/>
      <c r="AB62" s="2955"/>
      <c r="AC62" s="2955"/>
    </row>
    <row r="63" spans="1:29" s="647" customFormat="1">
      <c r="A63" s="648" t="s">
        <v>2358</v>
      </c>
      <c r="B63" s="224">
        <f t="shared" si="17"/>
        <v>0</v>
      </c>
      <c r="C63" s="176">
        <f t="shared" si="16"/>
        <v>0</v>
      </c>
      <c r="D63" s="1054">
        <v>0.25</v>
      </c>
      <c r="E63" s="223">
        <f>'数据-汇总表'!E14</f>
        <v>0</v>
      </c>
      <c r="F63" s="995">
        <f t="shared" si="15"/>
        <v>0</v>
      </c>
      <c r="G63" s="2121" t="s">
        <v>2349</v>
      </c>
      <c r="H63" s="996">
        <f>项目基本情况!B37</f>
        <v>0</v>
      </c>
      <c r="I63" s="1000">
        <f>SUMIF(修正!A57:A68,H63,修正!G57:G68)</f>
        <v>0</v>
      </c>
      <c r="J63" s="1004"/>
      <c r="K63" s="2901"/>
      <c r="L63" s="2955"/>
      <c r="M63" s="2955"/>
      <c r="N63" s="2955"/>
      <c r="O63" s="2955"/>
      <c r="P63" s="2955"/>
      <c r="Q63" s="2955"/>
      <c r="R63" s="2955"/>
      <c r="S63" s="2955"/>
      <c r="T63" s="2955"/>
      <c r="U63" s="2955"/>
      <c r="V63" s="2955"/>
      <c r="W63" s="2955"/>
      <c r="X63" s="2955"/>
      <c r="Y63" s="2955"/>
      <c r="Z63" s="2955"/>
      <c r="AA63" s="2955"/>
      <c r="AB63" s="2955"/>
      <c r="AC63" s="2955"/>
    </row>
    <row r="64" spans="1:29" s="647" customFormat="1" ht="15" thickBot="1">
      <c r="A64" s="648" t="s">
        <v>2359</v>
      </c>
      <c r="B64" s="224">
        <f t="shared" si="17"/>
        <v>0</v>
      </c>
      <c r="C64" s="176">
        <f t="shared" si="16"/>
        <v>0</v>
      </c>
      <c r="D64" s="1054">
        <v>0.25</v>
      </c>
      <c r="E64" s="223">
        <f>'数据-汇总表'!E15</f>
        <v>0</v>
      </c>
      <c r="F64" s="995">
        <f t="shared" si="15"/>
        <v>0</v>
      </c>
      <c r="G64" s="2122" t="s">
        <v>2353</v>
      </c>
      <c r="H64" s="1006">
        <f>项目基本情况!C37</f>
        <v>0</v>
      </c>
      <c r="I64" s="1002">
        <f>SUMIF(修正!A57:A68,H64,修正!G57:G68)</f>
        <v>0</v>
      </c>
      <c r="J64" s="1005"/>
      <c r="K64" s="2898"/>
      <c r="L64" s="2955"/>
      <c r="M64" s="2955"/>
      <c r="N64" s="2955"/>
      <c r="O64" s="2955"/>
      <c r="P64" s="2955"/>
      <c r="Q64" s="2955"/>
      <c r="R64" s="2955"/>
      <c r="S64" s="2955"/>
      <c r="T64" s="2955"/>
      <c r="U64" s="2955"/>
      <c r="V64" s="2955"/>
      <c r="W64" s="2955"/>
      <c r="X64" s="2955"/>
      <c r="Y64" s="2955"/>
      <c r="Z64" s="2955"/>
      <c r="AA64" s="2955"/>
      <c r="AB64" s="2955"/>
      <c r="AC64" s="2955"/>
    </row>
    <row r="65" spans="1:29" s="647" customFormat="1" ht="13.5" thickBot="1">
      <c r="A65" s="650" t="s">
        <v>2360</v>
      </c>
      <c r="B65" s="651" t="s">
        <v>28</v>
      </c>
      <c r="C65" s="651" t="s">
        <v>29</v>
      </c>
      <c r="D65" s="651" t="s">
        <v>816</v>
      </c>
      <c r="E65" s="651">
        <f>IF(B46="楼面地价",SUM(E56:E64),'数据-汇总表'!D3)</f>
        <v>254.29000000000002</v>
      </c>
      <c r="F65" s="652">
        <f>IF(B46="楼面地价",SUM(F56:F64),ROUND(C48*E65/10000,0))</f>
        <v>29</v>
      </c>
      <c r="G65" s="723"/>
      <c r="H65" s="723"/>
      <c r="I65" s="723"/>
      <c r="J65" s="723"/>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6"/>
      <c r="B66" s="698"/>
      <c r="C66" s="699"/>
      <c r="D66" s="696"/>
      <c r="E66" s="696"/>
      <c r="F66" s="696"/>
      <c r="G66" s="696"/>
      <c r="H66" s="696"/>
      <c r="I66" s="696"/>
      <c r="J66" s="1036"/>
      <c r="K66" s="997"/>
      <c r="L66" s="998"/>
      <c r="M66" s="1036"/>
      <c r="N66" s="1036"/>
      <c r="O66" s="1036"/>
      <c r="P66" s="2898"/>
      <c r="Q66" s="2898"/>
      <c r="R66" s="2898"/>
      <c r="S66" s="2898"/>
      <c r="T66" s="2898"/>
      <c r="U66" s="2898"/>
      <c r="V66" s="2898"/>
      <c r="W66" s="2898"/>
      <c r="X66" s="2898"/>
      <c r="Y66" s="2898"/>
      <c r="Z66" s="2898"/>
      <c r="AA66" s="2898"/>
      <c r="AB66" s="2898"/>
      <c r="AC66" s="2898"/>
    </row>
    <row r="67" spans="1:29">
      <c r="A67" s="696"/>
      <c r="B67" s="698"/>
      <c r="C67" s="698" t="str">
        <f>YEAR(C7)&amp;"-"&amp;MONTH(C7)&amp;"-1"</f>
        <v>2022-5-1</v>
      </c>
      <c r="D67" s="698">
        <f>EDATE(C67,-3)</f>
        <v>44593</v>
      </c>
      <c r="E67" s="698">
        <f>EDATE(D67,-3)</f>
        <v>44501</v>
      </c>
      <c r="F67" s="698">
        <f t="shared" ref="F67:O67" si="18">EDATE(E67,-3)</f>
        <v>44409</v>
      </c>
      <c r="G67" s="698">
        <f t="shared" si="18"/>
        <v>44317</v>
      </c>
      <c r="H67" s="698">
        <f t="shared" si="18"/>
        <v>44228</v>
      </c>
      <c r="I67" s="698">
        <f t="shared" si="18"/>
        <v>44136</v>
      </c>
      <c r="J67" s="698">
        <f t="shared" si="18"/>
        <v>44044</v>
      </c>
      <c r="K67" s="698">
        <f t="shared" si="18"/>
        <v>43952</v>
      </c>
      <c r="L67" s="698">
        <f t="shared" si="18"/>
        <v>43862</v>
      </c>
      <c r="M67" s="698">
        <f t="shared" si="18"/>
        <v>43770</v>
      </c>
      <c r="N67" s="698">
        <f t="shared" si="18"/>
        <v>43678</v>
      </c>
      <c r="O67" s="698">
        <f t="shared" si="18"/>
        <v>43586</v>
      </c>
      <c r="P67" s="2898"/>
      <c r="Q67" s="2898"/>
      <c r="R67" s="2898"/>
      <c r="S67" s="2898"/>
      <c r="T67" s="2898"/>
      <c r="U67" s="2898"/>
      <c r="V67" s="2898"/>
      <c r="W67" s="2898"/>
      <c r="X67" s="2898"/>
      <c r="Y67" s="2898"/>
      <c r="Z67" s="2898"/>
      <c r="AA67" s="2898"/>
      <c r="AB67" s="2898"/>
      <c r="AC67" s="2898"/>
    </row>
    <row r="68" spans="1:29" ht="21.75" thickBot="1">
      <c r="A68" s="700" t="s">
        <v>2254</v>
      </c>
      <c r="B68" s="696"/>
      <c r="C68" s="701"/>
      <c r="D68" s="701"/>
      <c r="E68" s="701"/>
      <c r="F68" s="702"/>
      <c r="G68" s="702"/>
      <c r="H68" s="701"/>
      <c r="I68" s="701"/>
      <c r="J68" s="1049"/>
      <c r="K68" s="1050"/>
      <c r="L68" s="1051"/>
      <c r="M68" s="1049"/>
      <c r="N68" s="2942"/>
      <c r="O68" s="2942"/>
      <c r="P68" s="2942"/>
      <c r="Q68" s="2912"/>
      <c r="R68" s="2898"/>
      <c r="S68" s="2898"/>
      <c r="T68" s="2898"/>
      <c r="U68" s="2898"/>
      <c r="V68" s="2898"/>
      <c r="W68" s="2898"/>
      <c r="X68" s="2898"/>
      <c r="Y68" s="2898"/>
      <c r="Z68" s="2898"/>
      <c r="AA68" s="2898"/>
      <c r="AB68" s="2898"/>
      <c r="AC68" s="2898"/>
    </row>
    <row r="69" spans="1:29" s="465" customFormat="1" ht="15">
      <c r="A69" s="2123" t="s">
        <v>2361</v>
      </c>
      <c r="B69" s="1219"/>
      <c r="C69" s="1294" t="str">
        <f>YEAR(C67)&amp;"-"&amp;ROUNDUP(MONTH(C67)/3,0)</f>
        <v>2022-2</v>
      </c>
      <c r="D69" s="1294" t="str">
        <f>YEAR(D67)&amp;"-"&amp;ROUNDUP(MONTH(D67)/3,0)</f>
        <v>2022-1</v>
      </c>
      <c r="E69" s="1294" t="str">
        <f t="shared" ref="E69:O69" si="19">YEAR(E67)&amp;"-"&amp;ROUNDUP(MONTH(E67)/3,0)</f>
        <v>2021-4</v>
      </c>
      <c r="F69" s="1294" t="str">
        <f t="shared" si="19"/>
        <v>2021-3</v>
      </c>
      <c r="G69" s="1294" t="str">
        <f t="shared" si="19"/>
        <v>2021-2</v>
      </c>
      <c r="H69" s="1294" t="str">
        <f t="shared" si="19"/>
        <v>2021-1</v>
      </c>
      <c r="I69" s="1294" t="str">
        <f t="shared" si="19"/>
        <v>2020-4</v>
      </c>
      <c r="J69" s="1294" t="str">
        <f t="shared" si="19"/>
        <v>2020-3</v>
      </c>
      <c r="K69" s="1294" t="str">
        <f t="shared" si="19"/>
        <v>2020-2</v>
      </c>
      <c r="L69" s="1294" t="str">
        <f t="shared" si="19"/>
        <v>2020-1</v>
      </c>
      <c r="M69" s="1294" t="str">
        <f t="shared" si="19"/>
        <v>2019-4</v>
      </c>
      <c r="N69" s="1294" t="str">
        <f t="shared" si="19"/>
        <v>2019-3</v>
      </c>
      <c r="O69" s="1294" t="str">
        <f t="shared" si="19"/>
        <v>2019-2</v>
      </c>
      <c r="P69" s="2949"/>
      <c r="Q69" s="2914"/>
      <c r="R69" s="2914"/>
      <c r="S69" s="2914"/>
      <c r="T69" s="2914"/>
      <c r="U69" s="2914"/>
      <c r="V69" s="2914"/>
      <c r="W69" s="2914"/>
      <c r="X69" s="2914"/>
      <c r="Y69" s="2914"/>
      <c r="Z69" s="2914"/>
      <c r="AA69" s="2914"/>
      <c r="AB69" s="2914"/>
      <c r="AC69" s="2914"/>
    </row>
    <row r="70" spans="1:29" s="113" customFormat="1" ht="30" customHeight="1">
      <c r="A70" s="2124" t="s">
        <v>1102</v>
      </c>
      <c r="B70" s="294" t="str">
        <f>"北京市平均增长率"&amp;TEXT(SUMIF(基准地价修正!N21:N25,A70,基准地价修正!P21:P25),"0.00%")</f>
        <v>北京市平均增长率0.00%</v>
      </c>
      <c r="C70" s="560">
        <v>100</v>
      </c>
      <c r="D70" s="552">
        <f>C70-$C$71</f>
        <v>99.5</v>
      </c>
      <c r="E70" s="552">
        <f t="shared" ref="E70:M70" si="20">D70-$C$71</f>
        <v>99</v>
      </c>
      <c r="F70" s="552">
        <f t="shared" si="20"/>
        <v>98.5</v>
      </c>
      <c r="G70" s="552">
        <f t="shared" si="20"/>
        <v>98</v>
      </c>
      <c r="H70" s="552">
        <f t="shared" si="20"/>
        <v>97.5</v>
      </c>
      <c r="I70" s="552">
        <f t="shared" si="20"/>
        <v>97</v>
      </c>
      <c r="J70" s="552">
        <f t="shared" si="20"/>
        <v>96.5</v>
      </c>
      <c r="K70" s="552">
        <f t="shared" si="20"/>
        <v>96</v>
      </c>
      <c r="L70" s="552">
        <f t="shared" si="20"/>
        <v>95.5</v>
      </c>
      <c r="M70" s="552">
        <f t="shared" si="20"/>
        <v>95</v>
      </c>
      <c r="N70" s="552"/>
      <c r="O70" s="1291"/>
      <c r="P70" s="2912"/>
      <c r="Q70" s="2833"/>
      <c r="R70" s="2833"/>
      <c r="S70" s="2833"/>
      <c r="T70" s="2833"/>
      <c r="U70" s="2833"/>
      <c r="V70" s="2833"/>
      <c r="W70" s="2833"/>
      <c r="X70" s="2833"/>
      <c r="Y70" s="2833"/>
      <c r="Z70" s="2833"/>
      <c r="AA70" s="2833"/>
      <c r="AB70" s="2833"/>
      <c r="AC70" s="2833"/>
    </row>
    <row r="71" spans="1:29" s="113" customFormat="1" ht="15.75" thickBot="1">
      <c r="A71" s="472" t="s">
        <v>2165</v>
      </c>
      <c r="B71" s="473"/>
      <c r="C71" s="474">
        <v>0.5</v>
      </c>
      <c r="D71" s="475"/>
      <c r="E71" s="475"/>
      <c r="F71" s="475"/>
      <c r="G71" s="475"/>
      <c r="H71" s="475"/>
      <c r="I71" s="475"/>
      <c r="J71" s="475"/>
      <c r="K71" s="475"/>
      <c r="L71" s="475"/>
      <c r="M71" s="476"/>
      <c r="N71" s="475"/>
      <c r="O71" s="1052"/>
      <c r="P71" s="2912"/>
      <c r="Q71" s="2912"/>
      <c r="R71" s="2833"/>
      <c r="S71" s="2833"/>
      <c r="T71" s="2833"/>
      <c r="U71" s="2833"/>
      <c r="V71" s="2833"/>
      <c r="W71" s="2833"/>
      <c r="X71" s="2833"/>
      <c r="Y71" s="2833"/>
      <c r="Z71" s="2833"/>
      <c r="AA71" s="2833"/>
      <c r="AB71" s="2833"/>
      <c r="AC71" s="2833"/>
    </row>
    <row r="72" spans="1:29" s="113" customFormat="1" ht="15">
      <c r="A72" s="478" t="s">
        <v>2130</v>
      </c>
      <c r="B72" s="467"/>
      <c r="C72" s="479" t="s">
        <v>2232</v>
      </c>
      <c r="D72" s="480"/>
      <c r="E72" s="480"/>
      <c r="F72" s="480"/>
      <c r="G72" s="480"/>
      <c r="H72" s="480"/>
      <c r="I72" s="480"/>
      <c r="J72" s="480"/>
      <c r="K72" s="480"/>
      <c r="L72" s="481"/>
      <c r="M72" s="482"/>
      <c r="N72" s="2925"/>
      <c r="O72" s="2925"/>
      <c r="P72" s="2950"/>
      <c r="Q72" s="2912"/>
      <c r="R72" s="2833"/>
      <c r="S72" s="2833"/>
      <c r="T72" s="2833"/>
      <c r="U72" s="2833"/>
      <c r="V72" s="2833"/>
      <c r="W72" s="2833"/>
      <c r="X72" s="2833"/>
      <c r="Y72" s="2833"/>
      <c r="Z72" s="2833"/>
      <c r="AA72" s="2833"/>
      <c r="AB72" s="2833"/>
      <c r="AC72" s="2833"/>
    </row>
    <row r="73" spans="1:29" s="113" customFormat="1" ht="15.75" thickBot="1">
      <c r="A73" s="478"/>
      <c r="B73" s="467"/>
      <c r="C73" s="594">
        <v>100</v>
      </c>
      <c r="D73" s="469"/>
      <c r="E73" s="469"/>
      <c r="F73" s="469"/>
      <c r="G73" s="469"/>
      <c r="H73" s="469"/>
      <c r="I73" s="469"/>
      <c r="J73" s="469"/>
      <c r="K73" s="469"/>
      <c r="L73" s="469"/>
      <c r="M73" s="471"/>
      <c r="N73" s="2925"/>
      <c r="O73" s="2925"/>
      <c r="P73" s="2912"/>
      <c r="Q73" s="2912"/>
      <c r="R73" s="2833"/>
      <c r="S73" s="2833"/>
      <c r="T73" s="2833"/>
      <c r="U73" s="2833"/>
      <c r="V73" s="2833"/>
      <c r="W73" s="2833"/>
      <c r="X73" s="2833"/>
      <c r="Y73" s="2833"/>
      <c r="Z73" s="2833"/>
      <c r="AA73" s="2833"/>
      <c r="AB73" s="2833"/>
      <c r="AC73" s="2833"/>
    </row>
    <row r="74" spans="1:29">
      <c r="A74" s="484" t="s">
        <v>2168</v>
      </c>
      <c r="B74" s="485" t="s">
        <v>2134</v>
      </c>
      <c r="C74" s="3234" t="s">
        <v>3206</v>
      </c>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v>100</v>
      </c>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2137</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2138</v>
      </c>
      <c r="C78" s="504" t="str">
        <f>C79&amp;"（含）"&amp;"-"&amp;D79</f>
        <v>0（含）-1</v>
      </c>
      <c r="D78" s="504" t="str">
        <f t="shared" ref="D78:L78" si="21">D79&amp;"（含）"&amp;"-"&amp;E79</f>
        <v>1（含）-2</v>
      </c>
      <c r="E78" s="504" t="str">
        <f t="shared" si="21"/>
        <v>2（含）-3</v>
      </c>
      <c r="F78" s="504" t="str">
        <f t="shared" si="21"/>
        <v>3（含）-4</v>
      </c>
      <c r="G78" s="504" t="str">
        <f t="shared" si="21"/>
        <v>4（含）-</v>
      </c>
      <c r="H78" s="504" t="str">
        <f t="shared" si="21"/>
        <v>（含）-</v>
      </c>
      <c r="I78" s="504" t="str">
        <f t="shared" si="21"/>
        <v>（含）-</v>
      </c>
      <c r="J78" s="504" t="str">
        <f t="shared" si="21"/>
        <v>（含）-</v>
      </c>
      <c r="K78" s="504" t="str">
        <f t="shared" si="21"/>
        <v>（含）-</v>
      </c>
      <c r="L78" s="504" t="str">
        <f t="shared" si="21"/>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v>0</v>
      </c>
      <c r="D79" s="506">
        <v>1</v>
      </c>
      <c r="E79" s="506">
        <v>2</v>
      </c>
      <c r="F79" s="506">
        <v>3</v>
      </c>
      <c r="G79" s="506">
        <v>4</v>
      </c>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2">IF($B$46="单位面积地价",C80+$K11,C80-$K11)</f>
        <v>100</v>
      </c>
      <c r="E80" s="501">
        <f t="shared" si="22"/>
        <v>100</v>
      </c>
      <c r="F80" s="501">
        <f t="shared" si="22"/>
        <v>100</v>
      </c>
      <c r="G80" s="501">
        <f t="shared" si="22"/>
        <v>100</v>
      </c>
      <c r="H80" s="501">
        <f t="shared" si="22"/>
        <v>100</v>
      </c>
      <c r="I80" s="501">
        <f t="shared" si="22"/>
        <v>100</v>
      </c>
      <c r="J80" s="501">
        <f t="shared" si="22"/>
        <v>100</v>
      </c>
      <c r="K80" s="501">
        <f t="shared" si="22"/>
        <v>100</v>
      </c>
      <c r="L80" s="501">
        <f t="shared" si="22"/>
        <v>100</v>
      </c>
      <c r="M80" s="501">
        <f t="shared" si="22"/>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2139</v>
      </c>
      <c r="B87" s="485" t="s">
        <v>2176</v>
      </c>
      <c r="C87" s="530" t="s">
        <v>2177</v>
      </c>
      <c r="D87" s="530" t="s">
        <v>2178</v>
      </c>
      <c r="E87" s="530" t="s">
        <v>2179</v>
      </c>
      <c r="F87" s="530" t="s">
        <v>2180</v>
      </c>
      <c r="G87" s="530" t="s">
        <v>2181</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2362</v>
      </c>
      <c r="C89" s="535" t="s">
        <v>2177</v>
      </c>
      <c r="D89" s="535" t="s">
        <v>2178</v>
      </c>
      <c r="E89" s="535" t="s">
        <v>2179</v>
      </c>
      <c r="F89" s="535" t="s">
        <v>2180</v>
      </c>
      <c r="G89" s="535" t="s">
        <v>2181</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2277</v>
      </c>
      <c r="C91" s="535" t="s">
        <v>2177</v>
      </c>
      <c r="D91" s="535" t="s">
        <v>2178</v>
      </c>
      <c r="E91" s="535" t="s">
        <v>2179</v>
      </c>
      <c r="F91" s="535" t="s">
        <v>2180</v>
      </c>
      <c r="G91" s="535" t="s">
        <v>2181</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2182</v>
      </c>
      <c r="C93" s="535" t="s">
        <v>2177</v>
      </c>
      <c r="D93" s="535" t="s">
        <v>2178</v>
      </c>
      <c r="E93" s="535" t="s">
        <v>2179</v>
      </c>
      <c r="F93" s="535" t="s">
        <v>2180</v>
      </c>
      <c r="G93" s="535" t="s">
        <v>2181</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2363</v>
      </c>
      <c r="C95" s="535" t="s">
        <v>2177</v>
      </c>
      <c r="D95" s="535" t="s">
        <v>2178</v>
      </c>
      <c r="E95" s="535" t="s">
        <v>2179</v>
      </c>
      <c r="F95" s="535" t="s">
        <v>2180</v>
      </c>
      <c r="G95" s="535" t="s">
        <v>2181</v>
      </c>
      <c r="H95" s="535"/>
      <c r="I95" s="535"/>
      <c r="J95" s="535"/>
      <c r="K95" s="535"/>
      <c r="L95" s="653"/>
      <c r="M95" s="577"/>
      <c r="N95" s="2925"/>
      <c r="O95" s="2925"/>
      <c r="P95" s="2951"/>
      <c r="Q95" s="2912"/>
      <c r="R95" s="2833"/>
      <c r="S95" s="2833"/>
      <c r="T95" s="2833"/>
      <c r="U95" s="2833"/>
      <c r="V95" s="2833"/>
      <c r="W95" s="2833"/>
      <c r="X95" s="2833"/>
      <c r="Y95" s="2833"/>
      <c r="Z95" s="2833"/>
      <c r="AA95" s="2833"/>
      <c r="AB95" s="2833"/>
      <c r="AC95" s="2833"/>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3"/>
      <c r="S96" s="2833"/>
      <c r="T96" s="2833"/>
      <c r="U96" s="2833"/>
      <c r="V96" s="2833"/>
      <c r="W96" s="2833"/>
      <c r="X96" s="2833"/>
      <c r="Y96" s="2833"/>
      <c r="Z96" s="2833"/>
      <c r="AA96" s="2833"/>
      <c r="AB96" s="2833"/>
      <c r="AC96" s="2833"/>
    </row>
    <row r="97" spans="1:29" s="113" customFormat="1" ht="27.75" thickTop="1">
      <c r="A97" s="536"/>
      <c r="B97" s="495" t="s">
        <v>2364</v>
      </c>
      <c r="C97" s="530" t="s">
        <v>2177</v>
      </c>
      <c r="D97" s="530" t="s">
        <v>2178</v>
      </c>
      <c r="E97" s="530" t="s">
        <v>2179</v>
      </c>
      <c r="F97" s="530" t="s">
        <v>2180</v>
      </c>
      <c r="G97" s="530" t="s">
        <v>2181</v>
      </c>
      <c r="H97" s="535"/>
      <c r="I97" s="535"/>
      <c r="J97" s="535"/>
      <c r="K97" s="535"/>
      <c r="L97" s="535"/>
      <c r="M97" s="577"/>
      <c r="N97" s="2925"/>
      <c r="O97" s="2925"/>
      <c r="P97" s="2951"/>
      <c r="Q97" s="2912"/>
      <c r="R97" s="2833"/>
      <c r="S97" s="2833"/>
      <c r="T97" s="2833"/>
      <c r="U97" s="2833"/>
      <c r="V97" s="2833"/>
      <c r="W97" s="2833"/>
      <c r="X97" s="2833"/>
      <c r="Y97" s="2833"/>
      <c r="Z97" s="2833"/>
      <c r="AA97" s="2833"/>
      <c r="AB97" s="2833"/>
      <c r="AC97" s="2833"/>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3"/>
      <c r="S98" s="2833"/>
      <c r="T98" s="2833"/>
      <c r="U98" s="2833"/>
      <c r="V98" s="2833"/>
      <c r="W98" s="2833"/>
      <c r="X98" s="2833"/>
      <c r="Y98" s="2833"/>
      <c r="Z98" s="2833"/>
      <c r="AA98" s="2833"/>
      <c r="AB98" s="2833"/>
      <c r="AC98" s="2833"/>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4"/>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2271</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2330</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0"/>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2"/>
      <c r="E114" s="632"/>
      <c r="F114" s="632"/>
      <c r="G114" s="632"/>
      <c r="H114" s="632"/>
      <c r="I114" s="632"/>
      <c r="J114" s="632"/>
      <c r="K114" s="632"/>
      <c r="L114" s="632"/>
      <c r="M114" s="654"/>
      <c r="N114" s="2927"/>
      <c r="O114" s="2927"/>
      <c r="P114" s="2952"/>
      <c r="Q114" s="2919"/>
      <c r="R114" s="2920"/>
      <c r="S114" s="2920"/>
      <c r="T114" s="2920"/>
      <c r="U114" s="2920"/>
      <c r="V114" s="2920"/>
      <c r="W114" s="2920"/>
      <c r="X114" s="2920"/>
      <c r="Y114" s="2920"/>
      <c r="Z114" s="2920"/>
      <c r="AA114" s="2920"/>
      <c r="AB114" s="2920"/>
      <c r="AC114" s="2920"/>
    </row>
    <row r="115" spans="1:29" ht="28.5">
      <c r="A115" s="484" t="s">
        <v>2143</v>
      </c>
      <c r="B115" s="485" t="s">
        <v>2369</v>
      </c>
      <c r="C115" s="486" t="str">
        <f>C116&amp;"(含)"&amp;"-"&amp;D116</f>
        <v>0(含)-10000</v>
      </c>
      <c r="D115" s="486" t="str">
        <f t="shared" ref="D115:M115" si="26">D116&amp;"(含)"&amp;"-"&amp;E116</f>
        <v>10000(含)-20000</v>
      </c>
      <c r="E115" s="486" t="str">
        <f t="shared" si="26"/>
        <v>20000(含)-30000</v>
      </c>
      <c r="F115" s="486" t="str">
        <f t="shared" si="26"/>
        <v>30000(含)-40000</v>
      </c>
      <c r="G115" s="486" t="str">
        <f t="shared" si="26"/>
        <v>40000(含)-</v>
      </c>
      <c r="H115" s="486" t="str">
        <f t="shared" si="26"/>
        <v>(含)-</v>
      </c>
      <c r="I115" s="486" t="str">
        <f t="shared" si="26"/>
        <v>(含)-</v>
      </c>
      <c r="J115" s="486" t="str">
        <f t="shared" si="26"/>
        <v>(含)-</v>
      </c>
      <c r="K115" s="486" t="str">
        <f t="shared" si="26"/>
        <v>(含)-</v>
      </c>
      <c r="L115" s="486" t="str">
        <f t="shared" si="26"/>
        <v>(含)-</v>
      </c>
      <c r="M115" s="486" t="str">
        <f t="shared" si="26"/>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v>0</v>
      </c>
      <c r="D116" s="552">
        <v>10000</v>
      </c>
      <c r="E116" s="552">
        <v>20000</v>
      </c>
      <c r="F116" s="552">
        <v>30000</v>
      </c>
      <c r="G116" s="552">
        <v>40000</v>
      </c>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v>100</v>
      </c>
      <c r="D117" s="548">
        <v>101</v>
      </c>
      <c r="E117" s="548">
        <v>102</v>
      </c>
      <c r="F117" s="548">
        <v>103</v>
      </c>
      <c r="G117" s="548">
        <v>104</v>
      </c>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2370</v>
      </c>
      <c r="C118" s="3235" t="s">
        <v>3300</v>
      </c>
      <c r="D118" s="3235" t="s">
        <v>3301</v>
      </c>
      <c r="E118" s="3235" t="s">
        <v>3302</v>
      </c>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7">C119-$K39</f>
        <v>100</v>
      </c>
      <c r="E119" s="501">
        <f t="shared" si="27"/>
        <v>100</v>
      </c>
      <c r="F119" s="501">
        <f t="shared" si="27"/>
        <v>100</v>
      </c>
      <c r="G119" s="501">
        <f t="shared" si="27"/>
        <v>100</v>
      </c>
      <c r="H119" s="501">
        <f t="shared" si="27"/>
        <v>100</v>
      </c>
      <c r="I119" s="501">
        <f t="shared" si="27"/>
        <v>100</v>
      </c>
      <c r="J119" s="501">
        <f t="shared" si="27"/>
        <v>100</v>
      </c>
      <c r="K119" s="501">
        <f t="shared" si="27"/>
        <v>100</v>
      </c>
      <c r="L119" s="501">
        <f t="shared" si="27"/>
        <v>100</v>
      </c>
      <c r="M119" s="502">
        <f t="shared" si="27"/>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2371</v>
      </c>
      <c r="C120" s="3232" t="s">
        <v>3303</v>
      </c>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8">C121-$K40</f>
        <v>100</v>
      </c>
      <c r="E121" s="501">
        <f t="shared" si="28"/>
        <v>100</v>
      </c>
      <c r="F121" s="501">
        <f t="shared" si="28"/>
        <v>100</v>
      </c>
      <c r="G121" s="501">
        <f t="shared" si="28"/>
        <v>100</v>
      </c>
      <c r="H121" s="501">
        <f t="shared" si="28"/>
        <v>100</v>
      </c>
      <c r="I121" s="501">
        <f t="shared" si="28"/>
        <v>100</v>
      </c>
      <c r="J121" s="501">
        <f t="shared" si="28"/>
        <v>100</v>
      </c>
      <c r="K121" s="501">
        <f t="shared" si="28"/>
        <v>100</v>
      </c>
      <c r="L121" s="501">
        <f t="shared" si="28"/>
        <v>100</v>
      </c>
      <c r="M121" s="502">
        <f t="shared" si="28"/>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2372</v>
      </c>
      <c r="C122" s="3232" t="s">
        <v>3304</v>
      </c>
      <c r="D122" s="3232" t="s">
        <v>3234</v>
      </c>
      <c r="E122" s="3232" t="s">
        <v>3305</v>
      </c>
      <c r="F122" s="3232" t="s">
        <v>3306</v>
      </c>
      <c r="G122" s="3232" t="s">
        <v>3307</v>
      </c>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9">C123-$K41</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2">
        <f t="shared" si="29"/>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2373</v>
      </c>
      <c r="C124" s="3232" t="s">
        <v>3213</v>
      </c>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30">C125-$K42</f>
        <v>100</v>
      </c>
      <c r="E125" s="501">
        <f t="shared" si="30"/>
        <v>100</v>
      </c>
      <c r="F125" s="501">
        <f t="shared" si="30"/>
        <v>100</v>
      </c>
      <c r="G125" s="501">
        <f t="shared" si="30"/>
        <v>100</v>
      </c>
      <c r="H125" s="501">
        <f t="shared" si="30"/>
        <v>100</v>
      </c>
      <c r="I125" s="501">
        <f t="shared" si="30"/>
        <v>100</v>
      </c>
      <c r="J125" s="501">
        <f t="shared" si="30"/>
        <v>100</v>
      </c>
      <c r="K125" s="501">
        <f t="shared" si="30"/>
        <v>100</v>
      </c>
      <c r="L125" s="501">
        <f t="shared" si="30"/>
        <v>100</v>
      </c>
      <c r="M125" s="502">
        <f t="shared" si="30"/>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5"/>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4C28F-7C94-41A0-AA2C-CA2571301FE4}">
  <sheetPr>
    <outlinePr summaryBelow="0" summaryRight="0"/>
    <pageSetUpPr autoPageBreaks="0" fitToPage="1"/>
  </sheetPr>
  <dimension ref="A1:V65"/>
  <sheetViews>
    <sheetView workbookViewId="0">
      <pane ySplit="1" topLeftCell="A2" activePane="bottomLeft" state="frozen"/>
      <selection pane="bottomLeft" activeCell="S79" sqref="S79"/>
    </sheetView>
  </sheetViews>
  <sheetFormatPr defaultColWidth="8.875" defaultRowHeight="12.75"/>
  <cols>
    <col min="1" max="1" width="41" style="3242" customWidth="1"/>
    <col min="2" max="2" width="6.125" style="3242" customWidth="1"/>
    <col min="3" max="3" width="7.625" style="3242" customWidth="1"/>
    <col min="4" max="4" width="7.875" style="3242" customWidth="1"/>
    <col min="5" max="6" width="13.875" style="3242" customWidth="1"/>
    <col min="7" max="7" width="11.625" style="3242" customWidth="1"/>
    <col min="8" max="8" width="7.875" style="3242" hidden="1" customWidth="1"/>
    <col min="9" max="9" width="11.125" style="3242" hidden="1" customWidth="1"/>
    <col min="10" max="11" width="7.875" style="3242" hidden="1" customWidth="1"/>
    <col min="12" max="12" width="11.125" style="3242" hidden="1" customWidth="1"/>
    <col min="13" max="13" width="7.875" style="3242" hidden="1" customWidth="1"/>
    <col min="14" max="14" width="9" style="3242" customWidth="1"/>
    <col min="15" max="15" width="14.125" style="3242" customWidth="1"/>
    <col min="16" max="16" width="10.625" style="3242" customWidth="1"/>
    <col min="17" max="17" width="12" style="3242" customWidth="1"/>
    <col min="18" max="18" width="14.375" style="3242" customWidth="1"/>
    <col min="19" max="19" width="6.125" style="3242" customWidth="1"/>
    <col min="20" max="20" width="7.875" style="3242" customWidth="1"/>
    <col min="21" max="21" width="20.125" style="3242" customWidth="1"/>
    <col min="22" max="22" width="7.875" style="3242" customWidth="1"/>
    <col min="23" max="256" width="9" style="3242"/>
    <col min="257" max="257" width="41" style="3242" customWidth="1"/>
    <col min="258" max="258" width="6.125" style="3242" customWidth="1"/>
    <col min="259" max="259" width="11.625" style="3242" customWidth="1"/>
    <col min="260" max="260" width="7.875" style="3242" customWidth="1"/>
    <col min="261" max="262" width="13.875" style="3242" customWidth="1"/>
    <col min="263" max="263" width="11.625" style="3242" customWidth="1"/>
    <col min="264" max="264" width="7.875" style="3242" customWidth="1"/>
    <col min="265" max="265" width="11.125" style="3242" customWidth="1"/>
    <col min="266" max="267" width="7.875" style="3242" customWidth="1"/>
    <col min="268" max="268" width="11.125" style="3242" customWidth="1"/>
    <col min="269" max="269" width="7.875" style="3242" customWidth="1"/>
    <col min="270" max="270" width="9" style="3242"/>
    <col min="271" max="271" width="32.625" style="3242" customWidth="1"/>
    <col min="272" max="272" width="10.625" style="3242" customWidth="1"/>
    <col min="273" max="273" width="16" style="3242" customWidth="1"/>
    <col min="274" max="274" width="14.375" style="3242" customWidth="1"/>
    <col min="275" max="275" width="6.125" style="3242" customWidth="1"/>
    <col min="276" max="276" width="7.875" style="3242" customWidth="1"/>
    <col min="277" max="277" width="20.125" style="3242" customWidth="1"/>
    <col min="278" max="278" width="7.875" style="3242" customWidth="1"/>
    <col min="279" max="512" width="9" style="3242"/>
    <col min="513" max="513" width="41" style="3242" customWidth="1"/>
    <col min="514" max="514" width="6.125" style="3242" customWidth="1"/>
    <col min="515" max="515" width="11.625" style="3242" customWidth="1"/>
    <col min="516" max="516" width="7.875" style="3242" customWidth="1"/>
    <col min="517" max="518" width="13.875" style="3242" customWidth="1"/>
    <col min="519" max="519" width="11.625" style="3242" customWidth="1"/>
    <col min="520" max="520" width="7.875" style="3242" customWidth="1"/>
    <col min="521" max="521" width="11.125" style="3242" customWidth="1"/>
    <col min="522" max="523" width="7.875" style="3242" customWidth="1"/>
    <col min="524" max="524" width="11.125" style="3242" customWidth="1"/>
    <col min="525" max="525" width="7.875" style="3242" customWidth="1"/>
    <col min="526" max="526" width="9" style="3242"/>
    <col min="527" max="527" width="32.625" style="3242" customWidth="1"/>
    <col min="528" max="528" width="10.625" style="3242" customWidth="1"/>
    <col min="529" max="529" width="16" style="3242" customWidth="1"/>
    <col min="530" max="530" width="14.375" style="3242" customWidth="1"/>
    <col min="531" max="531" width="6.125" style="3242" customWidth="1"/>
    <col min="532" max="532" width="7.875" style="3242" customWidth="1"/>
    <col min="533" max="533" width="20.125" style="3242" customWidth="1"/>
    <col min="534" max="534" width="7.875" style="3242" customWidth="1"/>
    <col min="535" max="768" width="9" style="3242"/>
    <col min="769" max="769" width="41" style="3242" customWidth="1"/>
    <col min="770" max="770" width="6.125" style="3242" customWidth="1"/>
    <col min="771" max="771" width="11.625" style="3242" customWidth="1"/>
    <col min="772" max="772" width="7.875" style="3242" customWidth="1"/>
    <col min="773" max="774" width="13.875" style="3242" customWidth="1"/>
    <col min="775" max="775" width="11.625" style="3242" customWidth="1"/>
    <col min="776" max="776" width="7.875" style="3242" customWidth="1"/>
    <col min="777" max="777" width="11.125" style="3242" customWidth="1"/>
    <col min="778" max="779" width="7.875" style="3242" customWidth="1"/>
    <col min="780" max="780" width="11.125" style="3242" customWidth="1"/>
    <col min="781" max="781" width="7.875" style="3242" customWidth="1"/>
    <col min="782" max="782" width="9" style="3242"/>
    <col min="783" max="783" width="32.625" style="3242" customWidth="1"/>
    <col min="784" max="784" width="10.625" style="3242" customWidth="1"/>
    <col min="785" max="785" width="16" style="3242" customWidth="1"/>
    <col min="786" max="786" width="14.375" style="3242" customWidth="1"/>
    <col min="787" max="787" width="6.125" style="3242" customWidth="1"/>
    <col min="788" max="788" width="7.875" style="3242" customWidth="1"/>
    <col min="789" max="789" width="20.125" style="3242" customWidth="1"/>
    <col min="790" max="790" width="7.875" style="3242" customWidth="1"/>
    <col min="791" max="1024" width="9" style="3242"/>
    <col min="1025" max="1025" width="41" style="3242" customWidth="1"/>
    <col min="1026" max="1026" width="6.125" style="3242" customWidth="1"/>
    <col min="1027" max="1027" width="11.625" style="3242" customWidth="1"/>
    <col min="1028" max="1028" width="7.875" style="3242" customWidth="1"/>
    <col min="1029" max="1030" width="13.875" style="3242" customWidth="1"/>
    <col min="1031" max="1031" width="11.625" style="3242" customWidth="1"/>
    <col min="1032" max="1032" width="7.875" style="3242" customWidth="1"/>
    <col min="1033" max="1033" width="11.125" style="3242" customWidth="1"/>
    <col min="1034" max="1035" width="7.875" style="3242" customWidth="1"/>
    <col min="1036" max="1036" width="11.125" style="3242" customWidth="1"/>
    <col min="1037" max="1037" width="7.875" style="3242" customWidth="1"/>
    <col min="1038" max="1038" width="9" style="3242"/>
    <col min="1039" max="1039" width="32.625" style="3242" customWidth="1"/>
    <col min="1040" max="1040" width="10.625" style="3242" customWidth="1"/>
    <col min="1041" max="1041" width="16" style="3242" customWidth="1"/>
    <col min="1042" max="1042" width="14.375" style="3242" customWidth="1"/>
    <col min="1043" max="1043" width="6.125" style="3242" customWidth="1"/>
    <col min="1044" max="1044" width="7.875" style="3242" customWidth="1"/>
    <col min="1045" max="1045" width="20.125" style="3242" customWidth="1"/>
    <col min="1046" max="1046" width="7.875" style="3242" customWidth="1"/>
    <col min="1047" max="1280" width="9" style="3242"/>
    <col min="1281" max="1281" width="41" style="3242" customWidth="1"/>
    <col min="1282" max="1282" width="6.125" style="3242" customWidth="1"/>
    <col min="1283" max="1283" width="11.625" style="3242" customWidth="1"/>
    <col min="1284" max="1284" width="7.875" style="3242" customWidth="1"/>
    <col min="1285" max="1286" width="13.875" style="3242" customWidth="1"/>
    <col min="1287" max="1287" width="11.625" style="3242" customWidth="1"/>
    <col min="1288" max="1288" width="7.875" style="3242" customWidth="1"/>
    <col min="1289" max="1289" width="11.125" style="3242" customWidth="1"/>
    <col min="1290" max="1291" width="7.875" style="3242" customWidth="1"/>
    <col min="1292" max="1292" width="11.125" style="3242" customWidth="1"/>
    <col min="1293" max="1293" width="7.875" style="3242" customWidth="1"/>
    <col min="1294" max="1294" width="9" style="3242"/>
    <col min="1295" max="1295" width="32.625" style="3242" customWidth="1"/>
    <col min="1296" max="1296" width="10.625" style="3242" customWidth="1"/>
    <col min="1297" max="1297" width="16" style="3242" customWidth="1"/>
    <col min="1298" max="1298" width="14.375" style="3242" customWidth="1"/>
    <col min="1299" max="1299" width="6.125" style="3242" customWidth="1"/>
    <col min="1300" max="1300" width="7.875" style="3242" customWidth="1"/>
    <col min="1301" max="1301" width="20.125" style="3242" customWidth="1"/>
    <col min="1302" max="1302" width="7.875" style="3242" customWidth="1"/>
    <col min="1303" max="1536" width="9" style="3242"/>
    <col min="1537" max="1537" width="41" style="3242" customWidth="1"/>
    <col min="1538" max="1538" width="6.125" style="3242" customWidth="1"/>
    <col min="1539" max="1539" width="11.625" style="3242" customWidth="1"/>
    <col min="1540" max="1540" width="7.875" style="3242" customWidth="1"/>
    <col min="1541" max="1542" width="13.875" style="3242" customWidth="1"/>
    <col min="1543" max="1543" width="11.625" style="3242" customWidth="1"/>
    <col min="1544" max="1544" width="7.875" style="3242" customWidth="1"/>
    <col min="1545" max="1545" width="11.125" style="3242" customWidth="1"/>
    <col min="1546" max="1547" width="7.875" style="3242" customWidth="1"/>
    <col min="1548" max="1548" width="11.125" style="3242" customWidth="1"/>
    <col min="1549" max="1549" width="7.875" style="3242" customWidth="1"/>
    <col min="1550" max="1550" width="9" style="3242"/>
    <col min="1551" max="1551" width="32.625" style="3242" customWidth="1"/>
    <col min="1552" max="1552" width="10.625" style="3242" customWidth="1"/>
    <col min="1553" max="1553" width="16" style="3242" customWidth="1"/>
    <col min="1554" max="1554" width="14.375" style="3242" customWidth="1"/>
    <col min="1555" max="1555" width="6.125" style="3242" customWidth="1"/>
    <col min="1556" max="1556" width="7.875" style="3242" customWidth="1"/>
    <col min="1557" max="1557" width="20.125" style="3242" customWidth="1"/>
    <col min="1558" max="1558" width="7.875" style="3242" customWidth="1"/>
    <col min="1559" max="1792" width="9" style="3242"/>
    <col min="1793" max="1793" width="41" style="3242" customWidth="1"/>
    <col min="1794" max="1794" width="6.125" style="3242" customWidth="1"/>
    <col min="1795" max="1795" width="11.625" style="3242" customWidth="1"/>
    <col min="1796" max="1796" width="7.875" style="3242" customWidth="1"/>
    <col min="1797" max="1798" width="13.875" style="3242" customWidth="1"/>
    <col min="1799" max="1799" width="11.625" style="3242" customWidth="1"/>
    <col min="1800" max="1800" width="7.875" style="3242" customWidth="1"/>
    <col min="1801" max="1801" width="11.125" style="3242" customWidth="1"/>
    <col min="1802" max="1803" width="7.875" style="3242" customWidth="1"/>
    <col min="1804" max="1804" width="11.125" style="3242" customWidth="1"/>
    <col min="1805" max="1805" width="7.875" style="3242" customWidth="1"/>
    <col min="1806" max="1806" width="9" style="3242"/>
    <col min="1807" max="1807" width="32.625" style="3242" customWidth="1"/>
    <col min="1808" max="1808" width="10.625" style="3242" customWidth="1"/>
    <col min="1809" max="1809" width="16" style="3242" customWidth="1"/>
    <col min="1810" max="1810" width="14.375" style="3242" customWidth="1"/>
    <col min="1811" max="1811" width="6.125" style="3242" customWidth="1"/>
    <col min="1812" max="1812" width="7.875" style="3242" customWidth="1"/>
    <col min="1813" max="1813" width="20.125" style="3242" customWidth="1"/>
    <col min="1814" max="1814" width="7.875" style="3242" customWidth="1"/>
    <col min="1815" max="2048" width="9" style="3242"/>
    <col min="2049" max="2049" width="41" style="3242" customWidth="1"/>
    <col min="2050" max="2050" width="6.125" style="3242" customWidth="1"/>
    <col min="2051" max="2051" width="11.625" style="3242" customWidth="1"/>
    <col min="2052" max="2052" width="7.875" style="3242" customWidth="1"/>
    <col min="2053" max="2054" width="13.875" style="3242" customWidth="1"/>
    <col min="2055" max="2055" width="11.625" style="3242" customWidth="1"/>
    <col min="2056" max="2056" width="7.875" style="3242" customWidth="1"/>
    <col min="2057" max="2057" width="11.125" style="3242" customWidth="1"/>
    <col min="2058" max="2059" width="7.875" style="3242" customWidth="1"/>
    <col min="2060" max="2060" width="11.125" style="3242" customWidth="1"/>
    <col min="2061" max="2061" width="7.875" style="3242" customWidth="1"/>
    <col min="2062" max="2062" width="9" style="3242"/>
    <col min="2063" max="2063" width="32.625" style="3242" customWidth="1"/>
    <col min="2064" max="2064" width="10.625" style="3242" customWidth="1"/>
    <col min="2065" max="2065" width="16" style="3242" customWidth="1"/>
    <col min="2066" max="2066" width="14.375" style="3242" customWidth="1"/>
    <col min="2067" max="2067" width="6.125" style="3242" customWidth="1"/>
    <col min="2068" max="2068" width="7.875" style="3242" customWidth="1"/>
    <col min="2069" max="2069" width="20.125" style="3242" customWidth="1"/>
    <col min="2070" max="2070" width="7.875" style="3242" customWidth="1"/>
    <col min="2071" max="2304" width="9" style="3242"/>
    <col min="2305" max="2305" width="41" style="3242" customWidth="1"/>
    <col min="2306" max="2306" width="6.125" style="3242" customWidth="1"/>
    <col min="2307" max="2307" width="11.625" style="3242" customWidth="1"/>
    <col min="2308" max="2308" width="7.875" style="3242" customWidth="1"/>
    <col min="2309" max="2310" width="13.875" style="3242" customWidth="1"/>
    <col min="2311" max="2311" width="11.625" style="3242" customWidth="1"/>
    <col min="2312" max="2312" width="7.875" style="3242" customWidth="1"/>
    <col min="2313" max="2313" width="11.125" style="3242" customWidth="1"/>
    <col min="2314" max="2315" width="7.875" style="3242" customWidth="1"/>
    <col min="2316" max="2316" width="11.125" style="3242" customWidth="1"/>
    <col min="2317" max="2317" width="7.875" style="3242" customWidth="1"/>
    <col min="2318" max="2318" width="9" style="3242"/>
    <col min="2319" max="2319" width="32.625" style="3242" customWidth="1"/>
    <col min="2320" max="2320" width="10.625" style="3242" customWidth="1"/>
    <col min="2321" max="2321" width="16" style="3242" customWidth="1"/>
    <col min="2322" max="2322" width="14.375" style="3242" customWidth="1"/>
    <col min="2323" max="2323" width="6.125" style="3242" customWidth="1"/>
    <col min="2324" max="2324" width="7.875" style="3242" customWidth="1"/>
    <col min="2325" max="2325" width="20.125" style="3242" customWidth="1"/>
    <col min="2326" max="2326" width="7.875" style="3242" customWidth="1"/>
    <col min="2327" max="2560" width="9" style="3242"/>
    <col min="2561" max="2561" width="41" style="3242" customWidth="1"/>
    <col min="2562" max="2562" width="6.125" style="3242" customWidth="1"/>
    <col min="2563" max="2563" width="11.625" style="3242" customWidth="1"/>
    <col min="2564" max="2564" width="7.875" style="3242" customWidth="1"/>
    <col min="2565" max="2566" width="13.875" style="3242" customWidth="1"/>
    <col min="2567" max="2567" width="11.625" style="3242" customWidth="1"/>
    <col min="2568" max="2568" width="7.875" style="3242" customWidth="1"/>
    <col min="2569" max="2569" width="11.125" style="3242" customWidth="1"/>
    <col min="2570" max="2571" width="7.875" style="3242" customWidth="1"/>
    <col min="2572" max="2572" width="11.125" style="3242" customWidth="1"/>
    <col min="2573" max="2573" width="7.875" style="3242" customWidth="1"/>
    <col min="2574" max="2574" width="9" style="3242"/>
    <col min="2575" max="2575" width="32.625" style="3242" customWidth="1"/>
    <col min="2576" max="2576" width="10.625" style="3242" customWidth="1"/>
    <col min="2577" max="2577" width="16" style="3242" customWidth="1"/>
    <col min="2578" max="2578" width="14.375" style="3242" customWidth="1"/>
    <col min="2579" max="2579" width="6.125" style="3242" customWidth="1"/>
    <col min="2580" max="2580" width="7.875" style="3242" customWidth="1"/>
    <col min="2581" max="2581" width="20.125" style="3242" customWidth="1"/>
    <col min="2582" max="2582" width="7.875" style="3242" customWidth="1"/>
    <col min="2583" max="2816" width="9" style="3242"/>
    <col min="2817" max="2817" width="41" style="3242" customWidth="1"/>
    <col min="2818" max="2818" width="6.125" style="3242" customWidth="1"/>
    <col min="2819" max="2819" width="11.625" style="3242" customWidth="1"/>
    <col min="2820" max="2820" width="7.875" style="3242" customWidth="1"/>
    <col min="2821" max="2822" width="13.875" style="3242" customWidth="1"/>
    <col min="2823" max="2823" width="11.625" style="3242" customWidth="1"/>
    <col min="2824" max="2824" width="7.875" style="3242" customWidth="1"/>
    <col min="2825" max="2825" width="11.125" style="3242" customWidth="1"/>
    <col min="2826" max="2827" width="7.875" style="3242" customWidth="1"/>
    <col min="2828" max="2828" width="11.125" style="3242" customWidth="1"/>
    <col min="2829" max="2829" width="7.875" style="3242" customWidth="1"/>
    <col min="2830" max="2830" width="9" style="3242"/>
    <col min="2831" max="2831" width="32.625" style="3242" customWidth="1"/>
    <col min="2832" max="2832" width="10.625" style="3242" customWidth="1"/>
    <col min="2833" max="2833" width="16" style="3242" customWidth="1"/>
    <col min="2834" max="2834" width="14.375" style="3242" customWidth="1"/>
    <col min="2835" max="2835" width="6.125" style="3242" customWidth="1"/>
    <col min="2836" max="2836" width="7.875" style="3242" customWidth="1"/>
    <col min="2837" max="2837" width="20.125" style="3242" customWidth="1"/>
    <col min="2838" max="2838" width="7.875" style="3242" customWidth="1"/>
    <col min="2839" max="3072" width="9" style="3242"/>
    <col min="3073" max="3073" width="41" style="3242" customWidth="1"/>
    <col min="3074" max="3074" width="6.125" style="3242" customWidth="1"/>
    <col min="3075" max="3075" width="11.625" style="3242" customWidth="1"/>
    <col min="3076" max="3076" width="7.875" style="3242" customWidth="1"/>
    <col min="3077" max="3078" width="13.875" style="3242" customWidth="1"/>
    <col min="3079" max="3079" width="11.625" style="3242" customWidth="1"/>
    <col min="3080" max="3080" width="7.875" style="3242" customWidth="1"/>
    <col min="3081" max="3081" width="11.125" style="3242" customWidth="1"/>
    <col min="3082" max="3083" width="7.875" style="3242" customWidth="1"/>
    <col min="3084" max="3084" width="11.125" style="3242" customWidth="1"/>
    <col min="3085" max="3085" width="7.875" style="3242" customWidth="1"/>
    <col min="3086" max="3086" width="9" style="3242"/>
    <col min="3087" max="3087" width="32.625" style="3242" customWidth="1"/>
    <col min="3088" max="3088" width="10.625" style="3242" customWidth="1"/>
    <col min="3089" max="3089" width="16" style="3242" customWidth="1"/>
    <col min="3090" max="3090" width="14.375" style="3242" customWidth="1"/>
    <col min="3091" max="3091" width="6.125" style="3242" customWidth="1"/>
    <col min="3092" max="3092" width="7.875" style="3242" customWidth="1"/>
    <col min="3093" max="3093" width="20.125" style="3242" customWidth="1"/>
    <col min="3094" max="3094" width="7.875" style="3242" customWidth="1"/>
    <col min="3095" max="3328" width="9" style="3242"/>
    <col min="3329" max="3329" width="41" style="3242" customWidth="1"/>
    <col min="3330" max="3330" width="6.125" style="3242" customWidth="1"/>
    <col min="3331" max="3331" width="11.625" style="3242" customWidth="1"/>
    <col min="3332" max="3332" width="7.875" style="3242" customWidth="1"/>
    <col min="3333" max="3334" width="13.875" style="3242" customWidth="1"/>
    <col min="3335" max="3335" width="11.625" style="3242" customWidth="1"/>
    <col min="3336" max="3336" width="7.875" style="3242" customWidth="1"/>
    <col min="3337" max="3337" width="11.125" style="3242" customWidth="1"/>
    <col min="3338" max="3339" width="7.875" style="3242" customWidth="1"/>
    <col min="3340" max="3340" width="11.125" style="3242" customWidth="1"/>
    <col min="3341" max="3341" width="7.875" style="3242" customWidth="1"/>
    <col min="3342" max="3342" width="9" style="3242"/>
    <col min="3343" max="3343" width="32.625" style="3242" customWidth="1"/>
    <col min="3344" max="3344" width="10.625" style="3242" customWidth="1"/>
    <col min="3345" max="3345" width="16" style="3242" customWidth="1"/>
    <col min="3346" max="3346" width="14.375" style="3242" customWidth="1"/>
    <col min="3347" max="3347" width="6.125" style="3242" customWidth="1"/>
    <col min="3348" max="3348" width="7.875" style="3242" customWidth="1"/>
    <col min="3349" max="3349" width="20.125" style="3242" customWidth="1"/>
    <col min="3350" max="3350" width="7.875" style="3242" customWidth="1"/>
    <col min="3351" max="3584" width="9" style="3242"/>
    <col min="3585" max="3585" width="41" style="3242" customWidth="1"/>
    <col min="3586" max="3586" width="6.125" style="3242" customWidth="1"/>
    <col min="3587" max="3587" width="11.625" style="3242" customWidth="1"/>
    <col min="3588" max="3588" width="7.875" style="3242" customWidth="1"/>
    <col min="3589" max="3590" width="13.875" style="3242" customWidth="1"/>
    <col min="3591" max="3591" width="11.625" style="3242" customWidth="1"/>
    <col min="3592" max="3592" width="7.875" style="3242" customWidth="1"/>
    <col min="3593" max="3593" width="11.125" style="3242" customWidth="1"/>
    <col min="3594" max="3595" width="7.875" style="3242" customWidth="1"/>
    <col min="3596" max="3596" width="11.125" style="3242" customWidth="1"/>
    <col min="3597" max="3597" width="7.875" style="3242" customWidth="1"/>
    <col min="3598" max="3598" width="9" style="3242"/>
    <col min="3599" max="3599" width="32.625" style="3242" customWidth="1"/>
    <col min="3600" max="3600" width="10.625" style="3242" customWidth="1"/>
    <col min="3601" max="3601" width="16" style="3242" customWidth="1"/>
    <col min="3602" max="3602" width="14.375" style="3242" customWidth="1"/>
    <col min="3603" max="3603" width="6.125" style="3242" customWidth="1"/>
    <col min="3604" max="3604" width="7.875" style="3242" customWidth="1"/>
    <col min="3605" max="3605" width="20.125" style="3242" customWidth="1"/>
    <col min="3606" max="3606" width="7.875" style="3242" customWidth="1"/>
    <col min="3607" max="3840" width="9" style="3242"/>
    <col min="3841" max="3841" width="41" style="3242" customWidth="1"/>
    <col min="3842" max="3842" width="6.125" style="3242" customWidth="1"/>
    <col min="3843" max="3843" width="11.625" style="3242" customWidth="1"/>
    <col min="3844" max="3844" width="7.875" style="3242" customWidth="1"/>
    <col min="3845" max="3846" width="13.875" style="3242" customWidth="1"/>
    <col min="3847" max="3847" width="11.625" style="3242" customWidth="1"/>
    <col min="3848" max="3848" width="7.875" style="3242" customWidth="1"/>
    <col min="3849" max="3849" width="11.125" style="3242" customWidth="1"/>
    <col min="3850" max="3851" width="7.875" style="3242" customWidth="1"/>
    <col min="3852" max="3852" width="11.125" style="3242" customWidth="1"/>
    <col min="3853" max="3853" width="7.875" style="3242" customWidth="1"/>
    <col min="3854" max="3854" width="9" style="3242"/>
    <col min="3855" max="3855" width="32.625" style="3242" customWidth="1"/>
    <col min="3856" max="3856" width="10.625" style="3242" customWidth="1"/>
    <col min="3857" max="3857" width="16" style="3242" customWidth="1"/>
    <col min="3858" max="3858" width="14.375" style="3242" customWidth="1"/>
    <col min="3859" max="3859" width="6.125" style="3242" customWidth="1"/>
    <col min="3860" max="3860" width="7.875" style="3242" customWidth="1"/>
    <col min="3861" max="3861" width="20.125" style="3242" customWidth="1"/>
    <col min="3862" max="3862" width="7.875" style="3242" customWidth="1"/>
    <col min="3863" max="4096" width="9" style="3242"/>
    <col min="4097" max="4097" width="41" style="3242" customWidth="1"/>
    <col min="4098" max="4098" width="6.125" style="3242" customWidth="1"/>
    <col min="4099" max="4099" width="11.625" style="3242" customWidth="1"/>
    <col min="4100" max="4100" width="7.875" style="3242" customWidth="1"/>
    <col min="4101" max="4102" width="13.875" style="3242" customWidth="1"/>
    <col min="4103" max="4103" width="11.625" style="3242" customWidth="1"/>
    <col min="4104" max="4104" width="7.875" style="3242" customWidth="1"/>
    <col min="4105" max="4105" width="11.125" style="3242" customWidth="1"/>
    <col min="4106" max="4107" width="7.875" style="3242" customWidth="1"/>
    <col min="4108" max="4108" width="11.125" style="3242" customWidth="1"/>
    <col min="4109" max="4109" width="7.875" style="3242" customWidth="1"/>
    <col min="4110" max="4110" width="9" style="3242"/>
    <col min="4111" max="4111" width="32.625" style="3242" customWidth="1"/>
    <col min="4112" max="4112" width="10.625" style="3242" customWidth="1"/>
    <col min="4113" max="4113" width="16" style="3242" customWidth="1"/>
    <col min="4114" max="4114" width="14.375" style="3242" customWidth="1"/>
    <col min="4115" max="4115" width="6.125" style="3242" customWidth="1"/>
    <col min="4116" max="4116" width="7.875" style="3242" customWidth="1"/>
    <col min="4117" max="4117" width="20.125" style="3242" customWidth="1"/>
    <col min="4118" max="4118" width="7.875" style="3242" customWidth="1"/>
    <col min="4119" max="4352" width="9" style="3242"/>
    <col min="4353" max="4353" width="41" style="3242" customWidth="1"/>
    <col min="4354" max="4354" width="6.125" style="3242" customWidth="1"/>
    <col min="4355" max="4355" width="11.625" style="3242" customWidth="1"/>
    <col min="4356" max="4356" width="7.875" style="3242" customWidth="1"/>
    <col min="4357" max="4358" width="13.875" style="3242" customWidth="1"/>
    <col min="4359" max="4359" width="11.625" style="3242" customWidth="1"/>
    <col min="4360" max="4360" width="7.875" style="3242" customWidth="1"/>
    <col min="4361" max="4361" width="11.125" style="3242" customWidth="1"/>
    <col min="4362" max="4363" width="7.875" style="3242" customWidth="1"/>
    <col min="4364" max="4364" width="11.125" style="3242" customWidth="1"/>
    <col min="4365" max="4365" width="7.875" style="3242" customWidth="1"/>
    <col min="4366" max="4366" width="9" style="3242"/>
    <col min="4367" max="4367" width="32.625" style="3242" customWidth="1"/>
    <col min="4368" max="4368" width="10.625" style="3242" customWidth="1"/>
    <col min="4369" max="4369" width="16" style="3242" customWidth="1"/>
    <col min="4370" max="4370" width="14.375" style="3242" customWidth="1"/>
    <col min="4371" max="4371" width="6.125" style="3242" customWidth="1"/>
    <col min="4372" max="4372" width="7.875" style="3242" customWidth="1"/>
    <col min="4373" max="4373" width="20.125" style="3242" customWidth="1"/>
    <col min="4374" max="4374" width="7.875" style="3242" customWidth="1"/>
    <col min="4375" max="4608" width="9" style="3242"/>
    <col min="4609" max="4609" width="41" style="3242" customWidth="1"/>
    <col min="4610" max="4610" width="6.125" style="3242" customWidth="1"/>
    <col min="4611" max="4611" width="11.625" style="3242" customWidth="1"/>
    <col min="4612" max="4612" width="7.875" style="3242" customWidth="1"/>
    <col min="4613" max="4614" width="13.875" style="3242" customWidth="1"/>
    <col min="4615" max="4615" width="11.625" style="3242" customWidth="1"/>
    <col min="4616" max="4616" width="7.875" style="3242" customWidth="1"/>
    <col min="4617" max="4617" width="11.125" style="3242" customWidth="1"/>
    <col min="4618" max="4619" width="7.875" style="3242" customWidth="1"/>
    <col min="4620" max="4620" width="11.125" style="3242" customWidth="1"/>
    <col min="4621" max="4621" width="7.875" style="3242" customWidth="1"/>
    <col min="4622" max="4622" width="9" style="3242"/>
    <col min="4623" max="4623" width="32.625" style="3242" customWidth="1"/>
    <col min="4624" max="4624" width="10.625" style="3242" customWidth="1"/>
    <col min="4625" max="4625" width="16" style="3242" customWidth="1"/>
    <col min="4626" max="4626" width="14.375" style="3242" customWidth="1"/>
    <col min="4627" max="4627" width="6.125" style="3242" customWidth="1"/>
    <col min="4628" max="4628" width="7.875" style="3242" customWidth="1"/>
    <col min="4629" max="4629" width="20.125" style="3242" customWidth="1"/>
    <col min="4630" max="4630" width="7.875" style="3242" customWidth="1"/>
    <col min="4631" max="4864" width="9" style="3242"/>
    <col min="4865" max="4865" width="41" style="3242" customWidth="1"/>
    <col min="4866" max="4866" width="6.125" style="3242" customWidth="1"/>
    <col min="4867" max="4867" width="11.625" style="3242" customWidth="1"/>
    <col min="4868" max="4868" width="7.875" style="3242" customWidth="1"/>
    <col min="4869" max="4870" width="13.875" style="3242" customWidth="1"/>
    <col min="4871" max="4871" width="11.625" style="3242" customWidth="1"/>
    <col min="4872" max="4872" width="7.875" style="3242" customWidth="1"/>
    <col min="4873" max="4873" width="11.125" style="3242" customWidth="1"/>
    <col min="4874" max="4875" width="7.875" style="3242" customWidth="1"/>
    <col min="4876" max="4876" width="11.125" style="3242" customWidth="1"/>
    <col min="4877" max="4877" width="7.875" style="3242" customWidth="1"/>
    <col min="4878" max="4878" width="9" style="3242"/>
    <col min="4879" max="4879" width="32.625" style="3242" customWidth="1"/>
    <col min="4880" max="4880" width="10.625" style="3242" customWidth="1"/>
    <col min="4881" max="4881" width="16" style="3242" customWidth="1"/>
    <col min="4882" max="4882" width="14.375" style="3242" customWidth="1"/>
    <col min="4883" max="4883" width="6.125" style="3242" customWidth="1"/>
    <col min="4884" max="4884" width="7.875" style="3242" customWidth="1"/>
    <col min="4885" max="4885" width="20.125" style="3242" customWidth="1"/>
    <col min="4886" max="4886" width="7.875" style="3242" customWidth="1"/>
    <col min="4887" max="5120" width="9" style="3242"/>
    <col min="5121" max="5121" width="41" style="3242" customWidth="1"/>
    <col min="5122" max="5122" width="6.125" style="3242" customWidth="1"/>
    <col min="5123" max="5123" width="11.625" style="3242" customWidth="1"/>
    <col min="5124" max="5124" width="7.875" style="3242" customWidth="1"/>
    <col min="5125" max="5126" width="13.875" style="3242" customWidth="1"/>
    <col min="5127" max="5127" width="11.625" style="3242" customWidth="1"/>
    <col min="5128" max="5128" width="7.875" style="3242" customWidth="1"/>
    <col min="5129" max="5129" width="11.125" style="3242" customWidth="1"/>
    <col min="5130" max="5131" width="7.875" style="3242" customWidth="1"/>
    <col min="5132" max="5132" width="11.125" style="3242" customWidth="1"/>
    <col min="5133" max="5133" width="7.875" style="3242" customWidth="1"/>
    <col min="5134" max="5134" width="9" style="3242"/>
    <col min="5135" max="5135" width="32.625" style="3242" customWidth="1"/>
    <col min="5136" max="5136" width="10.625" style="3242" customWidth="1"/>
    <col min="5137" max="5137" width="16" style="3242" customWidth="1"/>
    <col min="5138" max="5138" width="14.375" style="3242" customWidth="1"/>
    <col min="5139" max="5139" width="6.125" style="3242" customWidth="1"/>
    <col min="5140" max="5140" width="7.875" style="3242" customWidth="1"/>
    <col min="5141" max="5141" width="20.125" style="3242" customWidth="1"/>
    <col min="5142" max="5142" width="7.875" style="3242" customWidth="1"/>
    <col min="5143" max="5376" width="9" style="3242"/>
    <col min="5377" max="5377" width="41" style="3242" customWidth="1"/>
    <col min="5378" max="5378" width="6.125" style="3242" customWidth="1"/>
    <col min="5379" max="5379" width="11.625" style="3242" customWidth="1"/>
    <col min="5380" max="5380" width="7.875" style="3242" customWidth="1"/>
    <col min="5381" max="5382" width="13.875" style="3242" customWidth="1"/>
    <col min="5383" max="5383" width="11.625" style="3242" customWidth="1"/>
    <col min="5384" max="5384" width="7.875" style="3242" customWidth="1"/>
    <col min="5385" max="5385" width="11.125" style="3242" customWidth="1"/>
    <col min="5386" max="5387" width="7.875" style="3242" customWidth="1"/>
    <col min="5388" max="5388" width="11.125" style="3242" customWidth="1"/>
    <col min="5389" max="5389" width="7.875" style="3242" customWidth="1"/>
    <col min="5390" max="5390" width="9" style="3242"/>
    <col min="5391" max="5391" width="32.625" style="3242" customWidth="1"/>
    <col min="5392" max="5392" width="10.625" style="3242" customWidth="1"/>
    <col min="5393" max="5393" width="16" style="3242" customWidth="1"/>
    <col min="5394" max="5394" width="14.375" style="3242" customWidth="1"/>
    <col min="5395" max="5395" width="6.125" style="3242" customWidth="1"/>
    <col min="5396" max="5396" width="7.875" style="3242" customWidth="1"/>
    <col min="5397" max="5397" width="20.125" style="3242" customWidth="1"/>
    <col min="5398" max="5398" width="7.875" style="3242" customWidth="1"/>
    <col min="5399" max="5632" width="9" style="3242"/>
    <col min="5633" max="5633" width="41" style="3242" customWidth="1"/>
    <col min="5634" max="5634" width="6.125" style="3242" customWidth="1"/>
    <col min="5635" max="5635" width="11.625" style="3242" customWidth="1"/>
    <col min="5636" max="5636" width="7.875" style="3242" customWidth="1"/>
    <col min="5637" max="5638" width="13.875" style="3242" customWidth="1"/>
    <col min="5639" max="5639" width="11.625" style="3242" customWidth="1"/>
    <col min="5640" max="5640" width="7.875" style="3242" customWidth="1"/>
    <col min="5641" max="5641" width="11.125" style="3242" customWidth="1"/>
    <col min="5642" max="5643" width="7.875" style="3242" customWidth="1"/>
    <col min="5644" max="5644" width="11.125" style="3242" customWidth="1"/>
    <col min="5645" max="5645" width="7.875" style="3242" customWidth="1"/>
    <col min="5646" max="5646" width="9" style="3242"/>
    <col min="5647" max="5647" width="32.625" style="3242" customWidth="1"/>
    <col min="5648" max="5648" width="10.625" style="3242" customWidth="1"/>
    <col min="5649" max="5649" width="16" style="3242" customWidth="1"/>
    <col min="5650" max="5650" width="14.375" style="3242" customWidth="1"/>
    <col min="5651" max="5651" width="6.125" style="3242" customWidth="1"/>
    <col min="5652" max="5652" width="7.875" style="3242" customWidth="1"/>
    <col min="5653" max="5653" width="20.125" style="3242" customWidth="1"/>
    <col min="5654" max="5654" width="7.875" style="3242" customWidth="1"/>
    <col min="5655" max="5888" width="9" style="3242"/>
    <col min="5889" max="5889" width="41" style="3242" customWidth="1"/>
    <col min="5890" max="5890" width="6.125" style="3242" customWidth="1"/>
    <col min="5891" max="5891" width="11.625" style="3242" customWidth="1"/>
    <col min="5892" max="5892" width="7.875" style="3242" customWidth="1"/>
    <col min="5893" max="5894" width="13.875" style="3242" customWidth="1"/>
    <col min="5895" max="5895" width="11.625" style="3242" customWidth="1"/>
    <col min="5896" max="5896" width="7.875" style="3242" customWidth="1"/>
    <col min="5897" max="5897" width="11.125" style="3242" customWidth="1"/>
    <col min="5898" max="5899" width="7.875" style="3242" customWidth="1"/>
    <col min="5900" max="5900" width="11.125" style="3242" customWidth="1"/>
    <col min="5901" max="5901" width="7.875" style="3242" customWidth="1"/>
    <col min="5902" max="5902" width="9" style="3242"/>
    <col min="5903" max="5903" width="32.625" style="3242" customWidth="1"/>
    <col min="5904" max="5904" width="10.625" style="3242" customWidth="1"/>
    <col min="5905" max="5905" width="16" style="3242" customWidth="1"/>
    <col min="5906" max="5906" width="14.375" style="3242" customWidth="1"/>
    <col min="5907" max="5907" width="6.125" style="3242" customWidth="1"/>
    <col min="5908" max="5908" width="7.875" style="3242" customWidth="1"/>
    <col min="5909" max="5909" width="20.125" style="3242" customWidth="1"/>
    <col min="5910" max="5910" width="7.875" style="3242" customWidth="1"/>
    <col min="5911" max="6144" width="9" style="3242"/>
    <col min="6145" max="6145" width="41" style="3242" customWidth="1"/>
    <col min="6146" max="6146" width="6.125" style="3242" customWidth="1"/>
    <col min="6147" max="6147" width="11.625" style="3242" customWidth="1"/>
    <col min="6148" max="6148" width="7.875" style="3242" customWidth="1"/>
    <col min="6149" max="6150" width="13.875" style="3242" customWidth="1"/>
    <col min="6151" max="6151" width="11.625" style="3242" customWidth="1"/>
    <col min="6152" max="6152" width="7.875" style="3242" customWidth="1"/>
    <col min="6153" max="6153" width="11.125" style="3242" customWidth="1"/>
    <col min="6154" max="6155" width="7.875" style="3242" customWidth="1"/>
    <col min="6156" max="6156" width="11.125" style="3242" customWidth="1"/>
    <col min="6157" max="6157" width="7.875" style="3242" customWidth="1"/>
    <col min="6158" max="6158" width="9" style="3242"/>
    <col min="6159" max="6159" width="32.625" style="3242" customWidth="1"/>
    <col min="6160" max="6160" width="10.625" style="3242" customWidth="1"/>
    <col min="6161" max="6161" width="16" style="3242" customWidth="1"/>
    <col min="6162" max="6162" width="14.375" style="3242" customWidth="1"/>
    <col min="6163" max="6163" width="6.125" style="3242" customWidth="1"/>
    <col min="6164" max="6164" width="7.875" style="3242" customWidth="1"/>
    <col min="6165" max="6165" width="20.125" style="3242" customWidth="1"/>
    <col min="6166" max="6166" width="7.875" style="3242" customWidth="1"/>
    <col min="6167" max="6400" width="9" style="3242"/>
    <col min="6401" max="6401" width="41" style="3242" customWidth="1"/>
    <col min="6402" max="6402" width="6.125" style="3242" customWidth="1"/>
    <col min="6403" max="6403" width="11.625" style="3242" customWidth="1"/>
    <col min="6404" max="6404" width="7.875" style="3242" customWidth="1"/>
    <col min="6405" max="6406" width="13.875" style="3242" customWidth="1"/>
    <col min="6407" max="6407" width="11.625" style="3242" customWidth="1"/>
    <col min="6408" max="6408" width="7.875" style="3242" customWidth="1"/>
    <col min="6409" max="6409" width="11.125" style="3242" customWidth="1"/>
    <col min="6410" max="6411" width="7.875" style="3242" customWidth="1"/>
    <col min="6412" max="6412" width="11.125" style="3242" customWidth="1"/>
    <col min="6413" max="6413" width="7.875" style="3242" customWidth="1"/>
    <col min="6414" max="6414" width="9" style="3242"/>
    <col min="6415" max="6415" width="32.625" style="3242" customWidth="1"/>
    <col min="6416" max="6416" width="10.625" style="3242" customWidth="1"/>
    <col min="6417" max="6417" width="16" style="3242" customWidth="1"/>
    <col min="6418" max="6418" width="14.375" style="3242" customWidth="1"/>
    <col min="6419" max="6419" width="6.125" style="3242" customWidth="1"/>
    <col min="6420" max="6420" width="7.875" style="3242" customWidth="1"/>
    <col min="6421" max="6421" width="20.125" style="3242" customWidth="1"/>
    <col min="6422" max="6422" width="7.875" style="3242" customWidth="1"/>
    <col min="6423" max="6656" width="9" style="3242"/>
    <col min="6657" max="6657" width="41" style="3242" customWidth="1"/>
    <col min="6658" max="6658" width="6.125" style="3242" customWidth="1"/>
    <col min="6659" max="6659" width="11.625" style="3242" customWidth="1"/>
    <col min="6660" max="6660" width="7.875" style="3242" customWidth="1"/>
    <col min="6661" max="6662" width="13.875" style="3242" customWidth="1"/>
    <col min="6663" max="6663" width="11.625" style="3242" customWidth="1"/>
    <col min="6664" max="6664" width="7.875" style="3242" customWidth="1"/>
    <col min="6665" max="6665" width="11.125" style="3242" customWidth="1"/>
    <col min="6666" max="6667" width="7.875" style="3242" customWidth="1"/>
    <col min="6668" max="6668" width="11.125" style="3242" customWidth="1"/>
    <col min="6669" max="6669" width="7.875" style="3242" customWidth="1"/>
    <col min="6670" max="6670" width="9" style="3242"/>
    <col min="6671" max="6671" width="32.625" style="3242" customWidth="1"/>
    <col min="6672" max="6672" width="10.625" style="3242" customWidth="1"/>
    <col min="6673" max="6673" width="16" style="3242" customWidth="1"/>
    <col min="6674" max="6674" width="14.375" style="3242" customWidth="1"/>
    <col min="6675" max="6675" width="6.125" style="3242" customWidth="1"/>
    <col min="6676" max="6676" width="7.875" style="3242" customWidth="1"/>
    <col min="6677" max="6677" width="20.125" style="3242" customWidth="1"/>
    <col min="6678" max="6678" width="7.875" style="3242" customWidth="1"/>
    <col min="6679" max="6912" width="9" style="3242"/>
    <col min="6913" max="6913" width="41" style="3242" customWidth="1"/>
    <col min="6914" max="6914" width="6.125" style="3242" customWidth="1"/>
    <col min="6915" max="6915" width="11.625" style="3242" customWidth="1"/>
    <col min="6916" max="6916" width="7.875" style="3242" customWidth="1"/>
    <col min="6917" max="6918" width="13.875" style="3242" customWidth="1"/>
    <col min="6919" max="6919" width="11.625" style="3242" customWidth="1"/>
    <col min="6920" max="6920" width="7.875" style="3242" customWidth="1"/>
    <col min="6921" max="6921" width="11.125" style="3242" customWidth="1"/>
    <col min="6922" max="6923" width="7.875" style="3242" customWidth="1"/>
    <col min="6924" max="6924" width="11.125" style="3242" customWidth="1"/>
    <col min="6925" max="6925" width="7.875" style="3242" customWidth="1"/>
    <col min="6926" max="6926" width="9" style="3242"/>
    <col min="6927" max="6927" width="32.625" style="3242" customWidth="1"/>
    <col min="6928" max="6928" width="10.625" style="3242" customWidth="1"/>
    <col min="6929" max="6929" width="16" style="3242" customWidth="1"/>
    <col min="6930" max="6930" width="14.375" style="3242" customWidth="1"/>
    <col min="6931" max="6931" width="6.125" style="3242" customWidth="1"/>
    <col min="6932" max="6932" width="7.875" style="3242" customWidth="1"/>
    <col min="6933" max="6933" width="20.125" style="3242" customWidth="1"/>
    <col min="6934" max="6934" width="7.875" style="3242" customWidth="1"/>
    <col min="6935" max="7168" width="9" style="3242"/>
    <col min="7169" max="7169" width="41" style="3242" customWidth="1"/>
    <col min="7170" max="7170" width="6.125" style="3242" customWidth="1"/>
    <col min="7171" max="7171" width="11.625" style="3242" customWidth="1"/>
    <col min="7172" max="7172" width="7.875" style="3242" customWidth="1"/>
    <col min="7173" max="7174" width="13.875" style="3242" customWidth="1"/>
    <col min="7175" max="7175" width="11.625" style="3242" customWidth="1"/>
    <col min="7176" max="7176" width="7.875" style="3242" customWidth="1"/>
    <col min="7177" max="7177" width="11.125" style="3242" customWidth="1"/>
    <col min="7178" max="7179" width="7.875" style="3242" customWidth="1"/>
    <col min="7180" max="7180" width="11.125" style="3242" customWidth="1"/>
    <col min="7181" max="7181" width="7.875" style="3242" customWidth="1"/>
    <col min="7182" max="7182" width="9" style="3242"/>
    <col min="7183" max="7183" width="32.625" style="3242" customWidth="1"/>
    <col min="7184" max="7184" width="10.625" style="3242" customWidth="1"/>
    <col min="7185" max="7185" width="16" style="3242" customWidth="1"/>
    <col min="7186" max="7186" width="14.375" style="3242" customWidth="1"/>
    <col min="7187" max="7187" width="6.125" style="3242" customWidth="1"/>
    <col min="7188" max="7188" width="7.875" style="3242" customWidth="1"/>
    <col min="7189" max="7189" width="20.125" style="3242" customWidth="1"/>
    <col min="7190" max="7190" width="7.875" style="3242" customWidth="1"/>
    <col min="7191" max="7424" width="9" style="3242"/>
    <col min="7425" max="7425" width="41" style="3242" customWidth="1"/>
    <col min="7426" max="7426" width="6.125" style="3242" customWidth="1"/>
    <col min="7427" max="7427" width="11.625" style="3242" customWidth="1"/>
    <col min="7428" max="7428" width="7.875" style="3242" customWidth="1"/>
    <col min="7429" max="7430" width="13.875" style="3242" customWidth="1"/>
    <col min="7431" max="7431" width="11.625" style="3242" customWidth="1"/>
    <col min="7432" max="7432" width="7.875" style="3242" customWidth="1"/>
    <col min="7433" max="7433" width="11.125" style="3242" customWidth="1"/>
    <col min="7434" max="7435" width="7.875" style="3242" customWidth="1"/>
    <col min="7436" max="7436" width="11.125" style="3242" customWidth="1"/>
    <col min="7437" max="7437" width="7.875" style="3242" customWidth="1"/>
    <col min="7438" max="7438" width="9" style="3242"/>
    <col min="7439" max="7439" width="32.625" style="3242" customWidth="1"/>
    <col min="7440" max="7440" width="10.625" style="3242" customWidth="1"/>
    <col min="7441" max="7441" width="16" style="3242" customWidth="1"/>
    <col min="7442" max="7442" width="14.375" style="3242" customWidth="1"/>
    <col min="7443" max="7443" width="6.125" style="3242" customWidth="1"/>
    <col min="7444" max="7444" width="7.875" style="3242" customWidth="1"/>
    <col min="7445" max="7445" width="20.125" style="3242" customWidth="1"/>
    <col min="7446" max="7446" width="7.875" style="3242" customWidth="1"/>
    <col min="7447" max="7680" width="9" style="3242"/>
    <col min="7681" max="7681" width="41" style="3242" customWidth="1"/>
    <col min="7682" max="7682" width="6.125" style="3242" customWidth="1"/>
    <col min="7683" max="7683" width="11.625" style="3242" customWidth="1"/>
    <col min="7684" max="7684" width="7.875" style="3242" customWidth="1"/>
    <col min="7685" max="7686" width="13.875" style="3242" customWidth="1"/>
    <col min="7687" max="7687" width="11.625" style="3242" customWidth="1"/>
    <col min="7688" max="7688" width="7.875" style="3242" customWidth="1"/>
    <col min="7689" max="7689" width="11.125" style="3242" customWidth="1"/>
    <col min="7690" max="7691" width="7.875" style="3242" customWidth="1"/>
    <col min="7692" max="7692" width="11.125" style="3242" customWidth="1"/>
    <col min="7693" max="7693" width="7.875" style="3242" customWidth="1"/>
    <col min="7694" max="7694" width="9" style="3242"/>
    <col min="7695" max="7695" width="32.625" style="3242" customWidth="1"/>
    <col min="7696" max="7696" width="10.625" style="3242" customWidth="1"/>
    <col min="7697" max="7697" width="16" style="3242" customWidth="1"/>
    <col min="7698" max="7698" width="14.375" style="3242" customWidth="1"/>
    <col min="7699" max="7699" width="6.125" style="3242" customWidth="1"/>
    <col min="7700" max="7700" width="7.875" style="3242" customWidth="1"/>
    <col min="7701" max="7701" width="20.125" style="3242" customWidth="1"/>
    <col min="7702" max="7702" width="7.875" style="3242" customWidth="1"/>
    <col min="7703" max="7936" width="9" style="3242"/>
    <col min="7937" max="7937" width="41" style="3242" customWidth="1"/>
    <col min="7938" max="7938" width="6.125" style="3242" customWidth="1"/>
    <col min="7939" max="7939" width="11.625" style="3242" customWidth="1"/>
    <col min="7940" max="7940" width="7.875" style="3242" customWidth="1"/>
    <col min="7941" max="7942" width="13.875" style="3242" customWidth="1"/>
    <col min="7943" max="7943" width="11.625" style="3242" customWidth="1"/>
    <col min="7944" max="7944" width="7.875" style="3242" customWidth="1"/>
    <col min="7945" max="7945" width="11.125" style="3242" customWidth="1"/>
    <col min="7946" max="7947" width="7.875" style="3242" customWidth="1"/>
    <col min="7948" max="7948" width="11.125" style="3242" customWidth="1"/>
    <col min="7949" max="7949" width="7.875" style="3242" customWidth="1"/>
    <col min="7950" max="7950" width="9" style="3242"/>
    <col min="7951" max="7951" width="32.625" style="3242" customWidth="1"/>
    <col min="7952" max="7952" width="10.625" style="3242" customWidth="1"/>
    <col min="7953" max="7953" width="16" style="3242" customWidth="1"/>
    <col min="7954" max="7954" width="14.375" style="3242" customWidth="1"/>
    <col min="7955" max="7955" width="6.125" style="3242" customWidth="1"/>
    <col min="7956" max="7956" width="7.875" style="3242" customWidth="1"/>
    <col min="7957" max="7957" width="20.125" style="3242" customWidth="1"/>
    <col min="7958" max="7958" width="7.875" style="3242" customWidth="1"/>
    <col min="7959" max="8192" width="9" style="3242"/>
    <col min="8193" max="8193" width="41" style="3242" customWidth="1"/>
    <col min="8194" max="8194" width="6.125" style="3242" customWidth="1"/>
    <col min="8195" max="8195" width="11.625" style="3242" customWidth="1"/>
    <col min="8196" max="8196" width="7.875" style="3242" customWidth="1"/>
    <col min="8197" max="8198" width="13.875" style="3242" customWidth="1"/>
    <col min="8199" max="8199" width="11.625" style="3242" customWidth="1"/>
    <col min="8200" max="8200" width="7.875" style="3242" customWidth="1"/>
    <col min="8201" max="8201" width="11.125" style="3242" customWidth="1"/>
    <col min="8202" max="8203" width="7.875" style="3242" customWidth="1"/>
    <col min="8204" max="8204" width="11.125" style="3242" customWidth="1"/>
    <col min="8205" max="8205" width="7.875" style="3242" customWidth="1"/>
    <col min="8206" max="8206" width="9" style="3242"/>
    <col min="8207" max="8207" width="32.625" style="3242" customWidth="1"/>
    <col min="8208" max="8208" width="10.625" style="3242" customWidth="1"/>
    <col min="8209" max="8209" width="16" style="3242" customWidth="1"/>
    <col min="8210" max="8210" width="14.375" style="3242" customWidth="1"/>
    <col min="8211" max="8211" width="6.125" style="3242" customWidth="1"/>
    <col min="8212" max="8212" width="7.875" style="3242" customWidth="1"/>
    <col min="8213" max="8213" width="20.125" style="3242" customWidth="1"/>
    <col min="8214" max="8214" width="7.875" style="3242" customWidth="1"/>
    <col min="8215" max="8448" width="9" style="3242"/>
    <col min="8449" max="8449" width="41" style="3242" customWidth="1"/>
    <col min="8450" max="8450" width="6.125" style="3242" customWidth="1"/>
    <col min="8451" max="8451" width="11.625" style="3242" customWidth="1"/>
    <col min="8452" max="8452" width="7.875" style="3242" customWidth="1"/>
    <col min="8453" max="8454" width="13.875" style="3242" customWidth="1"/>
    <col min="8455" max="8455" width="11.625" style="3242" customWidth="1"/>
    <col min="8456" max="8456" width="7.875" style="3242" customWidth="1"/>
    <col min="8457" max="8457" width="11.125" style="3242" customWidth="1"/>
    <col min="8458" max="8459" width="7.875" style="3242" customWidth="1"/>
    <col min="8460" max="8460" width="11.125" style="3242" customWidth="1"/>
    <col min="8461" max="8461" width="7.875" style="3242" customWidth="1"/>
    <col min="8462" max="8462" width="9" style="3242"/>
    <col min="8463" max="8463" width="32.625" style="3242" customWidth="1"/>
    <col min="8464" max="8464" width="10.625" style="3242" customWidth="1"/>
    <col min="8465" max="8465" width="16" style="3242" customWidth="1"/>
    <col min="8466" max="8466" width="14.375" style="3242" customWidth="1"/>
    <col min="8467" max="8467" width="6.125" style="3242" customWidth="1"/>
    <col min="8468" max="8468" width="7.875" style="3242" customWidth="1"/>
    <col min="8469" max="8469" width="20.125" style="3242" customWidth="1"/>
    <col min="8470" max="8470" width="7.875" style="3242" customWidth="1"/>
    <col min="8471" max="8704" width="9" style="3242"/>
    <col min="8705" max="8705" width="41" style="3242" customWidth="1"/>
    <col min="8706" max="8706" width="6.125" style="3242" customWidth="1"/>
    <col min="8707" max="8707" width="11.625" style="3242" customWidth="1"/>
    <col min="8708" max="8708" width="7.875" style="3242" customWidth="1"/>
    <col min="8709" max="8710" width="13.875" style="3242" customWidth="1"/>
    <col min="8711" max="8711" width="11.625" style="3242" customWidth="1"/>
    <col min="8712" max="8712" width="7.875" style="3242" customWidth="1"/>
    <col min="8713" max="8713" width="11.125" style="3242" customWidth="1"/>
    <col min="8714" max="8715" width="7.875" style="3242" customWidth="1"/>
    <col min="8716" max="8716" width="11.125" style="3242" customWidth="1"/>
    <col min="8717" max="8717" width="7.875" style="3242" customWidth="1"/>
    <col min="8718" max="8718" width="9" style="3242"/>
    <col min="8719" max="8719" width="32.625" style="3242" customWidth="1"/>
    <col min="8720" max="8720" width="10.625" style="3242" customWidth="1"/>
    <col min="8721" max="8721" width="16" style="3242" customWidth="1"/>
    <col min="8722" max="8722" width="14.375" style="3242" customWidth="1"/>
    <col min="8723" max="8723" width="6.125" style="3242" customWidth="1"/>
    <col min="8724" max="8724" width="7.875" style="3242" customWidth="1"/>
    <col min="8725" max="8725" width="20.125" style="3242" customWidth="1"/>
    <col min="8726" max="8726" width="7.875" style="3242" customWidth="1"/>
    <col min="8727" max="8960" width="9" style="3242"/>
    <col min="8961" max="8961" width="41" style="3242" customWidth="1"/>
    <col min="8962" max="8962" width="6.125" style="3242" customWidth="1"/>
    <col min="8963" max="8963" width="11.625" style="3242" customWidth="1"/>
    <col min="8964" max="8964" width="7.875" style="3242" customWidth="1"/>
    <col min="8965" max="8966" width="13.875" style="3242" customWidth="1"/>
    <col min="8967" max="8967" width="11.625" style="3242" customWidth="1"/>
    <col min="8968" max="8968" width="7.875" style="3242" customWidth="1"/>
    <col min="8969" max="8969" width="11.125" style="3242" customWidth="1"/>
    <col min="8970" max="8971" width="7.875" style="3242" customWidth="1"/>
    <col min="8972" max="8972" width="11.125" style="3242" customWidth="1"/>
    <col min="8973" max="8973" width="7.875" style="3242" customWidth="1"/>
    <col min="8974" max="8974" width="9" style="3242"/>
    <col min="8975" max="8975" width="32.625" style="3242" customWidth="1"/>
    <col min="8976" max="8976" width="10.625" style="3242" customWidth="1"/>
    <col min="8977" max="8977" width="16" style="3242" customWidth="1"/>
    <col min="8978" max="8978" width="14.375" style="3242" customWidth="1"/>
    <col min="8979" max="8979" width="6.125" style="3242" customWidth="1"/>
    <col min="8980" max="8980" width="7.875" style="3242" customWidth="1"/>
    <col min="8981" max="8981" width="20.125" style="3242" customWidth="1"/>
    <col min="8982" max="8982" width="7.875" style="3242" customWidth="1"/>
    <col min="8983" max="9216" width="9" style="3242"/>
    <col min="9217" max="9217" width="41" style="3242" customWidth="1"/>
    <col min="9218" max="9218" width="6.125" style="3242" customWidth="1"/>
    <col min="9219" max="9219" width="11.625" style="3242" customWidth="1"/>
    <col min="9220" max="9220" width="7.875" style="3242" customWidth="1"/>
    <col min="9221" max="9222" width="13.875" style="3242" customWidth="1"/>
    <col min="9223" max="9223" width="11.625" style="3242" customWidth="1"/>
    <col min="9224" max="9224" width="7.875" style="3242" customWidth="1"/>
    <col min="9225" max="9225" width="11.125" style="3242" customWidth="1"/>
    <col min="9226" max="9227" width="7.875" style="3242" customWidth="1"/>
    <col min="9228" max="9228" width="11.125" style="3242" customWidth="1"/>
    <col min="9229" max="9229" width="7.875" style="3242" customWidth="1"/>
    <col min="9230" max="9230" width="9" style="3242"/>
    <col min="9231" max="9231" width="32.625" style="3242" customWidth="1"/>
    <col min="9232" max="9232" width="10.625" style="3242" customWidth="1"/>
    <col min="9233" max="9233" width="16" style="3242" customWidth="1"/>
    <col min="9234" max="9234" width="14.375" style="3242" customWidth="1"/>
    <col min="9235" max="9235" width="6.125" style="3242" customWidth="1"/>
    <col min="9236" max="9236" width="7.875" style="3242" customWidth="1"/>
    <col min="9237" max="9237" width="20.125" style="3242" customWidth="1"/>
    <col min="9238" max="9238" width="7.875" style="3242" customWidth="1"/>
    <col min="9239" max="9472" width="9" style="3242"/>
    <col min="9473" max="9473" width="41" style="3242" customWidth="1"/>
    <col min="9474" max="9474" width="6.125" style="3242" customWidth="1"/>
    <col min="9475" max="9475" width="11.625" style="3242" customWidth="1"/>
    <col min="9476" max="9476" width="7.875" style="3242" customWidth="1"/>
    <col min="9477" max="9478" width="13.875" style="3242" customWidth="1"/>
    <col min="9479" max="9479" width="11.625" style="3242" customWidth="1"/>
    <col min="9480" max="9480" width="7.875" style="3242" customWidth="1"/>
    <col min="9481" max="9481" width="11.125" style="3242" customWidth="1"/>
    <col min="9482" max="9483" width="7.875" style="3242" customWidth="1"/>
    <col min="9484" max="9484" width="11.125" style="3242" customWidth="1"/>
    <col min="9485" max="9485" width="7.875" style="3242" customWidth="1"/>
    <col min="9486" max="9486" width="9" style="3242"/>
    <col min="9487" max="9487" width="32.625" style="3242" customWidth="1"/>
    <col min="9488" max="9488" width="10.625" style="3242" customWidth="1"/>
    <col min="9489" max="9489" width="16" style="3242" customWidth="1"/>
    <col min="9490" max="9490" width="14.375" style="3242" customWidth="1"/>
    <col min="9491" max="9491" width="6.125" style="3242" customWidth="1"/>
    <col min="9492" max="9492" width="7.875" style="3242" customWidth="1"/>
    <col min="9493" max="9493" width="20.125" style="3242" customWidth="1"/>
    <col min="9494" max="9494" width="7.875" style="3242" customWidth="1"/>
    <col min="9495" max="9728" width="9" style="3242"/>
    <col min="9729" max="9729" width="41" style="3242" customWidth="1"/>
    <col min="9730" max="9730" width="6.125" style="3242" customWidth="1"/>
    <col min="9731" max="9731" width="11.625" style="3242" customWidth="1"/>
    <col min="9732" max="9732" width="7.875" style="3242" customWidth="1"/>
    <col min="9733" max="9734" width="13.875" style="3242" customWidth="1"/>
    <col min="9735" max="9735" width="11.625" style="3242" customWidth="1"/>
    <col min="9736" max="9736" width="7.875" style="3242" customWidth="1"/>
    <col min="9737" max="9737" width="11.125" style="3242" customWidth="1"/>
    <col min="9738" max="9739" width="7.875" style="3242" customWidth="1"/>
    <col min="9740" max="9740" width="11.125" style="3242" customWidth="1"/>
    <col min="9741" max="9741" width="7.875" style="3242" customWidth="1"/>
    <col min="9742" max="9742" width="9" style="3242"/>
    <col min="9743" max="9743" width="32.625" style="3242" customWidth="1"/>
    <col min="9744" max="9744" width="10.625" style="3242" customWidth="1"/>
    <col min="9745" max="9745" width="16" style="3242" customWidth="1"/>
    <col min="9746" max="9746" width="14.375" style="3242" customWidth="1"/>
    <col min="9747" max="9747" width="6.125" style="3242" customWidth="1"/>
    <col min="9748" max="9748" width="7.875" style="3242" customWidth="1"/>
    <col min="9749" max="9749" width="20.125" style="3242" customWidth="1"/>
    <col min="9750" max="9750" width="7.875" style="3242" customWidth="1"/>
    <col min="9751" max="9984" width="9" style="3242"/>
    <col min="9985" max="9985" width="41" style="3242" customWidth="1"/>
    <col min="9986" max="9986" width="6.125" style="3242" customWidth="1"/>
    <col min="9987" max="9987" width="11.625" style="3242" customWidth="1"/>
    <col min="9988" max="9988" width="7.875" style="3242" customWidth="1"/>
    <col min="9989" max="9990" width="13.875" style="3242" customWidth="1"/>
    <col min="9991" max="9991" width="11.625" style="3242" customWidth="1"/>
    <col min="9992" max="9992" width="7.875" style="3242" customWidth="1"/>
    <col min="9993" max="9993" width="11.125" style="3242" customWidth="1"/>
    <col min="9994" max="9995" width="7.875" style="3242" customWidth="1"/>
    <col min="9996" max="9996" width="11.125" style="3242" customWidth="1"/>
    <col min="9997" max="9997" width="7.875" style="3242" customWidth="1"/>
    <col min="9998" max="9998" width="9" style="3242"/>
    <col min="9999" max="9999" width="32.625" style="3242" customWidth="1"/>
    <col min="10000" max="10000" width="10.625" style="3242" customWidth="1"/>
    <col min="10001" max="10001" width="16" style="3242" customWidth="1"/>
    <col min="10002" max="10002" width="14.375" style="3242" customWidth="1"/>
    <col min="10003" max="10003" width="6.125" style="3242" customWidth="1"/>
    <col min="10004" max="10004" width="7.875" style="3242" customWidth="1"/>
    <col min="10005" max="10005" width="20.125" style="3242" customWidth="1"/>
    <col min="10006" max="10006" width="7.875" style="3242" customWidth="1"/>
    <col min="10007" max="10240" width="9" style="3242"/>
    <col min="10241" max="10241" width="41" style="3242" customWidth="1"/>
    <col min="10242" max="10242" width="6.125" style="3242" customWidth="1"/>
    <col min="10243" max="10243" width="11.625" style="3242" customWidth="1"/>
    <col min="10244" max="10244" width="7.875" style="3242" customWidth="1"/>
    <col min="10245" max="10246" width="13.875" style="3242" customWidth="1"/>
    <col min="10247" max="10247" width="11.625" style="3242" customWidth="1"/>
    <col min="10248" max="10248" width="7.875" style="3242" customWidth="1"/>
    <col min="10249" max="10249" width="11.125" style="3242" customWidth="1"/>
    <col min="10250" max="10251" width="7.875" style="3242" customWidth="1"/>
    <col min="10252" max="10252" width="11.125" style="3242" customWidth="1"/>
    <col min="10253" max="10253" width="7.875" style="3242" customWidth="1"/>
    <col min="10254" max="10254" width="9" style="3242"/>
    <col min="10255" max="10255" width="32.625" style="3242" customWidth="1"/>
    <col min="10256" max="10256" width="10.625" style="3242" customWidth="1"/>
    <col min="10257" max="10257" width="16" style="3242" customWidth="1"/>
    <col min="10258" max="10258" width="14.375" style="3242" customWidth="1"/>
    <col min="10259" max="10259" width="6.125" style="3242" customWidth="1"/>
    <col min="10260" max="10260" width="7.875" style="3242" customWidth="1"/>
    <col min="10261" max="10261" width="20.125" style="3242" customWidth="1"/>
    <col min="10262" max="10262" width="7.875" style="3242" customWidth="1"/>
    <col min="10263" max="10496" width="9" style="3242"/>
    <col min="10497" max="10497" width="41" style="3242" customWidth="1"/>
    <col min="10498" max="10498" width="6.125" style="3242" customWidth="1"/>
    <col min="10499" max="10499" width="11.625" style="3242" customWidth="1"/>
    <col min="10500" max="10500" width="7.875" style="3242" customWidth="1"/>
    <col min="10501" max="10502" width="13.875" style="3242" customWidth="1"/>
    <col min="10503" max="10503" width="11.625" style="3242" customWidth="1"/>
    <col min="10504" max="10504" width="7.875" style="3242" customWidth="1"/>
    <col min="10505" max="10505" width="11.125" style="3242" customWidth="1"/>
    <col min="10506" max="10507" width="7.875" style="3242" customWidth="1"/>
    <col min="10508" max="10508" width="11.125" style="3242" customWidth="1"/>
    <col min="10509" max="10509" width="7.875" style="3242" customWidth="1"/>
    <col min="10510" max="10510" width="9" style="3242"/>
    <col min="10511" max="10511" width="32.625" style="3242" customWidth="1"/>
    <col min="10512" max="10512" width="10.625" style="3242" customWidth="1"/>
    <col min="10513" max="10513" width="16" style="3242" customWidth="1"/>
    <col min="10514" max="10514" width="14.375" style="3242" customWidth="1"/>
    <col min="10515" max="10515" width="6.125" style="3242" customWidth="1"/>
    <col min="10516" max="10516" width="7.875" style="3242" customWidth="1"/>
    <col min="10517" max="10517" width="20.125" style="3242" customWidth="1"/>
    <col min="10518" max="10518" width="7.875" style="3242" customWidth="1"/>
    <col min="10519" max="10752" width="9" style="3242"/>
    <col min="10753" max="10753" width="41" style="3242" customWidth="1"/>
    <col min="10754" max="10754" width="6.125" style="3242" customWidth="1"/>
    <col min="10755" max="10755" width="11.625" style="3242" customWidth="1"/>
    <col min="10756" max="10756" width="7.875" style="3242" customWidth="1"/>
    <col min="10757" max="10758" width="13.875" style="3242" customWidth="1"/>
    <col min="10759" max="10759" width="11.625" style="3242" customWidth="1"/>
    <col min="10760" max="10760" width="7.875" style="3242" customWidth="1"/>
    <col min="10761" max="10761" width="11.125" style="3242" customWidth="1"/>
    <col min="10762" max="10763" width="7.875" style="3242" customWidth="1"/>
    <col min="10764" max="10764" width="11.125" style="3242" customWidth="1"/>
    <col min="10765" max="10765" width="7.875" style="3242" customWidth="1"/>
    <col min="10766" max="10766" width="9" style="3242"/>
    <col min="10767" max="10767" width="32.625" style="3242" customWidth="1"/>
    <col min="10768" max="10768" width="10.625" style="3242" customWidth="1"/>
    <col min="10769" max="10769" width="16" style="3242" customWidth="1"/>
    <col min="10770" max="10770" width="14.375" style="3242" customWidth="1"/>
    <col min="10771" max="10771" width="6.125" style="3242" customWidth="1"/>
    <col min="10772" max="10772" width="7.875" style="3242" customWidth="1"/>
    <col min="10773" max="10773" width="20.125" style="3242" customWidth="1"/>
    <col min="10774" max="10774" width="7.875" style="3242" customWidth="1"/>
    <col min="10775" max="11008" width="9" style="3242"/>
    <col min="11009" max="11009" width="41" style="3242" customWidth="1"/>
    <col min="11010" max="11010" width="6.125" style="3242" customWidth="1"/>
    <col min="11011" max="11011" width="11.625" style="3242" customWidth="1"/>
    <col min="11012" max="11012" width="7.875" style="3242" customWidth="1"/>
    <col min="11013" max="11014" width="13.875" style="3242" customWidth="1"/>
    <col min="11015" max="11015" width="11.625" style="3242" customWidth="1"/>
    <col min="11016" max="11016" width="7.875" style="3242" customWidth="1"/>
    <col min="11017" max="11017" width="11.125" style="3242" customWidth="1"/>
    <col min="11018" max="11019" width="7.875" style="3242" customWidth="1"/>
    <col min="11020" max="11020" width="11.125" style="3242" customWidth="1"/>
    <col min="11021" max="11021" width="7.875" style="3242" customWidth="1"/>
    <col min="11022" max="11022" width="9" style="3242"/>
    <col min="11023" max="11023" width="32.625" style="3242" customWidth="1"/>
    <col min="11024" max="11024" width="10.625" style="3242" customWidth="1"/>
    <col min="11025" max="11025" width="16" style="3242" customWidth="1"/>
    <col min="11026" max="11026" width="14.375" style="3242" customWidth="1"/>
    <col min="11027" max="11027" width="6.125" style="3242" customWidth="1"/>
    <col min="11028" max="11028" width="7.875" style="3242" customWidth="1"/>
    <col min="11029" max="11029" width="20.125" style="3242" customWidth="1"/>
    <col min="11030" max="11030" width="7.875" style="3242" customWidth="1"/>
    <col min="11031" max="11264" width="9" style="3242"/>
    <col min="11265" max="11265" width="41" style="3242" customWidth="1"/>
    <col min="11266" max="11266" width="6.125" style="3242" customWidth="1"/>
    <col min="11267" max="11267" width="11.625" style="3242" customWidth="1"/>
    <col min="11268" max="11268" width="7.875" style="3242" customWidth="1"/>
    <col min="11269" max="11270" width="13.875" style="3242" customWidth="1"/>
    <col min="11271" max="11271" width="11.625" style="3242" customWidth="1"/>
    <col min="11272" max="11272" width="7.875" style="3242" customWidth="1"/>
    <col min="11273" max="11273" width="11.125" style="3242" customWidth="1"/>
    <col min="11274" max="11275" width="7.875" style="3242" customWidth="1"/>
    <col min="11276" max="11276" width="11.125" style="3242" customWidth="1"/>
    <col min="11277" max="11277" width="7.875" style="3242" customWidth="1"/>
    <col min="11278" max="11278" width="9" style="3242"/>
    <col min="11279" max="11279" width="32.625" style="3242" customWidth="1"/>
    <col min="11280" max="11280" width="10.625" style="3242" customWidth="1"/>
    <col min="11281" max="11281" width="16" style="3242" customWidth="1"/>
    <col min="11282" max="11282" width="14.375" style="3242" customWidth="1"/>
    <col min="11283" max="11283" width="6.125" style="3242" customWidth="1"/>
    <col min="11284" max="11284" width="7.875" style="3242" customWidth="1"/>
    <col min="11285" max="11285" width="20.125" style="3242" customWidth="1"/>
    <col min="11286" max="11286" width="7.875" style="3242" customWidth="1"/>
    <col min="11287" max="11520" width="9" style="3242"/>
    <col min="11521" max="11521" width="41" style="3242" customWidth="1"/>
    <col min="11522" max="11522" width="6.125" style="3242" customWidth="1"/>
    <col min="11523" max="11523" width="11.625" style="3242" customWidth="1"/>
    <col min="11524" max="11524" width="7.875" style="3242" customWidth="1"/>
    <col min="11525" max="11526" width="13.875" style="3242" customWidth="1"/>
    <col min="11527" max="11527" width="11.625" style="3242" customWidth="1"/>
    <col min="11528" max="11528" width="7.875" style="3242" customWidth="1"/>
    <col min="11529" max="11529" width="11.125" style="3242" customWidth="1"/>
    <col min="11530" max="11531" width="7.875" style="3242" customWidth="1"/>
    <col min="11532" max="11532" width="11.125" style="3242" customWidth="1"/>
    <col min="11533" max="11533" width="7.875" style="3242" customWidth="1"/>
    <col min="11534" max="11534" width="9" style="3242"/>
    <col min="11535" max="11535" width="32.625" style="3242" customWidth="1"/>
    <col min="11536" max="11536" width="10.625" style="3242" customWidth="1"/>
    <col min="11537" max="11537" width="16" style="3242" customWidth="1"/>
    <col min="11538" max="11538" width="14.375" style="3242" customWidth="1"/>
    <col min="11539" max="11539" width="6.125" style="3242" customWidth="1"/>
    <col min="11540" max="11540" width="7.875" style="3242" customWidth="1"/>
    <col min="11541" max="11541" width="20.125" style="3242" customWidth="1"/>
    <col min="11542" max="11542" width="7.875" style="3242" customWidth="1"/>
    <col min="11543" max="11776" width="9" style="3242"/>
    <col min="11777" max="11777" width="41" style="3242" customWidth="1"/>
    <col min="11778" max="11778" width="6.125" style="3242" customWidth="1"/>
    <col min="11779" max="11779" width="11.625" style="3242" customWidth="1"/>
    <col min="11780" max="11780" width="7.875" style="3242" customWidth="1"/>
    <col min="11781" max="11782" width="13.875" style="3242" customWidth="1"/>
    <col min="11783" max="11783" width="11.625" style="3242" customWidth="1"/>
    <col min="11784" max="11784" width="7.875" style="3242" customWidth="1"/>
    <col min="11785" max="11785" width="11.125" style="3242" customWidth="1"/>
    <col min="11786" max="11787" width="7.875" style="3242" customWidth="1"/>
    <col min="11788" max="11788" width="11.125" style="3242" customWidth="1"/>
    <col min="11789" max="11789" width="7.875" style="3242" customWidth="1"/>
    <col min="11790" max="11790" width="9" style="3242"/>
    <col min="11791" max="11791" width="32.625" style="3242" customWidth="1"/>
    <col min="11792" max="11792" width="10.625" style="3242" customWidth="1"/>
    <col min="11793" max="11793" width="16" style="3242" customWidth="1"/>
    <col min="11794" max="11794" width="14.375" style="3242" customWidth="1"/>
    <col min="11795" max="11795" width="6.125" style="3242" customWidth="1"/>
    <col min="11796" max="11796" width="7.875" style="3242" customWidth="1"/>
    <col min="11797" max="11797" width="20.125" style="3242" customWidth="1"/>
    <col min="11798" max="11798" width="7.875" style="3242" customWidth="1"/>
    <col min="11799" max="12032" width="9" style="3242"/>
    <col min="12033" max="12033" width="41" style="3242" customWidth="1"/>
    <col min="12034" max="12034" width="6.125" style="3242" customWidth="1"/>
    <col min="12035" max="12035" width="11.625" style="3242" customWidth="1"/>
    <col min="12036" max="12036" width="7.875" style="3242" customWidth="1"/>
    <col min="12037" max="12038" width="13.875" style="3242" customWidth="1"/>
    <col min="12039" max="12039" width="11.625" style="3242" customWidth="1"/>
    <col min="12040" max="12040" width="7.875" style="3242" customWidth="1"/>
    <col min="12041" max="12041" width="11.125" style="3242" customWidth="1"/>
    <col min="12042" max="12043" width="7.875" style="3242" customWidth="1"/>
    <col min="12044" max="12044" width="11.125" style="3242" customWidth="1"/>
    <col min="12045" max="12045" width="7.875" style="3242" customWidth="1"/>
    <col min="12046" max="12046" width="9" style="3242"/>
    <col min="12047" max="12047" width="32.625" style="3242" customWidth="1"/>
    <col min="12048" max="12048" width="10.625" style="3242" customWidth="1"/>
    <col min="12049" max="12049" width="16" style="3242" customWidth="1"/>
    <col min="12050" max="12050" width="14.375" style="3242" customWidth="1"/>
    <col min="12051" max="12051" width="6.125" style="3242" customWidth="1"/>
    <col min="12052" max="12052" width="7.875" style="3242" customWidth="1"/>
    <col min="12053" max="12053" width="20.125" style="3242" customWidth="1"/>
    <col min="12054" max="12054" width="7.875" style="3242" customWidth="1"/>
    <col min="12055" max="12288" width="9" style="3242"/>
    <col min="12289" max="12289" width="41" style="3242" customWidth="1"/>
    <col min="12290" max="12290" width="6.125" style="3242" customWidth="1"/>
    <col min="12291" max="12291" width="11.625" style="3242" customWidth="1"/>
    <col min="12292" max="12292" width="7.875" style="3242" customWidth="1"/>
    <col min="12293" max="12294" width="13.875" style="3242" customWidth="1"/>
    <col min="12295" max="12295" width="11.625" style="3242" customWidth="1"/>
    <col min="12296" max="12296" width="7.875" style="3242" customWidth="1"/>
    <col min="12297" max="12297" width="11.125" style="3242" customWidth="1"/>
    <col min="12298" max="12299" width="7.875" style="3242" customWidth="1"/>
    <col min="12300" max="12300" width="11.125" style="3242" customWidth="1"/>
    <col min="12301" max="12301" width="7.875" style="3242" customWidth="1"/>
    <col min="12302" max="12302" width="9" style="3242"/>
    <col min="12303" max="12303" width="32.625" style="3242" customWidth="1"/>
    <col min="12304" max="12304" width="10.625" style="3242" customWidth="1"/>
    <col min="12305" max="12305" width="16" style="3242" customWidth="1"/>
    <col min="12306" max="12306" width="14.375" style="3242" customWidth="1"/>
    <col min="12307" max="12307" width="6.125" style="3242" customWidth="1"/>
    <col min="12308" max="12308" width="7.875" style="3242" customWidth="1"/>
    <col min="12309" max="12309" width="20.125" style="3242" customWidth="1"/>
    <col min="12310" max="12310" width="7.875" style="3242" customWidth="1"/>
    <col min="12311" max="12544" width="9" style="3242"/>
    <col min="12545" max="12545" width="41" style="3242" customWidth="1"/>
    <col min="12546" max="12546" width="6.125" style="3242" customWidth="1"/>
    <col min="12547" max="12547" width="11.625" style="3242" customWidth="1"/>
    <col min="12548" max="12548" width="7.875" style="3242" customWidth="1"/>
    <col min="12549" max="12550" width="13.875" style="3242" customWidth="1"/>
    <col min="12551" max="12551" width="11.625" style="3242" customWidth="1"/>
    <col min="12552" max="12552" width="7.875" style="3242" customWidth="1"/>
    <col min="12553" max="12553" width="11.125" style="3242" customWidth="1"/>
    <col min="12554" max="12555" width="7.875" style="3242" customWidth="1"/>
    <col min="12556" max="12556" width="11.125" style="3242" customWidth="1"/>
    <col min="12557" max="12557" width="7.875" style="3242" customWidth="1"/>
    <col min="12558" max="12558" width="9" style="3242"/>
    <col min="12559" max="12559" width="32.625" style="3242" customWidth="1"/>
    <col min="12560" max="12560" width="10.625" style="3242" customWidth="1"/>
    <col min="12561" max="12561" width="16" style="3242" customWidth="1"/>
    <col min="12562" max="12562" width="14.375" style="3242" customWidth="1"/>
    <col min="12563" max="12563" width="6.125" style="3242" customWidth="1"/>
    <col min="12564" max="12564" width="7.875" style="3242" customWidth="1"/>
    <col min="12565" max="12565" width="20.125" style="3242" customWidth="1"/>
    <col min="12566" max="12566" width="7.875" style="3242" customWidth="1"/>
    <col min="12567" max="12800" width="9" style="3242"/>
    <col min="12801" max="12801" width="41" style="3242" customWidth="1"/>
    <col min="12802" max="12802" width="6.125" style="3242" customWidth="1"/>
    <col min="12803" max="12803" width="11.625" style="3242" customWidth="1"/>
    <col min="12804" max="12804" width="7.875" style="3242" customWidth="1"/>
    <col min="12805" max="12806" width="13.875" style="3242" customWidth="1"/>
    <col min="12807" max="12807" width="11.625" style="3242" customWidth="1"/>
    <col min="12808" max="12808" width="7.875" style="3242" customWidth="1"/>
    <col min="12809" max="12809" width="11.125" style="3242" customWidth="1"/>
    <col min="12810" max="12811" width="7.875" style="3242" customWidth="1"/>
    <col min="12812" max="12812" width="11.125" style="3242" customWidth="1"/>
    <col min="12813" max="12813" width="7.875" style="3242" customWidth="1"/>
    <col min="12814" max="12814" width="9" style="3242"/>
    <col min="12815" max="12815" width="32.625" style="3242" customWidth="1"/>
    <col min="12816" max="12816" width="10.625" style="3242" customWidth="1"/>
    <col min="12817" max="12817" width="16" style="3242" customWidth="1"/>
    <col min="12818" max="12818" width="14.375" style="3242" customWidth="1"/>
    <col min="12819" max="12819" width="6.125" style="3242" customWidth="1"/>
    <col min="12820" max="12820" width="7.875" style="3242" customWidth="1"/>
    <col min="12821" max="12821" width="20.125" style="3242" customWidth="1"/>
    <col min="12822" max="12822" width="7.875" style="3242" customWidth="1"/>
    <col min="12823" max="13056" width="9" style="3242"/>
    <col min="13057" max="13057" width="41" style="3242" customWidth="1"/>
    <col min="13058" max="13058" width="6.125" style="3242" customWidth="1"/>
    <col min="13059" max="13059" width="11.625" style="3242" customWidth="1"/>
    <col min="13060" max="13060" width="7.875" style="3242" customWidth="1"/>
    <col min="13061" max="13062" width="13.875" style="3242" customWidth="1"/>
    <col min="13063" max="13063" width="11.625" style="3242" customWidth="1"/>
    <col min="13064" max="13064" width="7.875" style="3242" customWidth="1"/>
    <col min="13065" max="13065" width="11.125" style="3242" customWidth="1"/>
    <col min="13066" max="13067" width="7.875" style="3242" customWidth="1"/>
    <col min="13068" max="13068" width="11.125" style="3242" customWidth="1"/>
    <col min="13069" max="13069" width="7.875" style="3242" customWidth="1"/>
    <col min="13070" max="13070" width="9" style="3242"/>
    <col min="13071" max="13071" width="32.625" style="3242" customWidth="1"/>
    <col min="13072" max="13072" width="10.625" style="3242" customWidth="1"/>
    <col min="13073" max="13073" width="16" style="3242" customWidth="1"/>
    <col min="13074" max="13074" width="14.375" style="3242" customWidth="1"/>
    <col min="13075" max="13075" width="6.125" style="3242" customWidth="1"/>
    <col min="13076" max="13076" width="7.875" style="3242" customWidth="1"/>
    <col min="13077" max="13077" width="20.125" style="3242" customWidth="1"/>
    <col min="13078" max="13078" width="7.875" style="3242" customWidth="1"/>
    <col min="13079" max="13312" width="9" style="3242"/>
    <col min="13313" max="13313" width="41" style="3242" customWidth="1"/>
    <col min="13314" max="13314" width="6.125" style="3242" customWidth="1"/>
    <col min="13315" max="13315" width="11.625" style="3242" customWidth="1"/>
    <col min="13316" max="13316" width="7.875" style="3242" customWidth="1"/>
    <col min="13317" max="13318" width="13.875" style="3242" customWidth="1"/>
    <col min="13319" max="13319" width="11.625" style="3242" customWidth="1"/>
    <col min="13320" max="13320" width="7.875" style="3242" customWidth="1"/>
    <col min="13321" max="13321" width="11.125" style="3242" customWidth="1"/>
    <col min="13322" max="13323" width="7.875" style="3242" customWidth="1"/>
    <col min="13324" max="13324" width="11.125" style="3242" customWidth="1"/>
    <col min="13325" max="13325" width="7.875" style="3242" customWidth="1"/>
    <col min="13326" max="13326" width="9" style="3242"/>
    <col min="13327" max="13327" width="32.625" style="3242" customWidth="1"/>
    <col min="13328" max="13328" width="10.625" style="3242" customWidth="1"/>
    <col min="13329" max="13329" width="16" style="3242" customWidth="1"/>
    <col min="13330" max="13330" width="14.375" style="3242" customWidth="1"/>
    <col min="13331" max="13331" width="6.125" style="3242" customWidth="1"/>
    <col min="13332" max="13332" width="7.875" style="3242" customWidth="1"/>
    <col min="13333" max="13333" width="20.125" style="3242" customWidth="1"/>
    <col min="13334" max="13334" width="7.875" style="3242" customWidth="1"/>
    <col min="13335" max="13568" width="9" style="3242"/>
    <col min="13569" max="13569" width="41" style="3242" customWidth="1"/>
    <col min="13570" max="13570" width="6.125" style="3242" customWidth="1"/>
    <col min="13571" max="13571" width="11.625" style="3242" customWidth="1"/>
    <col min="13572" max="13572" width="7.875" style="3242" customWidth="1"/>
    <col min="13573" max="13574" width="13.875" style="3242" customWidth="1"/>
    <col min="13575" max="13575" width="11.625" style="3242" customWidth="1"/>
    <col min="13576" max="13576" width="7.875" style="3242" customWidth="1"/>
    <col min="13577" max="13577" width="11.125" style="3242" customWidth="1"/>
    <col min="13578" max="13579" width="7.875" style="3242" customWidth="1"/>
    <col min="13580" max="13580" width="11.125" style="3242" customWidth="1"/>
    <col min="13581" max="13581" width="7.875" style="3242" customWidth="1"/>
    <col min="13582" max="13582" width="9" style="3242"/>
    <col min="13583" max="13583" width="32.625" style="3242" customWidth="1"/>
    <col min="13584" max="13584" width="10.625" style="3242" customWidth="1"/>
    <col min="13585" max="13585" width="16" style="3242" customWidth="1"/>
    <col min="13586" max="13586" width="14.375" style="3242" customWidth="1"/>
    <col min="13587" max="13587" width="6.125" style="3242" customWidth="1"/>
    <col min="13588" max="13588" width="7.875" style="3242" customWidth="1"/>
    <col min="13589" max="13589" width="20.125" style="3242" customWidth="1"/>
    <col min="13590" max="13590" width="7.875" style="3242" customWidth="1"/>
    <col min="13591" max="13824" width="9" style="3242"/>
    <col min="13825" max="13825" width="41" style="3242" customWidth="1"/>
    <col min="13826" max="13826" width="6.125" style="3242" customWidth="1"/>
    <col min="13827" max="13827" width="11.625" style="3242" customWidth="1"/>
    <col min="13828" max="13828" width="7.875" style="3242" customWidth="1"/>
    <col min="13829" max="13830" width="13.875" style="3242" customWidth="1"/>
    <col min="13831" max="13831" width="11.625" style="3242" customWidth="1"/>
    <col min="13832" max="13832" width="7.875" style="3242" customWidth="1"/>
    <col min="13833" max="13833" width="11.125" style="3242" customWidth="1"/>
    <col min="13834" max="13835" width="7.875" style="3242" customWidth="1"/>
    <col min="13836" max="13836" width="11.125" style="3242" customWidth="1"/>
    <col min="13837" max="13837" width="7.875" style="3242" customWidth="1"/>
    <col min="13838" max="13838" width="9" style="3242"/>
    <col min="13839" max="13839" width="32.625" style="3242" customWidth="1"/>
    <col min="13840" max="13840" width="10.625" style="3242" customWidth="1"/>
    <col min="13841" max="13841" width="16" style="3242" customWidth="1"/>
    <col min="13842" max="13842" width="14.375" style="3242" customWidth="1"/>
    <col min="13843" max="13843" width="6.125" style="3242" customWidth="1"/>
    <col min="13844" max="13844" width="7.875" style="3242" customWidth="1"/>
    <col min="13845" max="13845" width="20.125" style="3242" customWidth="1"/>
    <col min="13846" max="13846" width="7.875" style="3242" customWidth="1"/>
    <col min="13847" max="14080" width="9" style="3242"/>
    <col min="14081" max="14081" width="41" style="3242" customWidth="1"/>
    <col min="14082" max="14082" width="6.125" style="3242" customWidth="1"/>
    <col min="14083" max="14083" width="11.625" style="3242" customWidth="1"/>
    <col min="14084" max="14084" width="7.875" style="3242" customWidth="1"/>
    <col min="14085" max="14086" width="13.875" style="3242" customWidth="1"/>
    <col min="14087" max="14087" width="11.625" style="3242" customWidth="1"/>
    <col min="14088" max="14088" width="7.875" style="3242" customWidth="1"/>
    <col min="14089" max="14089" width="11.125" style="3242" customWidth="1"/>
    <col min="14090" max="14091" width="7.875" style="3242" customWidth="1"/>
    <col min="14092" max="14092" width="11.125" style="3242" customWidth="1"/>
    <col min="14093" max="14093" width="7.875" style="3242" customWidth="1"/>
    <col min="14094" max="14094" width="9" style="3242"/>
    <col min="14095" max="14095" width="32.625" style="3242" customWidth="1"/>
    <col min="14096" max="14096" width="10.625" style="3242" customWidth="1"/>
    <col min="14097" max="14097" width="16" style="3242" customWidth="1"/>
    <col min="14098" max="14098" width="14.375" style="3242" customWidth="1"/>
    <col min="14099" max="14099" width="6.125" style="3242" customWidth="1"/>
    <col min="14100" max="14100" width="7.875" style="3242" customWidth="1"/>
    <col min="14101" max="14101" width="20.125" style="3242" customWidth="1"/>
    <col min="14102" max="14102" width="7.875" style="3242" customWidth="1"/>
    <col min="14103" max="14336" width="9" style="3242"/>
    <col min="14337" max="14337" width="41" style="3242" customWidth="1"/>
    <col min="14338" max="14338" width="6.125" style="3242" customWidth="1"/>
    <col min="14339" max="14339" width="11.625" style="3242" customWidth="1"/>
    <col min="14340" max="14340" width="7.875" style="3242" customWidth="1"/>
    <col min="14341" max="14342" width="13.875" style="3242" customWidth="1"/>
    <col min="14343" max="14343" width="11.625" style="3242" customWidth="1"/>
    <col min="14344" max="14344" width="7.875" style="3242" customWidth="1"/>
    <col min="14345" max="14345" width="11.125" style="3242" customWidth="1"/>
    <col min="14346" max="14347" width="7.875" style="3242" customWidth="1"/>
    <col min="14348" max="14348" width="11.125" style="3242" customWidth="1"/>
    <col min="14349" max="14349" width="7.875" style="3242" customWidth="1"/>
    <col min="14350" max="14350" width="9" style="3242"/>
    <col min="14351" max="14351" width="32.625" style="3242" customWidth="1"/>
    <col min="14352" max="14352" width="10.625" style="3242" customWidth="1"/>
    <col min="14353" max="14353" width="16" style="3242" customWidth="1"/>
    <col min="14354" max="14354" width="14.375" style="3242" customWidth="1"/>
    <col min="14355" max="14355" width="6.125" style="3242" customWidth="1"/>
    <col min="14356" max="14356" width="7.875" style="3242" customWidth="1"/>
    <col min="14357" max="14357" width="20.125" style="3242" customWidth="1"/>
    <col min="14358" max="14358" width="7.875" style="3242" customWidth="1"/>
    <col min="14359" max="14592" width="9" style="3242"/>
    <col min="14593" max="14593" width="41" style="3242" customWidth="1"/>
    <col min="14594" max="14594" width="6.125" style="3242" customWidth="1"/>
    <col min="14595" max="14595" width="11.625" style="3242" customWidth="1"/>
    <col min="14596" max="14596" width="7.875" style="3242" customWidth="1"/>
    <col min="14597" max="14598" width="13.875" style="3242" customWidth="1"/>
    <col min="14599" max="14599" width="11.625" style="3242" customWidth="1"/>
    <col min="14600" max="14600" width="7.875" style="3242" customWidth="1"/>
    <col min="14601" max="14601" width="11.125" style="3242" customWidth="1"/>
    <col min="14602" max="14603" width="7.875" style="3242" customWidth="1"/>
    <col min="14604" max="14604" width="11.125" style="3242" customWidth="1"/>
    <col min="14605" max="14605" width="7.875" style="3242" customWidth="1"/>
    <col min="14606" max="14606" width="9" style="3242"/>
    <col min="14607" max="14607" width="32.625" style="3242" customWidth="1"/>
    <col min="14608" max="14608" width="10.625" style="3242" customWidth="1"/>
    <col min="14609" max="14609" width="16" style="3242" customWidth="1"/>
    <col min="14610" max="14610" width="14.375" style="3242" customWidth="1"/>
    <col min="14611" max="14611" width="6.125" style="3242" customWidth="1"/>
    <col min="14612" max="14612" width="7.875" style="3242" customWidth="1"/>
    <col min="14613" max="14613" width="20.125" style="3242" customWidth="1"/>
    <col min="14614" max="14614" width="7.875" style="3242" customWidth="1"/>
    <col min="14615" max="14848" width="9" style="3242"/>
    <col min="14849" max="14849" width="41" style="3242" customWidth="1"/>
    <col min="14850" max="14850" width="6.125" style="3242" customWidth="1"/>
    <col min="14851" max="14851" width="11.625" style="3242" customWidth="1"/>
    <col min="14852" max="14852" width="7.875" style="3242" customWidth="1"/>
    <col min="14853" max="14854" width="13.875" style="3242" customWidth="1"/>
    <col min="14855" max="14855" width="11.625" style="3242" customWidth="1"/>
    <col min="14856" max="14856" width="7.875" style="3242" customWidth="1"/>
    <col min="14857" max="14857" width="11.125" style="3242" customWidth="1"/>
    <col min="14858" max="14859" width="7.875" style="3242" customWidth="1"/>
    <col min="14860" max="14860" width="11.125" style="3242" customWidth="1"/>
    <col min="14861" max="14861" width="7.875" style="3242" customWidth="1"/>
    <col min="14862" max="14862" width="9" style="3242"/>
    <col min="14863" max="14863" width="32.625" style="3242" customWidth="1"/>
    <col min="14864" max="14864" width="10.625" style="3242" customWidth="1"/>
    <col min="14865" max="14865" width="16" style="3242" customWidth="1"/>
    <col min="14866" max="14866" width="14.375" style="3242" customWidth="1"/>
    <col min="14867" max="14867" width="6.125" style="3242" customWidth="1"/>
    <col min="14868" max="14868" width="7.875" style="3242" customWidth="1"/>
    <col min="14869" max="14869" width="20.125" style="3242" customWidth="1"/>
    <col min="14870" max="14870" width="7.875" style="3242" customWidth="1"/>
    <col min="14871" max="15104" width="9" style="3242"/>
    <col min="15105" max="15105" width="41" style="3242" customWidth="1"/>
    <col min="15106" max="15106" width="6.125" style="3242" customWidth="1"/>
    <col min="15107" max="15107" width="11.625" style="3242" customWidth="1"/>
    <col min="15108" max="15108" width="7.875" style="3242" customWidth="1"/>
    <col min="15109" max="15110" width="13.875" style="3242" customWidth="1"/>
    <col min="15111" max="15111" width="11.625" style="3242" customWidth="1"/>
    <col min="15112" max="15112" width="7.875" style="3242" customWidth="1"/>
    <col min="15113" max="15113" width="11.125" style="3242" customWidth="1"/>
    <col min="15114" max="15115" width="7.875" style="3242" customWidth="1"/>
    <col min="15116" max="15116" width="11.125" style="3242" customWidth="1"/>
    <col min="15117" max="15117" width="7.875" style="3242" customWidth="1"/>
    <col min="15118" max="15118" width="9" style="3242"/>
    <col min="15119" max="15119" width="32.625" style="3242" customWidth="1"/>
    <col min="15120" max="15120" width="10.625" style="3242" customWidth="1"/>
    <col min="15121" max="15121" width="16" style="3242" customWidth="1"/>
    <col min="15122" max="15122" width="14.375" style="3242" customWidth="1"/>
    <col min="15123" max="15123" width="6.125" style="3242" customWidth="1"/>
    <col min="15124" max="15124" width="7.875" style="3242" customWidth="1"/>
    <col min="15125" max="15125" width="20.125" style="3242" customWidth="1"/>
    <col min="15126" max="15126" width="7.875" style="3242" customWidth="1"/>
    <col min="15127" max="15360" width="9" style="3242"/>
    <col min="15361" max="15361" width="41" style="3242" customWidth="1"/>
    <col min="15362" max="15362" width="6.125" style="3242" customWidth="1"/>
    <col min="15363" max="15363" width="11.625" style="3242" customWidth="1"/>
    <col min="15364" max="15364" width="7.875" style="3242" customWidth="1"/>
    <col min="15365" max="15366" width="13.875" style="3242" customWidth="1"/>
    <col min="15367" max="15367" width="11.625" style="3242" customWidth="1"/>
    <col min="15368" max="15368" width="7.875" style="3242" customWidth="1"/>
    <col min="15369" max="15369" width="11.125" style="3242" customWidth="1"/>
    <col min="15370" max="15371" width="7.875" style="3242" customWidth="1"/>
    <col min="15372" max="15372" width="11.125" style="3242" customWidth="1"/>
    <col min="15373" max="15373" width="7.875" style="3242" customWidth="1"/>
    <col min="15374" max="15374" width="9" style="3242"/>
    <col min="15375" max="15375" width="32.625" style="3242" customWidth="1"/>
    <col min="15376" max="15376" width="10.625" style="3242" customWidth="1"/>
    <col min="15377" max="15377" width="16" style="3242" customWidth="1"/>
    <col min="15378" max="15378" width="14.375" style="3242" customWidth="1"/>
    <col min="15379" max="15379" width="6.125" style="3242" customWidth="1"/>
    <col min="15380" max="15380" width="7.875" style="3242" customWidth="1"/>
    <col min="15381" max="15381" width="20.125" style="3242" customWidth="1"/>
    <col min="15382" max="15382" width="7.875" style="3242" customWidth="1"/>
    <col min="15383" max="15616" width="9" style="3242"/>
    <col min="15617" max="15617" width="41" style="3242" customWidth="1"/>
    <col min="15618" max="15618" width="6.125" style="3242" customWidth="1"/>
    <col min="15619" max="15619" width="11.625" style="3242" customWidth="1"/>
    <col min="15620" max="15620" width="7.875" style="3242" customWidth="1"/>
    <col min="15621" max="15622" width="13.875" style="3242" customWidth="1"/>
    <col min="15623" max="15623" width="11.625" style="3242" customWidth="1"/>
    <col min="15624" max="15624" width="7.875" style="3242" customWidth="1"/>
    <col min="15625" max="15625" width="11.125" style="3242" customWidth="1"/>
    <col min="15626" max="15627" width="7.875" style="3242" customWidth="1"/>
    <col min="15628" max="15628" width="11.125" style="3242" customWidth="1"/>
    <col min="15629" max="15629" width="7.875" style="3242" customWidth="1"/>
    <col min="15630" max="15630" width="9" style="3242"/>
    <col min="15631" max="15631" width="32.625" style="3242" customWidth="1"/>
    <col min="15632" max="15632" width="10.625" style="3242" customWidth="1"/>
    <col min="15633" max="15633" width="16" style="3242" customWidth="1"/>
    <col min="15634" max="15634" width="14.375" style="3242" customWidth="1"/>
    <col min="15635" max="15635" width="6.125" style="3242" customWidth="1"/>
    <col min="15636" max="15636" width="7.875" style="3242" customWidth="1"/>
    <col min="15637" max="15637" width="20.125" style="3242" customWidth="1"/>
    <col min="15638" max="15638" width="7.875" style="3242" customWidth="1"/>
    <col min="15639" max="15872" width="9" style="3242"/>
    <col min="15873" max="15873" width="41" style="3242" customWidth="1"/>
    <col min="15874" max="15874" width="6.125" style="3242" customWidth="1"/>
    <col min="15875" max="15875" width="11.625" style="3242" customWidth="1"/>
    <col min="15876" max="15876" width="7.875" style="3242" customWidth="1"/>
    <col min="15877" max="15878" width="13.875" style="3242" customWidth="1"/>
    <col min="15879" max="15879" width="11.625" style="3242" customWidth="1"/>
    <col min="15880" max="15880" width="7.875" style="3242" customWidth="1"/>
    <col min="15881" max="15881" width="11.125" style="3242" customWidth="1"/>
    <col min="15882" max="15883" width="7.875" style="3242" customWidth="1"/>
    <col min="15884" max="15884" width="11.125" style="3242" customWidth="1"/>
    <col min="15885" max="15885" width="7.875" style="3242" customWidth="1"/>
    <col min="15886" max="15886" width="9" style="3242"/>
    <col min="15887" max="15887" width="32.625" style="3242" customWidth="1"/>
    <col min="15888" max="15888" width="10.625" style="3242" customWidth="1"/>
    <col min="15889" max="15889" width="16" style="3242" customWidth="1"/>
    <col min="15890" max="15890" width="14.375" style="3242" customWidth="1"/>
    <col min="15891" max="15891" width="6.125" style="3242" customWidth="1"/>
    <col min="15892" max="15892" width="7.875" style="3242" customWidth="1"/>
    <col min="15893" max="15893" width="20.125" style="3242" customWidth="1"/>
    <col min="15894" max="15894" width="7.875" style="3242" customWidth="1"/>
    <col min="15895" max="16128" width="9" style="3242"/>
    <col min="16129" max="16129" width="41" style="3242" customWidth="1"/>
    <col min="16130" max="16130" width="6.125" style="3242" customWidth="1"/>
    <col min="16131" max="16131" width="11.625" style="3242" customWidth="1"/>
    <col min="16132" max="16132" width="7.875" style="3242" customWidth="1"/>
    <col min="16133" max="16134" width="13.875" style="3242" customWidth="1"/>
    <col min="16135" max="16135" width="11.625" style="3242" customWidth="1"/>
    <col min="16136" max="16136" width="7.875" style="3242" customWidth="1"/>
    <col min="16137" max="16137" width="11.125" style="3242" customWidth="1"/>
    <col min="16138" max="16139" width="7.875" style="3242" customWidth="1"/>
    <col min="16140" max="16140" width="11.125" style="3242" customWidth="1"/>
    <col min="16141" max="16141" width="7.875" style="3242" customWidth="1"/>
    <col min="16142" max="16142" width="9" style="3242"/>
    <col min="16143" max="16143" width="32.625" style="3242" customWidth="1"/>
    <col min="16144" max="16144" width="10.625" style="3242" customWidth="1"/>
    <col min="16145" max="16145" width="16" style="3242" customWidth="1"/>
    <col min="16146" max="16146" width="14.375" style="3242" customWidth="1"/>
    <col min="16147" max="16147" width="6.125" style="3242" customWidth="1"/>
    <col min="16148" max="16148" width="7.875" style="3242" customWidth="1"/>
    <col min="16149" max="16149" width="20.125" style="3242" customWidth="1"/>
    <col min="16150" max="16150" width="7.875" style="3242" customWidth="1"/>
    <col min="16151" max="16384" width="9" style="3242"/>
  </cols>
  <sheetData>
    <row r="1" spans="1:22">
      <c r="A1" s="3242" t="s">
        <v>3311</v>
      </c>
      <c r="B1" s="3242" t="s">
        <v>3312</v>
      </c>
      <c r="C1" s="3242" t="s">
        <v>3313</v>
      </c>
      <c r="D1" s="3242" t="s">
        <v>3314</v>
      </c>
      <c r="E1" s="3242" t="s">
        <v>3315</v>
      </c>
      <c r="F1" s="3242" t="s">
        <v>3316</v>
      </c>
      <c r="G1" s="3242" t="s">
        <v>3317</v>
      </c>
      <c r="H1" s="3242" t="s">
        <v>3318</v>
      </c>
      <c r="I1" s="3242" t="s">
        <v>3319</v>
      </c>
      <c r="J1" s="3242" t="s">
        <v>3320</v>
      </c>
      <c r="K1" s="3242" t="s">
        <v>3321</v>
      </c>
      <c r="L1" s="3242" t="s">
        <v>3322</v>
      </c>
      <c r="M1" s="3242" t="s">
        <v>3323</v>
      </c>
      <c r="N1" s="3242" t="s">
        <v>3324</v>
      </c>
      <c r="O1" s="3242" t="s">
        <v>3325</v>
      </c>
      <c r="P1" s="3242" t="s">
        <v>3326</v>
      </c>
      <c r="Q1" s="3242" t="s">
        <v>3327</v>
      </c>
      <c r="R1" s="3242" t="s">
        <v>3328</v>
      </c>
      <c r="S1" s="3242" t="s">
        <v>3329</v>
      </c>
      <c r="T1" s="3242" t="s">
        <v>3330</v>
      </c>
      <c r="U1" s="3242" t="s">
        <v>3331</v>
      </c>
      <c r="V1" s="3242" t="s">
        <v>3332</v>
      </c>
    </row>
    <row r="2" spans="1:22" hidden="1">
      <c r="A2" s="3242" t="s">
        <v>3333</v>
      </c>
      <c r="B2" s="3242" t="s">
        <v>3334</v>
      </c>
      <c r="C2" s="3242" t="s">
        <v>3335</v>
      </c>
      <c r="D2" s="3242" t="s">
        <v>3336</v>
      </c>
      <c r="E2" s="3242">
        <v>3872.7</v>
      </c>
      <c r="F2" s="3242">
        <v>11618.1</v>
      </c>
      <c r="G2" s="3242" t="s">
        <v>3337</v>
      </c>
      <c r="H2" s="3242" t="s">
        <v>3338</v>
      </c>
      <c r="I2" s="3242" t="s">
        <v>2963</v>
      </c>
      <c r="J2" s="3242">
        <v>0</v>
      </c>
      <c r="K2" s="3242" t="s">
        <v>1058</v>
      </c>
      <c r="L2" s="3242" t="s">
        <v>1058</v>
      </c>
      <c r="M2" s="3242" t="s">
        <v>3339</v>
      </c>
      <c r="N2" s="3242" t="s">
        <v>3340</v>
      </c>
      <c r="O2" s="3242" t="s">
        <v>3341</v>
      </c>
      <c r="P2" s="3242">
        <v>375</v>
      </c>
      <c r="Q2" s="3242">
        <v>64.55</v>
      </c>
      <c r="R2" s="3242">
        <v>322.77</v>
      </c>
      <c r="S2" s="3242">
        <v>0</v>
      </c>
      <c r="T2" s="3242" t="s">
        <v>3342</v>
      </c>
      <c r="U2" s="3242" t="s">
        <v>1058</v>
      </c>
      <c r="V2" s="3242" t="s">
        <v>3343</v>
      </c>
    </row>
    <row r="3" spans="1:22" hidden="1">
      <c r="A3" s="3242" t="s">
        <v>3344</v>
      </c>
      <c r="B3" s="3242" t="s">
        <v>3334</v>
      </c>
      <c r="C3" s="3242" t="s">
        <v>3335</v>
      </c>
      <c r="D3" s="3242" t="s">
        <v>3345</v>
      </c>
      <c r="E3" s="3242">
        <v>708.02</v>
      </c>
      <c r="F3" s="3242">
        <v>708.02</v>
      </c>
      <c r="G3" s="3242" t="s">
        <v>3346</v>
      </c>
      <c r="H3" s="3242" t="s">
        <v>3338</v>
      </c>
      <c r="I3" s="3242" t="s">
        <v>2963</v>
      </c>
      <c r="J3" s="3242">
        <v>0</v>
      </c>
      <c r="K3" s="3242" t="s">
        <v>1058</v>
      </c>
      <c r="L3" s="3242" t="s">
        <v>1058</v>
      </c>
      <c r="M3" s="3242" t="s">
        <v>3339</v>
      </c>
      <c r="N3" s="3242" t="s">
        <v>3340</v>
      </c>
      <c r="O3" s="3242" t="s">
        <v>3347</v>
      </c>
      <c r="P3" s="3242">
        <v>23</v>
      </c>
      <c r="Q3" s="3242">
        <v>21.66</v>
      </c>
      <c r="R3" s="3242">
        <v>324.85000000000002</v>
      </c>
      <c r="S3" s="3242">
        <v>0</v>
      </c>
      <c r="T3" s="3242" t="s">
        <v>3342</v>
      </c>
      <c r="U3" s="3242" t="s">
        <v>1058</v>
      </c>
      <c r="V3" s="3242" t="s">
        <v>3348</v>
      </c>
    </row>
    <row r="4" spans="1:22" s="3243" customFormat="1">
      <c r="A4" s="3243" t="s">
        <v>3349</v>
      </c>
      <c r="B4" s="3243" t="s">
        <v>3334</v>
      </c>
      <c r="C4" s="3243" t="s">
        <v>3335</v>
      </c>
      <c r="D4" s="3243" t="s">
        <v>3350</v>
      </c>
      <c r="E4" s="3243">
        <v>20165.72</v>
      </c>
      <c r="F4" s="3243">
        <v>20165.72</v>
      </c>
      <c r="G4" s="3243" t="s">
        <v>3346</v>
      </c>
      <c r="H4" s="3243" t="s">
        <v>3338</v>
      </c>
      <c r="I4" s="3243" t="s">
        <v>2963</v>
      </c>
      <c r="J4" s="3243">
        <v>0</v>
      </c>
      <c r="K4" s="3243" t="s">
        <v>1058</v>
      </c>
      <c r="L4" s="3243" t="s">
        <v>1058</v>
      </c>
      <c r="M4" s="3243" t="s">
        <v>3339</v>
      </c>
      <c r="N4" s="3243" t="s">
        <v>3340</v>
      </c>
      <c r="O4" s="3243" t="s">
        <v>3351</v>
      </c>
      <c r="P4" s="3243">
        <v>3040</v>
      </c>
      <c r="Q4" s="3243">
        <v>100.5</v>
      </c>
      <c r="R4" s="3243">
        <v>1507.51</v>
      </c>
      <c r="S4" s="3243">
        <v>0</v>
      </c>
      <c r="T4" s="3243" t="s">
        <v>3342</v>
      </c>
      <c r="U4" s="3243" t="s">
        <v>1058</v>
      </c>
      <c r="V4" s="3243" t="s">
        <v>3343</v>
      </c>
    </row>
    <row r="5" spans="1:22" hidden="1">
      <c r="A5" s="3242" t="s">
        <v>3352</v>
      </c>
      <c r="B5" s="3242" t="s">
        <v>3334</v>
      </c>
      <c r="C5" s="3242" t="s">
        <v>3335</v>
      </c>
      <c r="D5" s="3242" t="s">
        <v>3353</v>
      </c>
      <c r="E5" s="3242">
        <v>19010.650000000001</v>
      </c>
      <c r="F5" s="3242">
        <v>38021.300000000003</v>
      </c>
      <c r="G5" s="3242" t="s">
        <v>3354</v>
      </c>
      <c r="H5" s="3242" t="s">
        <v>3338</v>
      </c>
      <c r="I5" s="3242" t="s">
        <v>2963</v>
      </c>
      <c r="J5" s="3242">
        <v>0</v>
      </c>
      <c r="K5" s="3242" t="s">
        <v>1058</v>
      </c>
      <c r="L5" s="3242" t="s">
        <v>1058</v>
      </c>
      <c r="M5" s="3242" t="s">
        <v>3339</v>
      </c>
      <c r="N5" s="3242" t="s">
        <v>3355</v>
      </c>
      <c r="O5" s="3242" t="s">
        <v>3356</v>
      </c>
      <c r="P5" s="3242">
        <v>4600</v>
      </c>
      <c r="Q5" s="3242">
        <v>161.31</v>
      </c>
      <c r="R5" s="3242">
        <v>1209.8499999999999</v>
      </c>
      <c r="S5" s="3242">
        <v>0.22</v>
      </c>
      <c r="T5" s="3242" t="s">
        <v>3342</v>
      </c>
      <c r="U5" s="3242" t="s">
        <v>1058</v>
      </c>
      <c r="V5" s="3242" t="s">
        <v>3357</v>
      </c>
    </row>
    <row r="6" spans="1:22" hidden="1">
      <c r="A6" s="3242" t="s">
        <v>3358</v>
      </c>
      <c r="B6" s="3242" t="s">
        <v>3334</v>
      </c>
      <c r="C6" s="3242" t="s">
        <v>3335</v>
      </c>
      <c r="D6" s="3242" t="s">
        <v>3359</v>
      </c>
      <c r="E6" s="3242">
        <v>40059.11</v>
      </c>
      <c r="F6" s="3242">
        <v>124183.24</v>
      </c>
      <c r="G6" s="3242" t="s">
        <v>3360</v>
      </c>
      <c r="H6" s="3242" t="s">
        <v>3338</v>
      </c>
      <c r="I6" s="3242" t="s">
        <v>2963</v>
      </c>
      <c r="J6" s="3242">
        <v>0</v>
      </c>
      <c r="K6" s="3242" t="s">
        <v>1058</v>
      </c>
      <c r="L6" s="3242" t="s">
        <v>1058</v>
      </c>
      <c r="M6" s="3242" t="s">
        <v>3339</v>
      </c>
      <c r="N6" s="3242" t="s">
        <v>3355</v>
      </c>
      <c r="O6" s="3242" t="s">
        <v>3361</v>
      </c>
      <c r="P6" s="3242">
        <v>7995</v>
      </c>
      <c r="Q6" s="3242">
        <v>133.05000000000001</v>
      </c>
      <c r="R6" s="3242">
        <v>643.80999999999995</v>
      </c>
      <c r="S6" s="3242">
        <v>0</v>
      </c>
      <c r="T6" s="3242" t="s">
        <v>3342</v>
      </c>
      <c r="U6" s="3242" t="s">
        <v>1058</v>
      </c>
      <c r="V6" s="3242" t="s">
        <v>3357</v>
      </c>
    </row>
    <row r="7" spans="1:22" hidden="1">
      <c r="A7" s="3242" t="s">
        <v>3362</v>
      </c>
      <c r="B7" s="3242" t="s">
        <v>3334</v>
      </c>
      <c r="C7" s="3242" t="s">
        <v>3335</v>
      </c>
      <c r="D7" s="3242" t="s">
        <v>3363</v>
      </c>
      <c r="E7" s="3242">
        <v>27245.67</v>
      </c>
      <c r="F7" s="3242">
        <v>84461.58</v>
      </c>
      <c r="G7" s="3242" t="s">
        <v>3360</v>
      </c>
      <c r="H7" s="3242" t="s">
        <v>3338</v>
      </c>
      <c r="I7" s="3242" t="s">
        <v>2963</v>
      </c>
      <c r="J7" s="3242">
        <v>0</v>
      </c>
      <c r="K7" s="3242" t="s">
        <v>1058</v>
      </c>
      <c r="L7" s="3242" t="s">
        <v>1058</v>
      </c>
      <c r="M7" s="3242" t="s">
        <v>3339</v>
      </c>
      <c r="N7" s="3242" t="s">
        <v>3355</v>
      </c>
      <c r="O7" s="3242" t="s">
        <v>3361</v>
      </c>
      <c r="P7" s="3242">
        <v>5385</v>
      </c>
      <c r="Q7" s="3242">
        <v>131.76</v>
      </c>
      <c r="R7" s="3242">
        <v>637.57000000000005</v>
      </c>
      <c r="S7" s="3242">
        <v>0</v>
      </c>
      <c r="T7" s="3242" t="s">
        <v>3342</v>
      </c>
      <c r="U7" s="3242" t="s">
        <v>1058</v>
      </c>
      <c r="V7" s="3242" t="s">
        <v>3357</v>
      </c>
    </row>
    <row r="8" spans="1:22" s="3243" customFormat="1">
      <c r="A8" s="3243" t="s">
        <v>3364</v>
      </c>
      <c r="B8" s="3243" t="s">
        <v>3334</v>
      </c>
      <c r="C8" s="3243" t="s">
        <v>3335</v>
      </c>
      <c r="D8" s="3243" t="s">
        <v>3365</v>
      </c>
      <c r="E8" s="3243">
        <v>15945.55</v>
      </c>
      <c r="F8" s="3243">
        <v>31891.1</v>
      </c>
      <c r="G8" s="3243" t="s">
        <v>3354</v>
      </c>
      <c r="H8" s="3243" t="s">
        <v>3338</v>
      </c>
      <c r="I8" s="3243" t="s">
        <v>2963</v>
      </c>
      <c r="J8" s="3243">
        <v>0</v>
      </c>
      <c r="K8" s="3243" t="s">
        <v>1058</v>
      </c>
      <c r="L8" s="3243" t="s">
        <v>1058</v>
      </c>
      <c r="M8" s="3243" t="s">
        <v>3339</v>
      </c>
      <c r="N8" s="3243" t="s">
        <v>3355</v>
      </c>
      <c r="O8" s="3243" t="s">
        <v>3356</v>
      </c>
      <c r="P8" s="3243">
        <v>3750</v>
      </c>
      <c r="Q8" s="3243">
        <v>156.78</v>
      </c>
      <c r="R8" s="3243">
        <v>1175.8800000000001</v>
      </c>
      <c r="S8" s="3243">
        <v>0.27</v>
      </c>
      <c r="T8" s="3243" t="s">
        <v>3342</v>
      </c>
      <c r="U8" s="3243" t="s">
        <v>1058</v>
      </c>
      <c r="V8" s="3243" t="s">
        <v>3357</v>
      </c>
    </row>
    <row r="9" spans="1:22" hidden="1">
      <c r="A9" s="3242" t="s">
        <v>3366</v>
      </c>
      <c r="B9" s="3242" t="s">
        <v>3334</v>
      </c>
      <c r="C9" s="3242" t="s">
        <v>3335</v>
      </c>
      <c r="D9" s="3242" t="s">
        <v>3367</v>
      </c>
      <c r="E9" s="3242">
        <v>20035.580000000002</v>
      </c>
      <c r="F9" s="3242">
        <v>40071.160000000003</v>
      </c>
      <c r="G9" s="3242" t="s">
        <v>3354</v>
      </c>
      <c r="H9" s="3242" t="s">
        <v>3338</v>
      </c>
      <c r="I9" s="3242" t="s">
        <v>2963</v>
      </c>
      <c r="J9" s="3242">
        <v>0</v>
      </c>
      <c r="K9" s="3242" t="s">
        <v>1058</v>
      </c>
      <c r="L9" s="3242" t="s">
        <v>1058</v>
      </c>
      <c r="M9" s="3242" t="s">
        <v>3339</v>
      </c>
      <c r="N9" s="3242" t="s">
        <v>3355</v>
      </c>
      <c r="O9" s="3242" t="s">
        <v>3356</v>
      </c>
      <c r="P9" s="3242">
        <v>4700</v>
      </c>
      <c r="Q9" s="3242">
        <v>156.38999999999999</v>
      </c>
      <c r="R9" s="3242">
        <v>1172.9100000000001</v>
      </c>
      <c r="S9" s="3242">
        <v>0.21</v>
      </c>
      <c r="T9" s="3242" t="s">
        <v>3342</v>
      </c>
      <c r="U9" s="3242" t="s">
        <v>1058</v>
      </c>
      <c r="V9" s="3242" t="s">
        <v>3357</v>
      </c>
    </row>
    <row r="10" spans="1:22" hidden="1">
      <c r="A10" s="3242" t="s">
        <v>3368</v>
      </c>
      <c r="B10" s="3242" t="s">
        <v>3334</v>
      </c>
      <c r="C10" s="3242" t="s">
        <v>3335</v>
      </c>
      <c r="D10" s="3242" t="s">
        <v>3369</v>
      </c>
      <c r="E10" s="3242">
        <v>14040.77</v>
      </c>
      <c r="F10" s="3242">
        <v>28081.54</v>
      </c>
      <c r="G10" s="3242" t="s">
        <v>3354</v>
      </c>
      <c r="H10" s="3242" t="s">
        <v>3338</v>
      </c>
      <c r="I10" s="3242" t="s">
        <v>2963</v>
      </c>
      <c r="J10" s="3242">
        <v>0</v>
      </c>
      <c r="K10" s="3242" t="s">
        <v>1058</v>
      </c>
      <c r="L10" s="3242" t="s">
        <v>1058</v>
      </c>
      <c r="M10" s="3242" t="s">
        <v>3339</v>
      </c>
      <c r="N10" s="3242" t="s">
        <v>3355</v>
      </c>
      <c r="O10" s="3242" t="s">
        <v>3356</v>
      </c>
      <c r="P10" s="3242">
        <v>3300</v>
      </c>
      <c r="Q10" s="3242">
        <v>156.69</v>
      </c>
      <c r="R10" s="3242">
        <v>1175.1500000000001</v>
      </c>
      <c r="S10" s="3242">
        <v>0.3</v>
      </c>
      <c r="T10" s="3242" t="s">
        <v>3342</v>
      </c>
      <c r="U10" s="3242" t="s">
        <v>1058</v>
      </c>
      <c r="V10" s="3242" t="s">
        <v>3357</v>
      </c>
    </row>
    <row r="11" spans="1:22" hidden="1">
      <c r="A11" s="3242" t="s">
        <v>3370</v>
      </c>
      <c r="B11" s="3242" t="s">
        <v>3334</v>
      </c>
      <c r="C11" s="3242" t="s">
        <v>3335</v>
      </c>
      <c r="D11" s="3242" t="s">
        <v>3371</v>
      </c>
      <c r="E11" s="3242">
        <v>15925.94</v>
      </c>
      <c r="F11" s="3242">
        <v>31851.88</v>
      </c>
      <c r="G11" s="3242" t="s">
        <v>3354</v>
      </c>
      <c r="H11" s="3242" t="s">
        <v>3338</v>
      </c>
      <c r="I11" s="3242" t="s">
        <v>2963</v>
      </c>
      <c r="J11" s="3242">
        <v>0</v>
      </c>
      <c r="K11" s="3242" t="s">
        <v>1058</v>
      </c>
      <c r="L11" s="3242" t="s">
        <v>1058</v>
      </c>
      <c r="M11" s="3242" t="s">
        <v>3339</v>
      </c>
      <c r="N11" s="3242" t="s">
        <v>3355</v>
      </c>
      <c r="O11" s="3242" t="s">
        <v>3356</v>
      </c>
      <c r="P11" s="3242">
        <v>3630</v>
      </c>
      <c r="Q11" s="3242">
        <v>151.94999999999999</v>
      </c>
      <c r="R11" s="3242">
        <v>1139.6500000000001</v>
      </c>
      <c r="S11" s="3242">
        <v>0.28000000000000003</v>
      </c>
      <c r="T11" s="3242" t="s">
        <v>3342</v>
      </c>
      <c r="U11" s="3242" t="s">
        <v>1058</v>
      </c>
      <c r="V11" s="3242" t="s">
        <v>3357</v>
      </c>
    </row>
    <row r="12" spans="1:22" hidden="1">
      <c r="A12" s="3242" t="s">
        <v>3372</v>
      </c>
      <c r="B12" s="3242" t="s">
        <v>3334</v>
      </c>
      <c r="C12" s="3242" t="s">
        <v>3335</v>
      </c>
      <c r="D12" s="3242" t="s">
        <v>3373</v>
      </c>
      <c r="E12" s="3242">
        <v>17957.560000000001</v>
      </c>
      <c r="F12" s="3242">
        <v>35915.120000000003</v>
      </c>
      <c r="G12" s="3242" t="s">
        <v>3354</v>
      </c>
      <c r="H12" s="3242" t="s">
        <v>3338</v>
      </c>
      <c r="I12" s="3242" t="s">
        <v>2963</v>
      </c>
      <c r="J12" s="3242">
        <v>0</v>
      </c>
      <c r="K12" s="3242" t="s">
        <v>1058</v>
      </c>
      <c r="L12" s="3242" t="s">
        <v>1058</v>
      </c>
      <c r="M12" s="3242" t="s">
        <v>3339</v>
      </c>
      <c r="N12" s="3242" t="s">
        <v>3355</v>
      </c>
      <c r="O12" s="3242" t="s">
        <v>3356</v>
      </c>
      <c r="P12" s="3242">
        <v>4310</v>
      </c>
      <c r="Q12" s="3242">
        <v>160.01</v>
      </c>
      <c r="R12" s="3242">
        <v>1200.05</v>
      </c>
      <c r="S12" s="3242">
        <v>0.23</v>
      </c>
      <c r="T12" s="3242" t="s">
        <v>3342</v>
      </c>
      <c r="U12" s="3242" t="s">
        <v>1058</v>
      </c>
      <c r="V12" s="3242" t="s">
        <v>3357</v>
      </c>
    </row>
    <row r="13" spans="1:22" hidden="1">
      <c r="A13" s="3242" t="s">
        <v>3374</v>
      </c>
      <c r="B13" s="3242" t="s">
        <v>3334</v>
      </c>
      <c r="C13" s="3242" t="s">
        <v>3335</v>
      </c>
      <c r="D13" s="3242" t="s">
        <v>3375</v>
      </c>
      <c r="E13" s="3242">
        <v>21222.720000000001</v>
      </c>
      <c r="F13" s="3242">
        <v>42445.440000000002</v>
      </c>
      <c r="G13" s="3242" t="s">
        <v>3354</v>
      </c>
      <c r="H13" s="3242" t="s">
        <v>3338</v>
      </c>
      <c r="I13" s="3242" t="s">
        <v>2963</v>
      </c>
      <c r="J13" s="3242">
        <v>0</v>
      </c>
      <c r="K13" s="3242" t="s">
        <v>1058</v>
      </c>
      <c r="L13" s="3242" t="s">
        <v>1058</v>
      </c>
      <c r="M13" s="3242" t="s">
        <v>3339</v>
      </c>
      <c r="N13" s="3242" t="s">
        <v>3355</v>
      </c>
      <c r="O13" s="3242" t="s">
        <v>3356</v>
      </c>
      <c r="P13" s="3242">
        <v>5300</v>
      </c>
      <c r="Q13" s="3242">
        <v>166.49</v>
      </c>
      <c r="R13" s="3242">
        <v>1248.6600000000001</v>
      </c>
      <c r="S13" s="3242">
        <v>0.19</v>
      </c>
      <c r="T13" s="3242" t="s">
        <v>3342</v>
      </c>
      <c r="U13" s="3242" t="s">
        <v>1058</v>
      </c>
      <c r="V13" s="3242" t="s">
        <v>3357</v>
      </c>
    </row>
    <row r="14" spans="1:22" hidden="1">
      <c r="A14" s="3242" t="s">
        <v>3376</v>
      </c>
      <c r="B14" s="3242" t="s">
        <v>3334</v>
      </c>
      <c r="C14" s="3242" t="s">
        <v>3335</v>
      </c>
      <c r="D14" s="3242" t="s">
        <v>3377</v>
      </c>
      <c r="E14" s="3242">
        <v>210681.8</v>
      </c>
      <c r="F14" s="3242">
        <v>653113.57999999996</v>
      </c>
      <c r="G14" s="3242" t="s">
        <v>3360</v>
      </c>
      <c r="H14" s="3242" t="s">
        <v>3338</v>
      </c>
      <c r="I14" s="3242" t="s">
        <v>2963</v>
      </c>
      <c r="J14" s="3242">
        <v>0</v>
      </c>
      <c r="K14" s="3242" t="s">
        <v>1058</v>
      </c>
      <c r="L14" s="3242" t="s">
        <v>1058</v>
      </c>
      <c r="M14" s="3242" t="s">
        <v>3339</v>
      </c>
      <c r="N14" s="3242" t="s">
        <v>3378</v>
      </c>
      <c r="O14" s="3242" t="s">
        <v>3361</v>
      </c>
      <c r="P14" s="3242">
        <v>43725</v>
      </c>
      <c r="Q14" s="3242">
        <v>138.36000000000001</v>
      </c>
      <c r="R14" s="3242">
        <v>669.49</v>
      </c>
      <c r="S14" s="3242">
        <v>0</v>
      </c>
      <c r="T14" s="3242" t="s">
        <v>3342</v>
      </c>
      <c r="U14" s="3242" t="s">
        <v>1058</v>
      </c>
      <c r="V14" s="3242" t="s">
        <v>3348</v>
      </c>
    </row>
    <row r="15" spans="1:22" hidden="1">
      <c r="A15" s="3242" t="s">
        <v>3379</v>
      </c>
      <c r="B15" s="3242" t="s">
        <v>3334</v>
      </c>
      <c r="C15" s="3242" t="s">
        <v>3335</v>
      </c>
      <c r="D15" s="3242" t="s">
        <v>3380</v>
      </c>
      <c r="E15" s="3242">
        <v>164674.15</v>
      </c>
      <c r="F15" s="3242">
        <v>510489.87</v>
      </c>
      <c r="G15" s="3242" t="s">
        <v>3360</v>
      </c>
      <c r="H15" s="3242" t="s">
        <v>3338</v>
      </c>
      <c r="I15" s="3242" t="s">
        <v>2963</v>
      </c>
      <c r="J15" s="3242">
        <v>0</v>
      </c>
      <c r="K15" s="3242" t="s">
        <v>1058</v>
      </c>
      <c r="L15" s="3242" t="s">
        <v>1058</v>
      </c>
      <c r="M15" s="3242" t="s">
        <v>3339</v>
      </c>
      <c r="N15" s="3242" t="s">
        <v>3378</v>
      </c>
      <c r="O15" s="3242" t="s">
        <v>3361</v>
      </c>
      <c r="P15" s="3242">
        <v>32855</v>
      </c>
      <c r="Q15" s="3242">
        <v>133.01</v>
      </c>
      <c r="R15" s="3242">
        <v>643.6</v>
      </c>
      <c r="S15" s="3242">
        <v>0</v>
      </c>
      <c r="T15" s="3242" t="s">
        <v>3342</v>
      </c>
      <c r="U15" s="3242" t="s">
        <v>1058</v>
      </c>
      <c r="V15" s="3242" t="s">
        <v>3348</v>
      </c>
    </row>
    <row r="16" spans="1:22" hidden="1">
      <c r="A16" s="3242" t="s">
        <v>3381</v>
      </c>
      <c r="B16" s="3242" t="s">
        <v>3334</v>
      </c>
      <c r="C16" s="3242" t="s">
        <v>3335</v>
      </c>
      <c r="D16" s="3242" t="s">
        <v>3382</v>
      </c>
      <c r="E16" s="3242">
        <v>68119.13</v>
      </c>
      <c r="F16" s="3242">
        <v>211169.3</v>
      </c>
      <c r="G16" s="3242" t="s">
        <v>3360</v>
      </c>
      <c r="H16" s="3242" t="s">
        <v>3338</v>
      </c>
      <c r="I16" s="3242" t="s">
        <v>2963</v>
      </c>
      <c r="J16" s="3242">
        <v>0</v>
      </c>
      <c r="K16" s="3242" t="s">
        <v>1058</v>
      </c>
      <c r="L16" s="3242" t="s">
        <v>1058</v>
      </c>
      <c r="M16" s="3242" t="s">
        <v>3339</v>
      </c>
      <c r="N16" s="3242" t="s">
        <v>3378</v>
      </c>
      <c r="O16" s="3242" t="s">
        <v>3361</v>
      </c>
      <c r="P16" s="3242">
        <v>13995</v>
      </c>
      <c r="Q16" s="3242">
        <v>136.97</v>
      </c>
      <c r="R16" s="3242">
        <v>662.74</v>
      </c>
      <c r="S16" s="3242">
        <v>0</v>
      </c>
      <c r="T16" s="3242" t="s">
        <v>3342</v>
      </c>
      <c r="U16" s="3242" t="s">
        <v>1058</v>
      </c>
      <c r="V16" s="3242" t="s">
        <v>3348</v>
      </c>
    </row>
    <row r="17" spans="1:22" hidden="1">
      <c r="A17" s="3242" t="s">
        <v>3383</v>
      </c>
      <c r="B17" s="3242" t="s">
        <v>3334</v>
      </c>
      <c r="C17" s="3242" t="s">
        <v>3335</v>
      </c>
      <c r="D17" s="3242" t="s">
        <v>3384</v>
      </c>
      <c r="E17" s="3242">
        <v>162906.22</v>
      </c>
      <c r="F17" s="3242">
        <v>505009.28</v>
      </c>
      <c r="G17" s="3242" t="s">
        <v>3360</v>
      </c>
      <c r="H17" s="3242" t="s">
        <v>3338</v>
      </c>
      <c r="I17" s="3242" t="s">
        <v>2963</v>
      </c>
      <c r="J17" s="3242">
        <v>0</v>
      </c>
      <c r="K17" s="3242" t="s">
        <v>1058</v>
      </c>
      <c r="L17" s="3242" t="s">
        <v>1058</v>
      </c>
      <c r="M17" s="3242" t="s">
        <v>3339</v>
      </c>
      <c r="N17" s="3242" t="s">
        <v>3378</v>
      </c>
      <c r="O17" s="3242" t="s">
        <v>3361</v>
      </c>
      <c r="P17" s="3242">
        <v>32475</v>
      </c>
      <c r="Q17" s="3242">
        <v>132.9</v>
      </c>
      <c r="R17" s="3242">
        <v>643.05999999999995</v>
      </c>
      <c r="S17" s="3242">
        <v>0</v>
      </c>
      <c r="T17" s="3242" t="s">
        <v>3342</v>
      </c>
      <c r="U17" s="3242" t="s">
        <v>1058</v>
      </c>
      <c r="V17" s="3242" t="s">
        <v>3348</v>
      </c>
    </row>
    <row r="18" spans="1:22" hidden="1">
      <c r="A18" s="3242" t="s">
        <v>3385</v>
      </c>
      <c r="B18" s="3242" t="s">
        <v>3334</v>
      </c>
      <c r="C18" s="3242" t="s">
        <v>3335</v>
      </c>
      <c r="D18" s="3242" t="s">
        <v>3386</v>
      </c>
      <c r="E18" s="3242">
        <v>18949.45</v>
      </c>
      <c r="F18" s="3242">
        <v>56848.35</v>
      </c>
      <c r="G18" s="3242" t="s">
        <v>3337</v>
      </c>
      <c r="H18" s="3242" t="s">
        <v>3338</v>
      </c>
      <c r="I18" s="3242" t="s">
        <v>2963</v>
      </c>
      <c r="J18" s="3242">
        <v>0</v>
      </c>
      <c r="K18" s="3242" t="s">
        <v>1058</v>
      </c>
      <c r="L18" s="3242" t="s">
        <v>1058</v>
      </c>
      <c r="M18" s="3242" t="s">
        <v>3339</v>
      </c>
      <c r="N18" s="3242" t="s">
        <v>3387</v>
      </c>
      <c r="O18" s="3242" t="s">
        <v>3388</v>
      </c>
      <c r="P18" s="3242">
        <v>2100</v>
      </c>
      <c r="Q18" s="3242">
        <v>73.88</v>
      </c>
      <c r="R18" s="3242">
        <v>369.4</v>
      </c>
      <c r="S18" s="3242">
        <v>0</v>
      </c>
      <c r="T18" s="3242" t="s">
        <v>3342</v>
      </c>
      <c r="U18" s="3242" t="s">
        <v>1058</v>
      </c>
      <c r="V18" s="3242" t="s">
        <v>3343</v>
      </c>
    </row>
    <row r="19" spans="1:22" s="3243" customFormat="1">
      <c r="A19" s="3243" t="s">
        <v>3389</v>
      </c>
      <c r="B19" s="3243" t="s">
        <v>3334</v>
      </c>
      <c r="C19" s="3243" t="s">
        <v>3335</v>
      </c>
      <c r="D19" s="3243" t="s">
        <v>3390</v>
      </c>
      <c r="E19" s="3243">
        <v>31312.81</v>
      </c>
      <c r="F19" s="3243">
        <v>93938.43</v>
      </c>
      <c r="G19" s="3243" t="s">
        <v>3337</v>
      </c>
      <c r="H19" s="3243" t="s">
        <v>3338</v>
      </c>
      <c r="I19" s="3243" t="s">
        <v>2963</v>
      </c>
      <c r="J19" s="3243">
        <v>0</v>
      </c>
      <c r="K19" s="3243" t="s">
        <v>1058</v>
      </c>
      <c r="L19" s="3243" t="s">
        <v>1058</v>
      </c>
      <c r="M19" s="3243" t="s">
        <v>3339</v>
      </c>
      <c r="N19" s="3243" t="s">
        <v>3391</v>
      </c>
      <c r="O19" s="3243" t="s">
        <v>3392</v>
      </c>
      <c r="P19" s="3243">
        <v>8635</v>
      </c>
      <c r="Q19" s="3243">
        <v>183.84</v>
      </c>
      <c r="R19" s="3243">
        <v>919.22</v>
      </c>
      <c r="S19" s="3243">
        <v>0.12</v>
      </c>
      <c r="T19" s="3243" t="s">
        <v>3342</v>
      </c>
      <c r="U19" s="3243" t="s">
        <v>1058</v>
      </c>
      <c r="V19" s="3243" t="s">
        <v>3393</v>
      </c>
    </row>
    <row r="20" spans="1:22" hidden="1">
      <c r="A20" s="3242" t="s">
        <v>3394</v>
      </c>
      <c r="B20" s="3242" t="s">
        <v>3334</v>
      </c>
      <c r="C20" s="3242" t="s">
        <v>3335</v>
      </c>
      <c r="D20" s="3242" t="s">
        <v>3395</v>
      </c>
      <c r="E20" s="3242">
        <v>83688.31</v>
      </c>
      <c r="F20" s="3242">
        <v>259433.76</v>
      </c>
      <c r="G20" s="3242" t="s">
        <v>3360</v>
      </c>
      <c r="H20" s="3242" t="s">
        <v>3338</v>
      </c>
      <c r="I20" s="3242" t="s">
        <v>2963</v>
      </c>
      <c r="J20" s="3242">
        <v>0</v>
      </c>
      <c r="K20" s="3242" t="s">
        <v>1058</v>
      </c>
      <c r="L20" s="3242" t="s">
        <v>1058</v>
      </c>
      <c r="M20" s="3242" t="s">
        <v>3339</v>
      </c>
      <c r="N20" s="3242" t="s">
        <v>3396</v>
      </c>
      <c r="O20" s="3242" t="s">
        <v>3397</v>
      </c>
      <c r="P20" s="3242">
        <v>17350</v>
      </c>
      <c r="Q20" s="3242">
        <v>138.21</v>
      </c>
      <c r="R20" s="3242">
        <v>668.76</v>
      </c>
      <c r="S20" s="3242">
        <v>0.12</v>
      </c>
      <c r="T20" s="3242" t="s">
        <v>3342</v>
      </c>
      <c r="U20" s="3242" t="s">
        <v>1058</v>
      </c>
      <c r="V20" s="3242" t="s">
        <v>3357</v>
      </c>
    </row>
    <row r="21" spans="1:22" hidden="1">
      <c r="A21" s="3242" t="s">
        <v>3398</v>
      </c>
      <c r="B21" s="3242" t="s">
        <v>3334</v>
      </c>
      <c r="C21" s="3242" t="s">
        <v>3335</v>
      </c>
      <c r="D21" s="3242" t="s">
        <v>3399</v>
      </c>
      <c r="E21" s="3242">
        <v>3882.5</v>
      </c>
      <c r="F21" s="3242">
        <v>1164.75</v>
      </c>
      <c r="G21" s="3242" t="s">
        <v>3400</v>
      </c>
      <c r="H21" s="3242" t="s">
        <v>3338</v>
      </c>
      <c r="I21" s="3242" t="s">
        <v>2953</v>
      </c>
      <c r="J21" s="3242">
        <v>0</v>
      </c>
      <c r="K21" s="3242" t="s">
        <v>1058</v>
      </c>
      <c r="L21" s="3242" t="s">
        <v>1058</v>
      </c>
      <c r="M21" s="3242" t="s">
        <v>3339</v>
      </c>
      <c r="N21" s="3242" t="s">
        <v>3396</v>
      </c>
      <c r="O21" s="3242" t="s">
        <v>3401</v>
      </c>
      <c r="P21" s="3242">
        <v>850</v>
      </c>
      <c r="Q21" s="3242">
        <v>145.94999999999999</v>
      </c>
      <c r="R21" s="3242">
        <v>7297.7</v>
      </c>
      <c r="S21" s="3242">
        <v>193.1</v>
      </c>
      <c r="T21" s="3242" t="s">
        <v>3342</v>
      </c>
      <c r="U21" s="3242" t="s">
        <v>1058</v>
      </c>
      <c r="V21" s="3242" t="s">
        <v>3357</v>
      </c>
    </row>
    <row r="22" spans="1:22" hidden="1">
      <c r="A22" s="3242" t="s">
        <v>3402</v>
      </c>
      <c r="B22" s="3242" t="s">
        <v>3334</v>
      </c>
      <c r="C22" s="3242" t="s">
        <v>3335</v>
      </c>
      <c r="D22" s="3242" t="s">
        <v>3403</v>
      </c>
      <c r="E22" s="3242">
        <v>18330.77</v>
      </c>
      <c r="F22" s="3242">
        <v>54992.31</v>
      </c>
      <c r="G22" s="3242" t="s">
        <v>3337</v>
      </c>
      <c r="H22" s="3242" t="s">
        <v>3338</v>
      </c>
      <c r="I22" s="3242" t="s">
        <v>2963</v>
      </c>
      <c r="J22" s="3242">
        <v>0</v>
      </c>
      <c r="K22" s="3242" t="s">
        <v>1058</v>
      </c>
      <c r="L22" s="3242" t="s">
        <v>1058</v>
      </c>
      <c r="M22" s="3242" t="s">
        <v>3339</v>
      </c>
      <c r="N22" s="3242" t="s">
        <v>3404</v>
      </c>
      <c r="O22" s="3242" t="s">
        <v>3388</v>
      </c>
      <c r="P22" s="3242">
        <v>5810</v>
      </c>
      <c r="Q22" s="3242">
        <v>211.3</v>
      </c>
      <c r="R22" s="3242">
        <v>1056.51</v>
      </c>
      <c r="S22" s="3242">
        <v>0.35</v>
      </c>
      <c r="T22" s="3242">
        <v>40</v>
      </c>
      <c r="U22" s="3242" t="s">
        <v>1058</v>
      </c>
      <c r="V22" s="3242" t="s">
        <v>3357</v>
      </c>
    </row>
    <row r="23" spans="1:22" hidden="1">
      <c r="A23" s="3242" t="s">
        <v>3405</v>
      </c>
      <c r="B23" s="3242" t="s">
        <v>3334</v>
      </c>
      <c r="C23" s="3242" t="s">
        <v>3335</v>
      </c>
      <c r="D23" s="3242" t="s">
        <v>3406</v>
      </c>
      <c r="E23" s="3242">
        <v>41652.800000000003</v>
      </c>
      <c r="F23" s="3242">
        <v>124958.39999999999</v>
      </c>
      <c r="G23" s="3242" t="s">
        <v>3337</v>
      </c>
      <c r="H23" s="3242" t="s">
        <v>3338</v>
      </c>
      <c r="I23" s="3242" t="s">
        <v>2963</v>
      </c>
      <c r="J23" s="3242">
        <v>0</v>
      </c>
      <c r="K23" s="3242" t="s">
        <v>1058</v>
      </c>
      <c r="L23" s="3242" t="s">
        <v>1058</v>
      </c>
      <c r="M23" s="3242" t="s">
        <v>3339</v>
      </c>
      <c r="N23" s="3242" t="s">
        <v>3404</v>
      </c>
      <c r="O23" s="3242" t="s">
        <v>3388</v>
      </c>
      <c r="P23" s="3242">
        <v>12810</v>
      </c>
      <c r="Q23" s="3242">
        <v>205.03</v>
      </c>
      <c r="R23" s="3242">
        <v>1025.1400000000001</v>
      </c>
      <c r="S23" s="3242">
        <v>0.16</v>
      </c>
      <c r="T23" s="3242">
        <v>40</v>
      </c>
      <c r="U23" s="3242" t="s">
        <v>1058</v>
      </c>
      <c r="V23" s="3242" t="s">
        <v>3357</v>
      </c>
    </row>
    <row r="24" spans="1:22" hidden="1">
      <c r="A24" s="3242" t="s">
        <v>3407</v>
      </c>
      <c r="B24" s="3242" t="s">
        <v>3334</v>
      </c>
      <c r="C24" s="3242" t="s">
        <v>3335</v>
      </c>
      <c r="D24" s="3242" t="s">
        <v>3408</v>
      </c>
      <c r="E24" s="3242">
        <v>57337.75</v>
      </c>
      <c r="F24" s="3242">
        <v>172014</v>
      </c>
      <c r="G24" s="3242" t="s">
        <v>3337</v>
      </c>
      <c r="H24" s="3242" t="s">
        <v>3338</v>
      </c>
      <c r="I24" s="3242" t="s">
        <v>2963</v>
      </c>
      <c r="J24" s="3242">
        <v>0</v>
      </c>
      <c r="K24" s="3242" t="s">
        <v>1058</v>
      </c>
      <c r="L24" s="3242" t="s">
        <v>1058</v>
      </c>
      <c r="M24" s="3242" t="s">
        <v>3339</v>
      </c>
      <c r="N24" s="3242" t="s">
        <v>3404</v>
      </c>
      <c r="O24" s="3242" t="s">
        <v>3388</v>
      </c>
      <c r="P24" s="3242">
        <v>17690</v>
      </c>
      <c r="Q24" s="3242">
        <v>205.68</v>
      </c>
      <c r="R24" s="3242">
        <v>1028.4000000000001</v>
      </c>
      <c r="S24" s="3242">
        <v>0.11</v>
      </c>
      <c r="T24" s="3242">
        <v>40</v>
      </c>
      <c r="U24" s="3242" t="s">
        <v>1058</v>
      </c>
      <c r="V24" s="3242" t="s">
        <v>3357</v>
      </c>
    </row>
    <row r="25" spans="1:22" hidden="1">
      <c r="A25" s="3242" t="s">
        <v>3409</v>
      </c>
      <c r="B25" s="3242" t="s">
        <v>3334</v>
      </c>
      <c r="C25" s="3242" t="s">
        <v>3335</v>
      </c>
      <c r="D25" s="3242" t="s">
        <v>3410</v>
      </c>
      <c r="E25" s="3242">
        <v>17812.400000000001</v>
      </c>
      <c r="F25" s="3242">
        <v>53437.2</v>
      </c>
      <c r="G25" s="3242" t="s">
        <v>3337</v>
      </c>
      <c r="H25" s="3242" t="s">
        <v>3338</v>
      </c>
      <c r="I25" s="3242" t="s">
        <v>2963</v>
      </c>
      <c r="J25" s="3242">
        <v>0</v>
      </c>
      <c r="K25" s="3242" t="s">
        <v>1058</v>
      </c>
      <c r="L25" s="3242" t="s">
        <v>1058</v>
      </c>
      <c r="M25" s="3242" t="s">
        <v>3339</v>
      </c>
      <c r="N25" s="3242" t="s">
        <v>3404</v>
      </c>
      <c r="O25" s="3242" t="s">
        <v>3388</v>
      </c>
      <c r="P25" s="3242">
        <v>5140</v>
      </c>
      <c r="Q25" s="3242">
        <v>192.38</v>
      </c>
      <c r="R25" s="3242">
        <v>961.88</v>
      </c>
      <c r="S25" s="3242">
        <v>0.39</v>
      </c>
      <c r="T25" s="3242">
        <v>40</v>
      </c>
      <c r="U25" s="3242" t="s">
        <v>1058</v>
      </c>
      <c r="V25" s="3242" t="s">
        <v>3357</v>
      </c>
    </row>
    <row r="26" spans="1:22" hidden="1">
      <c r="A26" s="3242" t="s">
        <v>3411</v>
      </c>
      <c r="B26" s="3242" t="s">
        <v>3334</v>
      </c>
      <c r="C26" s="3242" t="s">
        <v>3335</v>
      </c>
      <c r="D26" s="3242" t="s">
        <v>3412</v>
      </c>
      <c r="E26" s="3242">
        <v>26355.14</v>
      </c>
      <c r="F26" s="3242">
        <v>73795</v>
      </c>
      <c r="G26" s="3242" t="s">
        <v>3413</v>
      </c>
      <c r="H26" s="3242" t="s">
        <v>3338</v>
      </c>
      <c r="I26" s="3242" t="s">
        <v>2963</v>
      </c>
      <c r="J26" s="3242">
        <v>0</v>
      </c>
      <c r="K26" s="3242" t="s">
        <v>1058</v>
      </c>
      <c r="L26" s="3242" t="s">
        <v>1058</v>
      </c>
      <c r="M26" s="3242" t="s">
        <v>3339</v>
      </c>
      <c r="N26" s="3242" t="s">
        <v>3404</v>
      </c>
      <c r="O26" s="3242" t="s">
        <v>3388</v>
      </c>
      <c r="P26" s="3242">
        <v>9980</v>
      </c>
      <c r="Q26" s="3242">
        <v>252.45</v>
      </c>
      <c r="R26" s="3242">
        <v>1352.4</v>
      </c>
      <c r="S26" s="3242">
        <v>0.2</v>
      </c>
      <c r="T26" s="3242">
        <v>40</v>
      </c>
      <c r="U26" s="3242" t="s">
        <v>1058</v>
      </c>
      <c r="V26" s="3242" t="s">
        <v>3357</v>
      </c>
    </row>
    <row r="27" spans="1:22" hidden="1">
      <c r="A27" s="3242" t="s">
        <v>3411</v>
      </c>
      <c r="B27" s="3242" t="s">
        <v>3334</v>
      </c>
      <c r="C27" s="3242" t="s">
        <v>3335</v>
      </c>
      <c r="D27" s="3242" t="s">
        <v>3412</v>
      </c>
      <c r="E27" s="3242">
        <v>30642.55</v>
      </c>
      <c r="F27" s="3242">
        <v>85799.14</v>
      </c>
      <c r="G27" s="3242" t="s">
        <v>3413</v>
      </c>
      <c r="H27" s="3242" t="s">
        <v>3338</v>
      </c>
      <c r="I27" s="3242" t="s">
        <v>2963</v>
      </c>
      <c r="J27" s="3242">
        <v>0</v>
      </c>
      <c r="K27" s="3242" t="s">
        <v>1058</v>
      </c>
      <c r="L27" s="3242" t="s">
        <v>1058</v>
      </c>
      <c r="M27" s="3242" t="s">
        <v>3339</v>
      </c>
      <c r="N27" s="3242" t="s">
        <v>3414</v>
      </c>
      <c r="O27" s="3242" t="s">
        <v>3388</v>
      </c>
      <c r="P27" s="3242">
        <v>9980</v>
      </c>
      <c r="Q27" s="3242">
        <v>217.13</v>
      </c>
      <c r="R27" s="3242">
        <v>1163.18</v>
      </c>
      <c r="S27" s="3242">
        <v>0.2</v>
      </c>
      <c r="T27" s="3242" t="s">
        <v>3342</v>
      </c>
      <c r="U27" s="3242" t="s">
        <v>1058</v>
      </c>
      <c r="V27" s="3242" t="s">
        <v>3357</v>
      </c>
    </row>
    <row r="28" spans="1:22" hidden="1">
      <c r="A28" s="3242" t="s">
        <v>3407</v>
      </c>
      <c r="B28" s="3242" t="s">
        <v>3334</v>
      </c>
      <c r="C28" s="3242" t="s">
        <v>3335</v>
      </c>
      <c r="D28" s="3242" t="s">
        <v>3408</v>
      </c>
      <c r="E28" s="3242">
        <v>58004.12</v>
      </c>
      <c r="F28" s="3242">
        <v>174012.36</v>
      </c>
      <c r="G28" s="3242" t="s">
        <v>3337</v>
      </c>
      <c r="H28" s="3242" t="s">
        <v>3338</v>
      </c>
      <c r="I28" s="3242" t="s">
        <v>2963</v>
      </c>
      <c r="J28" s="3242">
        <v>0</v>
      </c>
      <c r="K28" s="3242" t="s">
        <v>1058</v>
      </c>
      <c r="L28" s="3242" t="s">
        <v>1058</v>
      </c>
      <c r="M28" s="3242" t="s">
        <v>3339</v>
      </c>
      <c r="N28" s="3242" t="s">
        <v>3414</v>
      </c>
      <c r="O28" s="3242" t="s">
        <v>3388</v>
      </c>
      <c r="P28" s="3242">
        <v>17690</v>
      </c>
      <c r="Q28" s="3242">
        <v>203.32</v>
      </c>
      <c r="R28" s="3242">
        <v>1016.59</v>
      </c>
      <c r="S28" s="3242">
        <v>0.11</v>
      </c>
      <c r="T28" s="3242" t="s">
        <v>3342</v>
      </c>
      <c r="U28" s="3242" t="s">
        <v>1058</v>
      </c>
      <c r="V28" s="3242" t="s">
        <v>3357</v>
      </c>
    </row>
    <row r="29" spans="1:22" hidden="1">
      <c r="A29" s="3242" t="s">
        <v>3402</v>
      </c>
      <c r="B29" s="3242" t="s">
        <v>3334</v>
      </c>
      <c r="C29" s="3242" t="s">
        <v>3335</v>
      </c>
      <c r="D29" s="3242" t="s">
        <v>3403</v>
      </c>
      <c r="E29" s="3242">
        <v>20000.189999999999</v>
      </c>
      <c r="F29" s="3242">
        <v>60000.57</v>
      </c>
      <c r="G29" s="3242" t="s">
        <v>3337</v>
      </c>
      <c r="H29" s="3242" t="s">
        <v>3338</v>
      </c>
      <c r="I29" s="3242" t="s">
        <v>2963</v>
      </c>
      <c r="J29" s="3242">
        <v>0</v>
      </c>
      <c r="K29" s="3242" t="s">
        <v>1058</v>
      </c>
      <c r="L29" s="3242" t="s">
        <v>1058</v>
      </c>
      <c r="M29" s="3242" t="s">
        <v>3339</v>
      </c>
      <c r="N29" s="3242" t="s">
        <v>3414</v>
      </c>
      <c r="O29" s="3242" t="s">
        <v>3388</v>
      </c>
      <c r="P29" s="3242">
        <v>5810</v>
      </c>
      <c r="Q29" s="3242">
        <v>193.66</v>
      </c>
      <c r="R29" s="3242">
        <v>968.32</v>
      </c>
      <c r="S29" s="3242">
        <v>0.35</v>
      </c>
      <c r="T29" s="3242" t="s">
        <v>3342</v>
      </c>
      <c r="U29" s="3242" t="s">
        <v>1058</v>
      </c>
      <c r="V29" s="3242" t="s">
        <v>3357</v>
      </c>
    </row>
    <row r="30" spans="1:22" hidden="1">
      <c r="A30" s="3242" t="s">
        <v>3415</v>
      </c>
      <c r="B30" s="3242" t="s">
        <v>3334</v>
      </c>
      <c r="C30" s="3242" t="s">
        <v>3335</v>
      </c>
      <c r="D30" s="3242" t="s">
        <v>3416</v>
      </c>
      <c r="E30" s="3242">
        <v>35941.129999999997</v>
      </c>
      <c r="F30" s="3242">
        <v>107823.39</v>
      </c>
      <c r="G30" s="3242" t="s">
        <v>3337</v>
      </c>
      <c r="H30" s="3242" t="s">
        <v>3338</v>
      </c>
      <c r="I30" s="3242" t="s">
        <v>2963</v>
      </c>
      <c r="J30" s="3242">
        <v>0</v>
      </c>
      <c r="K30" s="3242" t="s">
        <v>1058</v>
      </c>
      <c r="L30" s="3242" t="s">
        <v>1058</v>
      </c>
      <c r="M30" s="3242" t="s">
        <v>3339</v>
      </c>
      <c r="N30" s="3242" t="s">
        <v>3414</v>
      </c>
      <c r="O30" s="3242" t="s">
        <v>3388</v>
      </c>
      <c r="P30" s="3242">
        <v>10870</v>
      </c>
      <c r="Q30" s="3242">
        <v>201.63</v>
      </c>
      <c r="R30" s="3242">
        <v>1008.13</v>
      </c>
      <c r="S30" s="3242">
        <v>0.18</v>
      </c>
      <c r="T30" s="3242" t="s">
        <v>3342</v>
      </c>
      <c r="U30" s="3242" t="s">
        <v>1058</v>
      </c>
      <c r="V30" s="3242" t="s">
        <v>3357</v>
      </c>
    </row>
    <row r="31" spans="1:22" hidden="1">
      <c r="A31" s="3242" t="s">
        <v>3417</v>
      </c>
      <c r="B31" s="3242" t="s">
        <v>3334</v>
      </c>
      <c r="C31" s="3242" t="s">
        <v>3335</v>
      </c>
      <c r="D31" s="3242" t="s">
        <v>3418</v>
      </c>
      <c r="E31" s="3242">
        <v>31742.03</v>
      </c>
      <c r="F31" s="3242">
        <v>31742.03</v>
      </c>
      <c r="G31" s="3242" t="s">
        <v>3337</v>
      </c>
      <c r="H31" s="3242" t="s">
        <v>3338</v>
      </c>
      <c r="I31" s="3242" t="s">
        <v>2963</v>
      </c>
      <c r="J31" s="3242">
        <v>0</v>
      </c>
      <c r="K31" s="3242" t="s">
        <v>1058</v>
      </c>
      <c r="L31" s="3242" t="s">
        <v>1058</v>
      </c>
      <c r="M31" s="3242" t="s">
        <v>3339</v>
      </c>
      <c r="N31" s="3242" t="s">
        <v>3414</v>
      </c>
      <c r="O31" s="3242" t="s">
        <v>3388</v>
      </c>
      <c r="P31" s="3242">
        <v>10050</v>
      </c>
      <c r="Q31" s="3242">
        <v>211.08</v>
      </c>
      <c r="R31" s="3242">
        <v>3166.15</v>
      </c>
      <c r="S31" s="3242">
        <v>0.2</v>
      </c>
      <c r="T31" s="3242">
        <v>40</v>
      </c>
      <c r="U31" s="3242" t="s">
        <v>1058</v>
      </c>
      <c r="V31" s="3242" t="s">
        <v>3357</v>
      </c>
    </row>
    <row r="32" spans="1:22" hidden="1">
      <c r="A32" s="3242" t="s">
        <v>3419</v>
      </c>
      <c r="B32" s="3242" t="s">
        <v>3334</v>
      </c>
      <c r="C32" s="3242" t="s">
        <v>3335</v>
      </c>
      <c r="D32" s="3242" t="s">
        <v>3420</v>
      </c>
      <c r="E32" s="3242">
        <v>51601.83</v>
      </c>
      <c r="F32" s="3242">
        <v>154805.49</v>
      </c>
      <c r="G32" s="3242" t="s">
        <v>3337</v>
      </c>
      <c r="H32" s="3242" t="s">
        <v>3338</v>
      </c>
      <c r="I32" s="3242" t="s">
        <v>2963</v>
      </c>
      <c r="J32" s="3242">
        <v>0</v>
      </c>
      <c r="K32" s="3242" t="s">
        <v>1058</v>
      </c>
      <c r="L32" s="3242" t="s">
        <v>1058</v>
      </c>
      <c r="M32" s="3242" t="s">
        <v>3339</v>
      </c>
      <c r="N32" s="3242" t="s">
        <v>3414</v>
      </c>
      <c r="O32" s="3242" t="s">
        <v>3388</v>
      </c>
      <c r="P32" s="3242">
        <v>15890</v>
      </c>
      <c r="Q32" s="3242">
        <v>205.29</v>
      </c>
      <c r="R32" s="3242">
        <v>1026.45</v>
      </c>
      <c r="S32" s="3242">
        <v>0.13</v>
      </c>
      <c r="T32" s="3242" t="s">
        <v>3342</v>
      </c>
      <c r="U32" s="3242" t="s">
        <v>1058</v>
      </c>
      <c r="V32" s="3242" t="s">
        <v>3357</v>
      </c>
    </row>
    <row r="33" spans="1:22" hidden="1">
      <c r="A33" s="3242" t="s">
        <v>3405</v>
      </c>
      <c r="B33" s="3242" t="s">
        <v>3334</v>
      </c>
      <c r="C33" s="3242" t="s">
        <v>3335</v>
      </c>
      <c r="D33" s="3242" t="s">
        <v>3406</v>
      </c>
      <c r="E33" s="3242">
        <v>42430.93</v>
      </c>
      <c r="F33" s="3242">
        <v>127292.79</v>
      </c>
      <c r="G33" s="3242" t="s">
        <v>3337</v>
      </c>
      <c r="H33" s="3242" t="s">
        <v>3338</v>
      </c>
      <c r="I33" s="3242" t="s">
        <v>2963</v>
      </c>
      <c r="J33" s="3242">
        <v>0</v>
      </c>
      <c r="K33" s="3242" t="s">
        <v>1058</v>
      </c>
      <c r="L33" s="3242" t="s">
        <v>1058</v>
      </c>
      <c r="M33" s="3242" t="s">
        <v>3339</v>
      </c>
      <c r="N33" s="3242" t="s">
        <v>3414</v>
      </c>
      <c r="O33" s="3242" t="s">
        <v>3388</v>
      </c>
      <c r="P33" s="3242">
        <v>12810</v>
      </c>
      <c r="Q33" s="3242">
        <v>201.27</v>
      </c>
      <c r="R33" s="3242">
        <v>1006.34</v>
      </c>
      <c r="S33" s="3242">
        <v>0.16</v>
      </c>
      <c r="T33" s="3242" t="s">
        <v>3342</v>
      </c>
      <c r="U33" s="3242" t="s">
        <v>1058</v>
      </c>
      <c r="V33" s="3242" t="s">
        <v>3357</v>
      </c>
    </row>
    <row r="34" spans="1:22" hidden="1">
      <c r="A34" s="3242" t="s">
        <v>3409</v>
      </c>
      <c r="B34" s="3242" t="s">
        <v>3334</v>
      </c>
      <c r="C34" s="3242" t="s">
        <v>3335</v>
      </c>
      <c r="D34" s="3242" t="s">
        <v>3410</v>
      </c>
      <c r="E34" s="3242">
        <v>19548.25</v>
      </c>
      <c r="F34" s="3242">
        <v>58644.75</v>
      </c>
      <c r="G34" s="3242" t="s">
        <v>3337</v>
      </c>
      <c r="H34" s="3242" t="s">
        <v>3338</v>
      </c>
      <c r="I34" s="3242" t="s">
        <v>2963</v>
      </c>
      <c r="J34" s="3242">
        <v>0</v>
      </c>
      <c r="K34" s="3242" t="s">
        <v>1058</v>
      </c>
      <c r="L34" s="3242" t="s">
        <v>1058</v>
      </c>
      <c r="M34" s="3242" t="s">
        <v>3339</v>
      </c>
      <c r="N34" s="3242" t="s">
        <v>3414</v>
      </c>
      <c r="O34" s="3242" t="s">
        <v>3388</v>
      </c>
      <c r="P34" s="3242">
        <v>5140</v>
      </c>
      <c r="Q34" s="3242">
        <v>175.29</v>
      </c>
      <c r="R34" s="3242">
        <v>876.46</v>
      </c>
      <c r="S34" s="3242">
        <v>0.39</v>
      </c>
      <c r="T34" s="3242" t="s">
        <v>3342</v>
      </c>
      <c r="U34" s="3242" t="s">
        <v>1058</v>
      </c>
      <c r="V34" s="3242" t="s">
        <v>3393</v>
      </c>
    </row>
    <row r="35" spans="1:22" hidden="1">
      <c r="A35" s="3242" t="s">
        <v>3421</v>
      </c>
      <c r="B35" s="3242" t="s">
        <v>3334</v>
      </c>
      <c r="C35" s="3242" t="s">
        <v>3335</v>
      </c>
      <c r="D35" s="3242" t="s">
        <v>3422</v>
      </c>
      <c r="E35" s="3242">
        <v>2264.3000000000002</v>
      </c>
      <c r="F35" s="3242">
        <v>3396.45</v>
      </c>
      <c r="G35" s="3242" t="s">
        <v>3423</v>
      </c>
      <c r="H35" s="3242" t="s">
        <v>3338</v>
      </c>
      <c r="I35" s="3242" t="s">
        <v>2963</v>
      </c>
      <c r="J35" s="3242">
        <v>0</v>
      </c>
      <c r="K35" s="3242" t="s">
        <v>1058</v>
      </c>
      <c r="L35" s="3242" t="s">
        <v>1058</v>
      </c>
      <c r="M35" s="3242" t="s">
        <v>3424</v>
      </c>
      <c r="N35" s="3242" t="s">
        <v>3425</v>
      </c>
      <c r="O35" s="3242" t="s">
        <v>3426</v>
      </c>
      <c r="P35" s="3242">
        <v>132</v>
      </c>
      <c r="Q35" s="3242">
        <v>38.86</v>
      </c>
      <c r="R35" s="3242">
        <v>388.64</v>
      </c>
      <c r="S35" s="3242">
        <v>0</v>
      </c>
      <c r="T35" s="3242" t="s">
        <v>3342</v>
      </c>
      <c r="U35" s="3242" t="s">
        <v>1058</v>
      </c>
      <c r="V35" s="3242" t="s">
        <v>3393</v>
      </c>
    </row>
    <row r="36" spans="1:22" hidden="1">
      <c r="A36" s="3242" t="s">
        <v>3427</v>
      </c>
      <c r="B36" s="3242" t="s">
        <v>3334</v>
      </c>
      <c r="C36" s="3242" t="s">
        <v>3335</v>
      </c>
      <c r="D36" s="3242" t="s">
        <v>3428</v>
      </c>
      <c r="E36" s="3242">
        <v>16948</v>
      </c>
      <c r="F36" s="3242">
        <v>33896</v>
      </c>
      <c r="G36" s="3242" t="s">
        <v>3429</v>
      </c>
      <c r="H36" s="3242" t="s">
        <v>3338</v>
      </c>
      <c r="I36" s="3242" t="s">
        <v>2963</v>
      </c>
      <c r="J36" s="3242">
        <v>0</v>
      </c>
      <c r="K36" s="3242" t="s">
        <v>1058</v>
      </c>
      <c r="L36" s="3242" t="s">
        <v>1058</v>
      </c>
      <c r="M36" s="3242" t="s">
        <v>3424</v>
      </c>
      <c r="N36" s="3242" t="s">
        <v>3430</v>
      </c>
      <c r="O36" s="3242" t="s">
        <v>3431</v>
      </c>
      <c r="P36" s="3242">
        <v>7010</v>
      </c>
      <c r="Q36" s="3242">
        <v>275.75</v>
      </c>
      <c r="R36" s="3242">
        <v>2068.09</v>
      </c>
      <c r="S36" s="3242">
        <v>133.66999999999999</v>
      </c>
      <c r="T36" s="3242" t="s">
        <v>3342</v>
      </c>
      <c r="U36" s="3242" t="s">
        <v>1058</v>
      </c>
      <c r="V36" s="3242" t="s">
        <v>3393</v>
      </c>
    </row>
    <row r="37" spans="1:22" hidden="1">
      <c r="A37" s="3242" t="s">
        <v>3432</v>
      </c>
      <c r="B37" s="3242" t="s">
        <v>3334</v>
      </c>
      <c r="C37" s="3242" t="s">
        <v>3335</v>
      </c>
      <c r="D37" s="3242" t="s">
        <v>3433</v>
      </c>
      <c r="E37" s="3242">
        <v>10762.5</v>
      </c>
      <c r="F37" s="3242">
        <v>40897.5</v>
      </c>
      <c r="G37" s="3242" t="s">
        <v>3434</v>
      </c>
      <c r="H37" s="3242" t="s">
        <v>3338</v>
      </c>
      <c r="I37" s="3242" t="s">
        <v>2963</v>
      </c>
      <c r="J37" s="3242">
        <v>0</v>
      </c>
      <c r="K37" s="3242" t="s">
        <v>1058</v>
      </c>
      <c r="L37" s="3242" t="s">
        <v>1058</v>
      </c>
      <c r="M37" s="3242" t="s">
        <v>3424</v>
      </c>
      <c r="N37" s="3242" t="s">
        <v>3435</v>
      </c>
      <c r="O37" s="3242" t="s">
        <v>3436</v>
      </c>
      <c r="P37" s="3242">
        <v>2340</v>
      </c>
      <c r="Q37" s="3242">
        <v>144.94999999999999</v>
      </c>
      <c r="R37" s="3242">
        <v>572.16</v>
      </c>
      <c r="S37" s="3242">
        <v>0</v>
      </c>
      <c r="T37" s="3242" t="s">
        <v>3342</v>
      </c>
      <c r="U37" s="3242" t="s">
        <v>1058</v>
      </c>
      <c r="V37" s="3242" t="s">
        <v>3393</v>
      </c>
    </row>
    <row r="38" spans="1:22" hidden="1">
      <c r="A38" s="3242" t="s">
        <v>3437</v>
      </c>
      <c r="B38" s="3242" t="s">
        <v>3334</v>
      </c>
      <c r="C38" s="3242" t="s">
        <v>3335</v>
      </c>
      <c r="D38" s="3242" t="s">
        <v>3438</v>
      </c>
      <c r="E38" s="3242">
        <v>11643</v>
      </c>
      <c r="F38" s="3242">
        <v>3492.9</v>
      </c>
      <c r="G38" s="3242" t="s">
        <v>3400</v>
      </c>
      <c r="H38" s="3242" t="s">
        <v>3338</v>
      </c>
      <c r="I38" s="3242" t="s">
        <v>2963</v>
      </c>
      <c r="J38" s="3242">
        <v>0</v>
      </c>
      <c r="K38" s="3242" t="s">
        <v>1058</v>
      </c>
      <c r="L38" s="3242" t="s">
        <v>1058</v>
      </c>
      <c r="M38" s="3242" t="s">
        <v>3424</v>
      </c>
      <c r="N38" s="3242" t="s">
        <v>3439</v>
      </c>
      <c r="O38" s="3242" t="s">
        <v>3440</v>
      </c>
      <c r="P38" s="3242">
        <v>780</v>
      </c>
      <c r="Q38" s="3242">
        <v>44.66</v>
      </c>
      <c r="R38" s="3242">
        <v>2233.1</v>
      </c>
      <c r="S38" s="3242">
        <v>1.3</v>
      </c>
      <c r="T38" s="3242" t="s">
        <v>3342</v>
      </c>
      <c r="U38" s="3242" t="s">
        <v>1058</v>
      </c>
      <c r="V38" s="3242" t="s">
        <v>3357</v>
      </c>
    </row>
    <row r="39" spans="1:22" hidden="1">
      <c r="A39" s="3242" t="s">
        <v>3441</v>
      </c>
      <c r="B39" s="3242" t="s">
        <v>3334</v>
      </c>
      <c r="C39" s="3242" t="s">
        <v>3335</v>
      </c>
      <c r="D39" s="3242" t="s">
        <v>3442</v>
      </c>
      <c r="E39" s="3242">
        <v>5628.72</v>
      </c>
      <c r="F39" s="3242">
        <v>1125.74</v>
      </c>
      <c r="G39" s="3242" t="s">
        <v>3443</v>
      </c>
      <c r="H39" s="3242" t="s">
        <v>3338</v>
      </c>
      <c r="I39" s="3242" t="s">
        <v>2963</v>
      </c>
      <c r="J39" s="3242">
        <v>0</v>
      </c>
      <c r="K39" s="3242" t="s">
        <v>1058</v>
      </c>
      <c r="L39" s="3242" t="s">
        <v>1058</v>
      </c>
      <c r="M39" s="3242" t="s">
        <v>3424</v>
      </c>
      <c r="N39" s="3242" t="s">
        <v>3439</v>
      </c>
      <c r="O39" s="3242" t="s">
        <v>3444</v>
      </c>
      <c r="P39" s="3242">
        <v>185</v>
      </c>
      <c r="Q39" s="3242">
        <v>21.91</v>
      </c>
      <c r="R39" s="3242">
        <v>1643.36</v>
      </c>
      <c r="S39" s="3242">
        <v>5.71</v>
      </c>
      <c r="T39" s="3242" t="s">
        <v>3342</v>
      </c>
      <c r="U39" s="3242" t="s">
        <v>1058</v>
      </c>
      <c r="V39" s="3242" t="s">
        <v>3348</v>
      </c>
    </row>
    <row r="40" spans="1:22" hidden="1">
      <c r="A40" s="3242" t="s">
        <v>3445</v>
      </c>
      <c r="B40" s="3242" t="s">
        <v>3334</v>
      </c>
      <c r="C40" s="3242" t="s">
        <v>3335</v>
      </c>
      <c r="D40" s="3242" t="s">
        <v>3446</v>
      </c>
      <c r="E40" s="3242">
        <v>18407.09</v>
      </c>
      <c r="F40" s="3242">
        <v>51539.85</v>
      </c>
      <c r="G40" s="3242" t="s">
        <v>3413</v>
      </c>
      <c r="H40" s="3242" t="s">
        <v>3338</v>
      </c>
      <c r="I40" s="3242" t="s">
        <v>2953</v>
      </c>
      <c r="J40" s="3242">
        <v>0</v>
      </c>
      <c r="K40" s="3242" t="s">
        <v>1058</v>
      </c>
      <c r="L40" s="3242" t="s">
        <v>1058</v>
      </c>
      <c r="M40" s="3242" t="s">
        <v>3424</v>
      </c>
      <c r="N40" s="3242" t="s">
        <v>3447</v>
      </c>
      <c r="O40" s="3242" t="s">
        <v>3388</v>
      </c>
      <c r="P40" s="3242">
        <v>5600</v>
      </c>
      <c r="Q40" s="3242">
        <v>202.82</v>
      </c>
      <c r="R40" s="3242">
        <v>1086.54</v>
      </c>
      <c r="S40" s="3242">
        <v>5.66</v>
      </c>
      <c r="T40" s="3242" t="s">
        <v>3342</v>
      </c>
      <c r="U40" s="3242" t="s">
        <v>1058</v>
      </c>
      <c r="V40" s="3242" t="s">
        <v>3393</v>
      </c>
    </row>
    <row r="41" spans="1:22" hidden="1">
      <c r="A41" s="3242" t="s">
        <v>3448</v>
      </c>
      <c r="B41" s="3242" t="s">
        <v>3334</v>
      </c>
      <c r="C41" s="3242" t="s">
        <v>3335</v>
      </c>
      <c r="D41" s="3242" t="s">
        <v>3449</v>
      </c>
      <c r="E41" s="3242">
        <v>57101.67</v>
      </c>
      <c r="F41" s="3242">
        <v>159884.68</v>
      </c>
      <c r="G41" s="3242" t="s">
        <v>3413</v>
      </c>
      <c r="H41" s="3242" t="s">
        <v>3338</v>
      </c>
      <c r="I41" s="3242" t="s">
        <v>2953</v>
      </c>
      <c r="J41" s="3242">
        <v>0</v>
      </c>
      <c r="K41" s="3242" t="s">
        <v>1058</v>
      </c>
      <c r="L41" s="3242" t="s">
        <v>1058</v>
      </c>
      <c r="M41" s="3242" t="s">
        <v>3424</v>
      </c>
      <c r="N41" s="3242" t="s">
        <v>3447</v>
      </c>
      <c r="O41" s="3242" t="s">
        <v>3388</v>
      </c>
      <c r="P41" s="3242">
        <v>14250</v>
      </c>
      <c r="Q41" s="3242">
        <v>166.37</v>
      </c>
      <c r="R41" s="3242">
        <v>891.27</v>
      </c>
      <c r="S41" s="3242">
        <v>1.42</v>
      </c>
      <c r="T41" s="3242" t="s">
        <v>3342</v>
      </c>
      <c r="U41" s="3242" t="s">
        <v>1058</v>
      </c>
      <c r="V41" s="3242" t="s">
        <v>3393</v>
      </c>
    </row>
    <row r="42" spans="1:22" hidden="1">
      <c r="A42" s="3242" t="s">
        <v>3450</v>
      </c>
      <c r="B42" s="3242" t="s">
        <v>3334</v>
      </c>
      <c r="C42" s="3242" t="s">
        <v>3335</v>
      </c>
      <c r="D42" s="3242" t="s">
        <v>3451</v>
      </c>
      <c r="E42" s="3242">
        <v>7100.35</v>
      </c>
      <c r="F42" s="3242">
        <v>19880.98</v>
      </c>
      <c r="G42" s="3242" t="s">
        <v>3413</v>
      </c>
      <c r="H42" s="3242" t="s">
        <v>3338</v>
      </c>
      <c r="I42" s="3242" t="s">
        <v>2953</v>
      </c>
      <c r="J42" s="3242">
        <v>0</v>
      </c>
      <c r="K42" s="3242" t="s">
        <v>1058</v>
      </c>
      <c r="L42" s="3242" t="s">
        <v>1058</v>
      </c>
      <c r="M42" s="3242" t="s">
        <v>3424</v>
      </c>
      <c r="N42" s="3242" t="s">
        <v>3447</v>
      </c>
      <c r="O42" s="3242" t="s">
        <v>3388</v>
      </c>
      <c r="P42" s="3242">
        <v>2400</v>
      </c>
      <c r="Q42" s="3242">
        <v>225.34</v>
      </c>
      <c r="R42" s="3242">
        <v>1207.18</v>
      </c>
      <c r="S42" s="3242">
        <v>9.09</v>
      </c>
      <c r="T42" s="3242" t="s">
        <v>3342</v>
      </c>
      <c r="U42" s="3242" t="s">
        <v>1058</v>
      </c>
      <c r="V42" s="3242" t="s">
        <v>3357</v>
      </c>
    </row>
    <row r="43" spans="1:22" hidden="1">
      <c r="A43" s="3242" t="s">
        <v>3452</v>
      </c>
      <c r="B43" s="3242" t="s">
        <v>3334</v>
      </c>
      <c r="C43" s="3242" t="s">
        <v>3335</v>
      </c>
      <c r="D43" s="3242" t="s">
        <v>3453</v>
      </c>
      <c r="E43" s="3242">
        <v>7862.08</v>
      </c>
      <c r="F43" s="3242">
        <v>22013.82</v>
      </c>
      <c r="G43" s="3242" t="s">
        <v>3413</v>
      </c>
      <c r="H43" s="3242" t="s">
        <v>3338</v>
      </c>
      <c r="I43" s="3242" t="s">
        <v>2953</v>
      </c>
      <c r="J43" s="3242">
        <v>0</v>
      </c>
      <c r="K43" s="3242" t="s">
        <v>1058</v>
      </c>
      <c r="L43" s="3242" t="s">
        <v>1058</v>
      </c>
      <c r="M43" s="3242" t="s">
        <v>3424</v>
      </c>
      <c r="N43" s="3242" t="s">
        <v>3447</v>
      </c>
      <c r="O43" s="3242" t="s">
        <v>3388</v>
      </c>
      <c r="P43" s="3242">
        <v>2600</v>
      </c>
      <c r="Q43" s="3242">
        <v>220.47</v>
      </c>
      <c r="R43" s="3242">
        <v>1181.08</v>
      </c>
      <c r="S43" s="3242">
        <v>8.33</v>
      </c>
      <c r="T43" s="3242" t="s">
        <v>3342</v>
      </c>
      <c r="U43" s="3242" t="s">
        <v>1058</v>
      </c>
      <c r="V43" s="3242" t="s">
        <v>3393</v>
      </c>
    </row>
    <row r="44" spans="1:22" hidden="1">
      <c r="A44" s="3242" t="s">
        <v>3454</v>
      </c>
      <c r="B44" s="3242" t="s">
        <v>3334</v>
      </c>
      <c r="C44" s="3242" t="s">
        <v>3335</v>
      </c>
      <c r="D44" s="3242" t="s">
        <v>3455</v>
      </c>
      <c r="E44" s="3242">
        <v>31020.65</v>
      </c>
      <c r="F44" s="3242">
        <v>86857.82</v>
      </c>
      <c r="G44" s="3242" t="s">
        <v>3413</v>
      </c>
      <c r="H44" s="3242" t="s">
        <v>3338</v>
      </c>
      <c r="I44" s="3242" t="s">
        <v>2953</v>
      </c>
      <c r="J44" s="3242">
        <v>0</v>
      </c>
      <c r="K44" s="3242" t="s">
        <v>1058</v>
      </c>
      <c r="L44" s="3242" t="s">
        <v>1058</v>
      </c>
      <c r="M44" s="3242" t="s">
        <v>3424</v>
      </c>
      <c r="N44" s="3242" t="s">
        <v>3447</v>
      </c>
      <c r="O44" s="3242" t="s">
        <v>3388</v>
      </c>
      <c r="P44" s="3242">
        <v>9550</v>
      </c>
      <c r="Q44" s="3242">
        <v>205.24</v>
      </c>
      <c r="R44" s="3242">
        <v>1099.5</v>
      </c>
      <c r="S44" s="3242">
        <v>2.14</v>
      </c>
      <c r="T44" s="3242" t="s">
        <v>3342</v>
      </c>
      <c r="U44" s="3242" t="s">
        <v>1058</v>
      </c>
      <c r="V44" s="3242" t="s">
        <v>3393</v>
      </c>
    </row>
    <row r="45" spans="1:22" hidden="1">
      <c r="A45" s="3242" t="s">
        <v>3456</v>
      </c>
      <c r="B45" s="3242" t="s">
        <v>3334</v>
      </c>
      <c r="C45" s="3242" t="s">
        <v>3335</v>
      </c>
      <c r="D45" s="3242" t="s">
        <v>3457</v>
      </c>
      <c r="E45" s="3242">
        <v>65465.58</v>
      </c>
      <c r="F45" s="3242">
        <v>163663.95000000001</v>
      </c>
      <c r="G45" s="3242" t="s">
        <v>3458</v>
      </c>
      <c r="H45" s="3242" t="s">
        <v>3338</v>
      </c>
      <c r="I45" s="3242" t="s">
        <v>2953</v>
      </c>
      <c r="J45" s="3242">
        <v>0</v>
      </c>
      <c r="K45" s="3242" t="s">
        <v>1058</v>
      </c>
      <c r="L45" s="3242" t="s">
        <v>1058</v>
      </c>
      <c r="M45" s="3242" t="s">
        <v>3424</v>
      </c>
      <c r="N45" s="3242" t="s">
        <v>3459</v>
      </c>
      <c r="O45" s="3242" t="s">
        <v>3460</v>
      </c>
      <c r="P45" s="3242">
        <v>13640</v>
      </c>
      <c r="Q45" s="3242">
        <v>138.9</v>
      </c>
      <c r="R45" s="3242">
        <v>833.42</v>
      </c>
      <c r="S45" s="3242">
        <v>0</v>
      </c>
      <c r="T45" s="3242" t="s">
        <v>3342</v>
      </c>
      <c r="U45" s="3242" t="s">
        <v>1058</v>
      </c>
      <c r="V45" s="3242" t="s">
        <v>3393</v>
      </c>
    </row>
    <row r="46" spans="1:22" hidden="1">
      <c r="A46" s="3242" t="s">
        <v>3461</v>
      </c>
      <c r="B46" s="3242" t="s">
        <v>3334</v>
      </c>
      <c r="C46" s="3242" t="s">
        <v>3335</v>
      </c>
      <c r="D46" s="3242" t="s">
        <v>3462</v>
      </c>
      <c r="E46" s="3242">
        <v>1597.04</v>
      </c>
      <c r="F46" s="3242">
        <v>1916.45</v>
      </c>
      <c r="G46" s="3242" t="s">
        <v>3463</v>
      </c>
      <c r="H46" s="3242" t="s">
        <v>3338</v>
      </c>
      <c r="I46" s="3242" t="s">
        <v>2963</v>
      </c>
      <c r="J46" s="3242">
        <v>0</v>
      </c>
      <c r="K46" s="3242" t="s">
        <v>1058</v>
      </c>
      <c r="L46" s="3242" t="s">
        <v>1058</v>
      </c>
      <c r="M46" s="3242" t="s">
        <v>3424</v>
      </c>
      <c r="N46" s="3242" t="s">
        <v>3464</v>
      </c>
      <c r="O46" s="3242" t="s">
        <v>3465</v>
      </c>
      <c r="P46" s="3242">
        <v>50</v>
      </c>
      <c r="Q46" s="3242">
        <v>20.87</v>
      </c>
      <c r="R46" s="3242">
        <v>260.89999999999998</v>
      </c>
      <c r="S46" s="3242">
        <v>0</v>
      </c>
      <c r="T46" s="3242" t="s">
        <v>3342</v>
      </c>
      <c r="U46" s="3242" t="s">
        <v>1058</v>
      </c>
      <c r="V46" s="3242" t="s">
        <v>3348</v>
      </c>
    </row>
    <row r="47" spans="1:22" hidden="1">
      <c r="A47" s="3242" t="s">
        <v>3466</v>
      </c>
      <c r="B47" s="3242" t="s">
        <v>3334</v>
      </c>
      <c r="C47" s="3242" t="s">
        <v>3335</v>
      </c>
      <c r="D47" s="3242" t="s">
        <v>3467</v>
      </c>
      <c r="E47" s="3242">
        <v>21147</v>
      </c>
      <c r="F47" s="3242">
        <v>16917.599999999999</v>
      </c>
      <c r="G47" s="3242" t="s">
        <v>3468</v>
      </c>
      <c r="H47" s="3242" t="s">
        <v>3338</v>
      </c>
      <c r="I47" s="3242" t="s">
        <v>2953</v>
      </c>
      <c r="J47" s="3242">
        <v>0</v>
      </c>
      <c r="K47" s="3242" t="s">
        <v>1058</v>
      </c>
      <c r="L47" s="3242" t="s">
        <v>1058</v>
      </c>
      <c r="M47" s="3242" t="s">
        <v>3424</v>
      </c>
      <c r="N47" s="3242" t="s">
        <v>3469</v>
      </c>
      <c r="O47" s="3242" t="s">
        <v>3351</v>
      </c>
      <c r="P47" s="3242">
        <v>1700</v>
      </c>
      <c r="Q47" s="3242">
        <v>53.59</v>
      </c>
      <c r="R47" s="3242">
        <v>1004.87</v>
      </c>
      <c r="S47" s="3242">
        <v>0</v>
      </c>
      <c r="T47" s="3242" t="s">
        <v>3342</v>
      </c>
      <c r="U47" s="3242" t="s">
        <v>1058</v>
      </c>
      <c r="V47" s="3242" t="s">
        <v>3348</v>
      </c>
    </row>
    <row r="48" spans="1:22" hidden="1">
      <c r="A48" s="3242" t="s">
        <v>3470</v>
      </c>
      <c r="B48" s="3242" t="s">
        <v>3334</v>
      </c>
      <c r="C48" s="3242" t="s">
        <v>3335</v>
      </c>
      <c r="D48" s="3242" t="s">
        <v>3471</v>
      </c>
      <c r="E48" s="3242">
        <v>4255.59</v>
      </c>
      <c r="F48" s="3242">
        <v>1702.24</v>
      </c>
      <c r="G48" s="3242" t="s">
        <v>3472</v>
      </c>
      <c r="H48" s="3242" t="s">
        <v>3338</v>
      </c>
      <c r="I48" s="3242" t="s">
        <v>2953</v>
      </c>
      <c r="J48" s="3242">
        <v>0</v>
      </c>
      <c r="K48" s="3242" t="s">
        <v>1058</v>
      </c>
      <c r="L48" s="3242" t="s">
        <v>1058</v>
      </c>
      <c r="M48" s="3242" t="s">
        <v>3424</v>
      </c>
      <c r="N48" s="3242" t="s">
        <v>3469</v>
      </c>
      <c r="O48" s="3242" t="s">
        <v>3473</v>
      </c>
      <c r="P48" s="3242">
        <v>2210</v>
      </c>
      <c r="Q48" s="3242">
        <v>346.21</v>
      </c>
      <c r="R48" s="3242">
        <v>12982.89</v>
      </c>
      <c r="S48" s="3242">
        <v>497.3</v>
      </c>
      <c r="T48" s="3242" t="s">
        <v>3342</v>
      </c>
      <c r="U48" s="3242" t="s">
        <v>1058</v>
      </c>
      <c r="V48" s="3242" t="s">
        <v>3343</v>
      </c>
    </row>
    <row r="49" spans="1:22" hidden="1">
      <c r="A49" s="3242" t="s">
        <v>3474</v>
      </c>
      <c r="B49" s="3242" t="s">
        <v>3334</v>
      </c>
      <c r="C49" s="3242" t="s">
        <v>3335</v>
      </c>
      <c r="D49" s="3242" t="s">
        <v>3475</v>
      </c>
      <c r="E49" s="3242">
        <v>2991.47</v>
      </c>
      <c r="F49" s="3242">
        <v>2183.77</v>
      </c>
      <c r="G49" s="3242" t="s">
        <v>3476</v>
      </c>
      <c r="H49" s="3242" t="s">
        <v>3338</v>
      </c>
      <c r="I49" s="3242" t="s">
        <v>3477</v>
      </c>
      <c r="J49" s="3242">
        <v>0</v>
      </c>
      <c r="K49" s="3242" t="s">
        <v>1058</v>
      </c>
      <c r="L49" s="3242" t="s">
        <v>1058</v>
      </c>
      <c r="M49" s="3242" t="s">
        <v>3424</v>
      </c>
      <c r="N49" s="3242" t="s">
        <v>3478</v>
      </c>
      <c r="O49" s="3242" t="s">
        <v>3479</v>
      </c>
      <c r="P49" s="3242">
        <v>95</v>
      </c>
      <c r="Q49" s="3242">
        <v>21.17</v>
      </c>
      <c r="R49" s="3242">
        <v>435.03</v>
      </c>
      <c r="S49" s="3242">
        <v>0</v>
      </c>
      <c r="T49" s="3242" t="s">
        <v>3342</v>
      </c>
      <c r="U49" s="3242" t="s">
        <v>1058</v>
      </c>
      <c r="V49" s="3242" t="s">
        <v>3343</v>
      </c>
    </row>
    <row r="50" spans="1:22" hidden="1">
      <c r="A50" s="3242" t="s">
        <v>3480</v>
      </c>
      <c r="B50" s="3242" t="s">
        <v>3334</v>
      </c>
      <c r="C50" s="3242" t="s">
        <v>3335</v>
      </c>
      <c r="D50" s="3242" t="s">
        <v>3481</v>
      </c>
      <c r="E50" s="3242">
        <v>22090.3</v>
      </c>
      <c r="F50" s="3242">
        <v>33135.449999999997</v>
      </c>
      <c r="G50" s="3242" t="s">
        <v>3423</v>
      </c>
      <c r="H50" s="3242" t="s">
        <v>3338</v>
      </c>
      <c r="I50" s="3242" t="s">
        <v>3477</v>
      </c>
      <c r="J50" s="3242">
        <v>0</v>
      </c>
      <c r="K50" s="3242" t="s">
        <v>1058</v>
      </c>
      <c r="L50" s="3242" t="s">
        <v>1058</v>
      </c>
      <c r="M50" s="3242" t="s">
        <v>3424</v>
      </c>
      <c r="N50" s="3242" t="s">
        <v>3482</v>
      </c>
      <c r="O50" s="3242" t="s">
        <v>3483</v>
      </c>
      <c r="P50" s="3242">
        <v>700</v>
      </c>
      <c r="Q50" s="3242">
        <v>21.13</v>
      </c>
      <c r="R50" s="3242">
        <v>211.25</v>
      </c>
      <c r="S50" s="3242">
        <v>0</v>
      </c>
      <c r="T50" s="3242" t="s">
        <v>3342</v>
      </c>
      <c r="U50" s="3242" t="s">
        <v>1058</v>
      </c>
      <c r="V50" s="3242" t="s">
        <v>3343</v>
      </c>
    </row>
    <row r="51" spans="1:22" hidden="1">
      <c r="A51" s="3242" t="s">
        <v>3484</v>
      </c>
      <c r="B51" s="3242" t="s">
        <v>3334</v>
      </c>
      <c r="C51" s="3242" t="s">
        <v>3335</v>
      </c>
      <c r="D51" s="3242" t="s">
        <v>3485</v>
      </c>
      <c r="E51" s="3242">
        <v>10511.08</v>
      </c>
      <c r="F51" s="3242">
        <v>10511.08</v>
      </c>
      <c r="G51" s="3242" t="s">
        <v>3346</v>
      </c>
      <c r="H51" s="3242" t="s">
        <v>3338</v>
      </c>
      <c r="I51" s="3242" t="s">
        <v>3477</v>
      </c>
      <c r="J51" s="3242">
        <v>0</v>
      </c>
      <c r="K51" s="3242" t="s">
        <v>1058</v>
      </c>
      <c r="L51" s="3242" t="s">
        <v>1058</v>
      </c>
      <c r="M51" s="3242" t="s">
        <v>3424</v>
      </c>
      <c r="N51" s="3242" t="s">
        <v>3482</v>
      </c>
      <c r="O51" s="3242" t="s">
        <v>3483</v>
      </c>
      <c r="P51" s="3242">
        <v>185</v>
      </c>
      <c r="Q51" s="3242">
        <v>11.73</v>
      </c>
      <c r="R51" s="3242">
        <v>176</v>
      </c>
      <c r="S51" s="3242">
        <v>0</v>
      </c>
      <c r="T51" s="3242" t="s">
        <v>3342</v>
      </c>
      <c r="U51" s="3242" t="s">
        <v>1058</v>
      </c>
      <c r="V51" s="3242" t="s">
        <v>3343</v>
      </c>
    </row>
    <row r="52" spans="1:22" hidden="1">
      <c r="A52" s="3242" t="s">
        <v>3486</v>
      </c>
      <c r="B52" s="3242" t="s">
        <v>3334</v>
      </c>
      <c r="C52" s="3242" t="s">
        <v>3335</v>
      </c>
      <c r="D52" s="3242" t="s">
        <v>3487</v>
      </c>
      <c r="E52" s="3242">
        <v>18548.09</v>
      </c>
      <c r="F52" s="3242">
        <v>51934.65</v>
      </c>
      <c r="G52" s="3242" t="s">
        <v>3413</v>
      </c>
      <c r="H52" s="3242" t="s">
        <v>3338</v>
      </c>
      <c r="I52" s="3242" t="s">
        <v>3477</v>
      </c>
      <c r="J52" s="3242">
        <v>0</v>
      </c>
      <c r="K52" s="3242" t="s">
        <v>1058</v>
      </c>
      <c r="L52" s="3242" t="s">
        <v>1058</v>
      </c>
      <c r="M52" s="3242" t="s">
        <v>3424</v>
      </c>
      <c r="N52" s="3242" t="s">
        <v>3488</v>
      </c>
      <c r="O52" s="3242" t="s">
        <v>3392</v>
      </c>
      <c r="P52" s="3242">
        <v>5810</v>
      </c>
      <c r="Q52" s="3242">
        <v>208.83</v>
      </c>
      <c r="R52" s="3242">
        <v>1118.71</v>
      </c>
      <c r="S52" s="3242">
        <v>0.17</v>
      </c>
      <c r="T52" s="3242" t="s">
        <v>3342</v>
      </c>
      <c r="U52" s="3242" t="s">
        <v>1058</v>
      </c>
      <c r="V52" s="3242" t="s">
        <v>3393</v>
      </c>
    </row>
    <row r="53" spans="1:22" hidden="1">
      <c r="A53" s="3242" t="s">
        <v>3489</v>
      </c>
      <c r="B53" s="3242" t="s">
        <v>3334</v>
      </c>
      <c r="C53" s="3242" t="s">
        <v>3335</v>
      </c>
      <c r="D53" s="3242" t="s">
        <v>3490</v>
      </c>
      <c r="E53" s="3242">
        <v>20045.21</v>
      </c>
      <c r="F53" s="3242">
        <v>56126.59</v>
      </c>
      <c r="G53" s="3242" t="s">
        <v>3413</v>
      </c>
      <c r="H53" s="3242" t="s">
        <v>3338</v>
      </c>
      <c r="I53" s="3242" t="s">
        <v>3477</v>
      </c>
      <c r="J53" s="3242">
        <v>0</v>
      </c>
      <c r="K53" s="3242" t="s">
        <v>1058</v>
      </c>
      <c r="L53" s="3242" t="s">
        <v>1058</v>
      </c>
      <c r="M53" s="3242" t="s">
        <v>3424</v>
      </c>
      <c r="N53" s="3242" t="s">
        <v>3488</v>
      </c>
      <c r="O53" s="3242" t="s">
        <v>3392</v>
      </c>
      <c r="P53" s="3242">
        <v>6850</v>
      </c>
      <c r="Q53" s="3242">
        <v>227.82</v>
      </c>
      <c r="R53" s="3242">
        <v>1220.46</v>
      </c>
      <c r="S53" s="3242">
        <v>0.15</v>
      </c>
      <c r="T53" s="3242" t="s">
        <v>3342</v>
      </c>
      <c r="U53" s="3242" t="s">
        <v>1058</v>
      </c>
      <c r="V53" s="3242" t="s">
        <v>3393</v>
      </c>
    </row>
    <row r="54" spans="1:22" hidden="1">
      <c r="A54" s="3242" t="s">
        <v>3491</v>
      </c>
      <c r="B54" s="3242" t="s">
        <v>3334</v>
      </c>
      <c r="C54" s="3242" t="s">
        <v>3335</v>
      </c>
      <c r="D54" s="3242" t="s">
        <v>3492</v>
      </c>
      <c r="E54" s="3242">
        <v>21961.22</v>
      </c>
      <c r="F54" s="3242">
        <v>61491.42</v>
      </c>
      <c r="G54" s="3242" t="s">
        <v>3413</v>
      </c>
      <c r="H54" s="3242" t="s">
        <v>3338</v>
      </c>
      <c r="I54" s="3242" t="s">
        <v>3477</v>
      </c>
      <c r="J54" s="3242">
        <v>0</v>
      </c>
      <c r="K54" s="3242" t="s">
        <v>1058</v>
      </c>
      <c r="L54" s="3242" t="s">
        <v>1058</v>
      </c>
      <c r="M54" s="3242" t="s">
        <v>3424</v>
      </c>
      <c r="N54" s="3242" t="s">
        <v>3488</v>
      </c>
      <c r="O54" s="3242" t="s">
        <v>3392</v>
      </c>
      <c r="P54" s="3242">
        <v>7470</v>
      </c>
      <c r="Q54" s="3242">
        <v>226.76</v>
      </c>
      <c r="R54" s="3242">
        <v>1214.8</v>
      </c>
      <c r="S54" s="3242">
        <v>0.13</v>
      </c>
      <c r="T54" s="3242" t="s">
        <v>3342</v>
      </c>
      <c r="U54" s="3242" t="s">
        <v>1058</v>
      </c>
      <c r="V54" s="3242" t="s">
        <v>3393</v>
      </c>
    </row>
    <row r="55" spans="1:22" hidden="1">
      <c r="A55" s="3242" t="s">
        <v>3493</v>
      </c>
      <c r="B55" s="3242" t="s">
        <v>3334</v>
      </c>
      <c r="C55" s="3242" t="s">
        <v>3335</v>
      </c>
      <c r="D55" s="3242" t="s">
        <v>3494</v>
      </c>
      <c r="E55" s="3242">
        <v>37321.03</v>
      </c>
      <c r="F55" s="3242">
        <v>74642.06</v>
      </c>
      <c r="G55" s="3242" t="s">
        <v>3495</v>
      </c>
      <c r="H55" s="3242" t="s">
        <v>3338</v>
      </c>
      <c r="I55" s="3242" t="s">
        <v>3496</v>
      </c>
      <c r="J55" s="3242">
        <v>0</v>
      </c>
      <c r="K55" s="3242" t="s">
        <v>1058</v>
      </c>
      <c r="L55" s="3242" t="s">
        <v>1058</v>
      </c>
      <c r="M55" s="3242" t="s">
        <v>3424</v>
      </c>
      <c r="N55" s="3242" t="s">
        <v>3497</v>
      </c>
      <c r="O55" s="3242" t="s">
        <v>3392</v>
      </c>
      <c r="P55" s="3242">
        <v>8820</v>
      </c>
      <c r="Q55" s="3242">
        <v>157.55000000000001</v>
      </c>
      <c r="R55" s="3242">
        <v>1181.6400000000001</v>
      </c>
      <c r="S55" s="3242">
        <v>2.56</v>
      </c>
      <c r="T55" s="3242" t="s">
        <v>3498</v>
      </c>
      <c r="U55" s="3242" t="s">
        <v>1058</v>
      </c>
      <c r="V55" s="3242" t="s">
        <v>3357</v>
      </c>
    </row>
    <row r="56" spans="1:22" hidden="1">
      <c r="A56" s="3242" t="s">
        <v>3499</v>
      </c>
      <c r="B56" s="3242" t="s">
        <v>3334</v>
      </c>
      <c r="C56" s="3242" t="s">
        <v>3335</v>
      </c>
      <c r="D56" s="3242" t="s">
        <v>3500</v>
      </c>
      <c r="E56" s="3242">
        <v>2695.76</v>
      </c>
      <c r="F56" s="3242">
        <v>673.94</v>
      </c>
      <c r="G56" s="3242" t="s">
        <v>3501</v>
      </c>
      <c r="H56" s="3242" t="s">
        <v>3338</v>
      </c>
      <c r="I56" s="3242" t="s">
        <v>1102</v>
      </c>
      <c r="J56" s="3242">
        <v>0</v>
      </c>
      <c r="K56" s="3242" t="s">
        <v>1058</v>
      </c>
      <c r="L56" s="3242" t="s">
        <v>1058</v>
      </c>
      <c r="M56" s="3242" t="s">
        <v>3424</v>
      </c>
      <c r="N56" s="3242" t="s">
        <v>3502</v>
      </c>
      <c r="O56" s="3242" t="s">
        <v>3503</v>
      </c>
      <c r="P56" s="3242">
        <v>200</v>
      </c>
      <c r="Q56" s="3242">
        <v>49.46</v>
      </c>
      <c r="R56" s="3242">
        <v>2967.62</v>
      </c>
      <c r="S56" s="3242">
        <v>25</v>
      </c>
      <c r="T56" s="3242" t="s">
        <v>3504</v>
      </c>
      <c r="U56" s="3242" t="s">
        <v>1058</v>
      </c>
      <c r="V56" s="3242" t="s">
        <v>3343</v>
      </c>
    </row>
    <row r="57" spans="1:22" hidden="1">
      <c r="A57" s="3242" t="s">
        <v>3505</v>
      </c>
      <c r="B57" s="3242" t="s">
        <v>3334</v>
      </c>
      <c r="C57" s="3242" t="s">
        <v>3335</v>
      </c>
      <c r="D57" s="3242" t="s">
        <v>3506</v>
      </c>
      <c r="E57" s="3242">
        <v>2397.75</v>
      </c>
      <c r="F57" s="3242">
        <v>2877.3</v>
      </c>
      <c r="G57" s="3242" t="s">
        <v>3507</v>
      </c>
      <c r="H57" s="3242" t="s">
        <v>3338</v>
      </c>
      <c r="I57" s="3242" t="s">
        <v>2959</v>
      </c>
      <c r="J57" s="3242">
        <v>0</v>
      </c>
      <c r="K57" s="3242" t="s">
        <v>1058</v>
      </c>
      <c r="L57" s="3242" t="s">
        <v>1058</v>
      </c>
      <c r="M57" s="3242" t="s">
        <v>3508</v>
      </c>
      <c r="N57" s="3242" t="s">
        <v>3509</v>
      </c>
      <c r="O57" s="3242" t="s">
        <v>3510</v>
      </c>
      <c r="P57" s="3242">
        <v>71</v>
      </c>
      <c r="Q57" s="3242">
        <v>19.739999999999998</v>
      </c>
      <c r="R57" s="3242">
        <v>246.76</v>
      </c>
      <c r="S57" s="3242">
        <v>0</v>
      </c>
      <c r="T57" s="3242" t="s">
        <v>3342</v>
      </c>
      <c r="U57" s="3242" t="s">
        <v>1058</v>
      </c>
      <c r="V57" s="3242" t="s">
        <v>3348</v>
      </c>
    </row>
    <row r="58" spans="1:22" hidden="1">
      <c r="A58" s="3242" t="s">
        <v>3511</v>
      </c>
      <c r="B58" s="3242" t="s">
        <v>3334</v>
      </c>
      <c r="C58" s="3242" t="s">
        <v>3335</v>
      </c>
      <c r="D58" s="3242" t="s">
        <v>3512</v>
      </c>
      <c r="E58" s="3242">
        <v>5903</v>
      </c>
      <c r="F58" s="3242">
        <v>4722.3999999999996</v>
      </c>
      <c r="G58" s="3242" t="s">
        <v>3468</v>
      </c>
      <c r="H58" s="3242" t="s">
        <v>3338</v>
      </c>
      <c r="I58" s="3242" t="s">
        <v>2953</v>
      </c>
      <c r="J58" s="3242">
        <v>0</v>
      </c>
      <c r="K58" s="3242" t="s">
        <v>1058</v>
      </c>
      <c r="L58" s="3242" t="s">
        <v>1058</v>
      </c>
      <c r="M58" s="3242" t="s">
        <v>3508</v>
      </c>
      <c r="N58" s="3242" t="s">
        <v>3509</v>
      </c>
      <c r="O58" s="3242" t="s">
        <v>3513</v>
      </c>
      <c r="P58" s="3242">
        <v>450</v>
      </c>
      <c r="Q58" s="3242">
        <v>50.82</v>
      </c>
      <c r="R58" s="3242">
        <v>952.91</v>
      </c>
      <c r="S58" s="3242">
        <v>18.420000000000002</v>
      </c>
      <c r="T58" s="3242" t="s">
        <v>3342</v>
      </c>
      <c r="U58" s="3242" t="s">
        <v>1058</v>
      </c>
      <c r="V58" s="3242" t="s">
        <v>3348</v>
      </c>
    </row>
    <row r="59" spans="1:22" hidden="1">
      <c r="A59" s="3242" t="s">
        <v>3514</v>
      </c>
      <c r="B59" s="3242" t="s">
        <v>3334</v>
      </c>
      <c r="C59" s="3242" t="s">
        <v>3335</v>
      </c>
      <c r="D59" s="3242" t="s">
        <v>3515</v>
      </c>
      <c r="E59" s="3242">
        <v>2394.4499999999998</v>
      </c>
      <c r="F59" s="3242">
        <v>718.34</v>
      </c>
      <c r="G59" s="3242" t="s">
        <v>3400</v>
      </c>
      <c r="H59" s="3242" t="s">
        <v>3338</v>
      </c>
      <c r="I59" s="3242" t="s">
        <v>2953</v>
      </c>
      <c r="J59" s="3242">
        <v>0</v>
      </c>
      <c r="K59" s="3242" t="s">
        <v>1058</v>
      </c>
      <c r="L59" s="3242" t="s">
        <v>1058</v>
      </c>
      <c r="M59" s="3242" t="s">
        <v>3508</v>
      </c>
      <c r="N59" s="3242" t="s">
        <v>3509</v>
      </c>
      <c r="O59" s="3242" t="s">
        <v>3516</v>
      </c>
      <c r="P59" s="3242">
        <v>155</v>
      </c>
      <c r="Q59" s="3242">
        <v>43.16</v>
      </c>
      <c r="R59" s="3242">
        <v>2157.75</v>
      </c>
      <c r="S59" s="3242">
        <v>24</v>
      </c>
      <c r="T59" s="3242" t="s">
        <v>3342</v>
      </c>
      <c r="U59" s="3242" t="s">
        <v>1058</v>
      </c>
      <c r="V59" s="3242" t="s">
        <v>3348</v>
      </c>
    </row>
    <row r="60" spans="1:22" hidden="1">
      <c r="A60" s="3242" t="s">
        <v>3517</v>
      </c>
      <c r="B60" s="3242" t="s">
        <v>3334</v>
      </c>
      <c r="C60" s="3242" t="s">
        <v>3335</v>
      </c>
      <c r="D60" s="3242" t="s">
        <v>3518</v>
      </c>
      <c r="E60" s="3242">
        <v>1255</v>
      </c>
      <c r="F60" s="3242">
        <v>1506</v>
      </c>
      <c r="G60" s="3242" t="s">
        <v>3507</v>
      </c>
      <c r="H60" s="3242" t="s">
        <v>3338</v>
      </c>
      <c r="I60" s="3242" t="s">
        <v>2959</v>
      </c>
      <c r="J60" s="3242">
        <v>0</v>
      </c>
      <c r="K60" s="3242" t="s">
        <v>1058</v>
      </c>
      <c r="L60" s="3242" t="s">
        <v>1058</v>
      </c>
      <c r="M60" s="3242" t="s">
        <v>3508</v>
      </c>
      <c r="N60" s="3242" t="s">
        <v>3509</v>
      </c>
      <c r="O60" s="3242" t="s">
        <v>3510</v>
      </c>
      <c r="P60" s="3242">
        <v>37</v>
      </c>
      <c r="Q60" s="3242">
        <v>19.649999999999999</v>
      </c>
      <c r="R60" s="3242">
        <v>245.68</v>
      </c>
      <c r="S60" s="3242">
        <v>0</v>
      </c>
      <c r="T60" s="3242" t="s">
        <v>3342</v>
      </c>
      <c r="U60" s="3242" t="s">
        <v>1058</v>
      </c>
      <c r="V60" s="3242" t="s">
        <v>3348</v>
      </c>
    </row>
    <row r="61" spans="1:22" hidden="1">
      <c r="A61" s="3242" t="s">
        <v>3519</v>
      </c>
      <c r="B61" s="3242" t="s">
        <v>3334</v>
      </c>
      <c r="C61" s="3242" t="s">
        <v>3335</v>
      </c>
      <c r="D61" s="3242" t="s">
        <v>3520</v>
      </c>
      <c r="E61" s="3242">
        <v>131151</v>
      </c>
      <c r="F61" s="3242">
        <v>515423.4</v>
      </c>
      <c r="G61" s="3242" t="s">
        <v>3521</v>
      </c>
      <c r="H61" s="3242" t="s">
        <v>3338</v>
      </c>
      <c r="I61" s="3242" t="s">
        <v>3477</v>
      </c>
      <c r="J61" s="3242">
        <v>0</v>
      </c>
      <c r="K61" s="3242" t="s">
        <v>1058</v>
      </c>
      <c r="L61" s="3242" t="s">
        <v>1058</v>
      </c>
      <c r="M61" s="3242" t="s">
        <v>3508</v>
      </c>
      <c r="N61" s="3242" t="s">
        <v>3522</v>
      </c>
      <c r="O61" s="3242" t="s">
        <v>3523</v>
      </c>
      <c r="P61" s="3242">
        <v>43058</v>
      </c>
      <c r="Q61" s="3242">
        <v>218.87</v>
      </c>
      <c r="R61" s="3242">
        <v>835.39</v>
      </c>
      <c r="S61" s="3242">
        <v>2.52</v>
      </c>
      <c r="T61" s="3242" t="s">
        <v>3342</v>
      </c>
      <c r="U61" s="3242" t="s">
        <v>1058</v>
      </c>
      <c r="V61" s="3242" t="s">
        <v>3393</v>
      </c>
    </row>
    <row r="65" spans="1:1" ht="13.5">
      <c r="A65" s="3244" t="s">
        <v>3524</v>
      </c>
    </row>
  </sheetData>
  <phoneticPr fontId="140" type="noConversion"/>
  <hyperlinks>
    <hyperlink ref="A65" r:id="rId1" xr:uid="{1A1DFD8B-D36A-4A28-A776-FC130D091EA4}"/>
  </hyperlinks>
  <pageMargins left="0.75" right="0.75" top="1" bottom="1" header="0.5" footer="0.5"/>
  <pageSetup orientation="portrait" horizontalDpi="300" verticalDpi="300"/>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7" zoomScale="90" zoomScaleNormal="70" zoomScaleSheetLayoutView="90" workbookViewId="0">
      <selection activeCell="M35" sqref="M35"/>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50"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1" customFormat="1" ht="28.5" customHeight="1" thickBot="1">
      <c r="A1" s="1340" t="s">
        <v>2108</v>
      </c>
      <c r="B1" s="2012" t="s">
        <v>2222</v>
      </c>
      <c r="C1" s="1356" t="s">
        <v>2110</v>
      </c>
      <c r="D1" s="1343" t="s">
        <v>3192</v>
      </c>
      <c r="E1" s="2491"/>
      <c r="F1" s="2013" t="s">
        <v>3205</v>
      </c>
      <c r="G1" s="1353" t="s">
        <v>2223</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1907</v>
      </c>
      <c r="B2" s="1276">
        <f>IF(C2="——",ROUND(C49*D3/10000,0),ROUND(C49*D3/10000,0)-D2)</f>
        <v>253</v>
      </c>
      <c r="C2" s="2015" t="s">
        <v>70</v>
      </c>
      <c r="D2" s="1225" t="e">
        <f ca="1">SUMIF(INDIRECT("'"&amp;F2&amp;"'"&amp;"!A:A"),"承租人权益价值",INDIRECT("'"&amp;F2&amp;"'"&amp;"!c:c"))</f>
        <v>#REF!</v>
      </c>
      <c r="E2" s="2016" t="s">
        <v>1908</v>
      </c>
      <c r="F2" s="2017"/>
      <c r="G2" s="1017"/>
      <c r="H2" s="1017"/>
      <c r="I2" s="1017"/>
      <c r="J2" s="1017"/>
      <c r="K2" s="1017"/>
      <c r="L2" s="2907"/>
      <c r="M2" s="2908"/>
      <c r="N2" s="2908"/>
      <c r="O2" s="2908"/>
      <c r="P2" s="2086"/>
      <c r="Q2" s="1021"/>
      <c r="R2" s="1021"/>
      <c r="S2" s="1021"/>
      <c r="T2" s="1021"/>
      <c r="U2" s="1021"/>
      <c r="V2" s="1021"/>
      <c r="W2" s="1021"/>
      <c r="X2" s="1021"/>
      <c r="Y2" s="1021"/>
      <c r="Z2" s="1021"/>
      <c r="AA2" s="1021"/>
      <c r="AB2" s="1021"/>
      <c r="AC2" s="2087"/>
    </row>
    <row r="3" spans="1:29" s="358" customFormat="1" ht="28.5" customHeight="1" thickBot="1">
      <c r="A3" s="209" t="s">
        <v>1909</v>
      </c>
      <c r="B3" s="566">
        <f>IF(C2="——",C49,ROUND(B2*10000/D3,0))</f>
        <v>9930</v>
      </c>
      <c r="C3" s="360" t="s">
        <v>2224</v>
      </c>
      <c r="D3" s="359">
        <f>IF(D1="",'数据-汇总表'!E3,SUMIF('数据-汇总表'!$C19:$C33,D1,'数据-汇总表'!$E19:$E33))</f>
        <v>254.29000000000002</v>
      </c>
      <c r="E3" s="2088"/>
      <c r="F3" s="1018"/>
      <c r="G3" s="1017"/>
      <c r="H3" s="1017"/>
      <c r="I3" s="1017"/>
      <c r="J3" s="1017"/>
      <c r="K3" s="1019"/>
      <c r="L3" s="2907"/>
      <c r="M3" s="2908"/>
      <c r="N3" s="2908"/>
      <c r="O3" s="2908"/>
      <c r="P3" s="2086"/>
      <c r="Q3" s="1021"/>
      <c r="R3" s="1021"/>
      <c r="S3" s="1021"/>
      <c r="T3" s="1021"/>
      <c r="U3" s="1021"/>
      <c r="V3" s="1021"/>
      <c r="W3" s="1021"/>
      <c r="X3" s="1021"/>
      <c r="Y3" s="1021"/>
      <c r="Z3" s="1021"/>
      <c r="AA3" s="1021"/>
      <c r="AB3" s="1021"/>
      <c r="AC3" s="2088"/>
    </row>
    <row r="4" spans="1:29" ht="15">
      <c r="A4" s="361" t="s">
        <v>2225</v>
      </c>
      <c r="B4" s="362"/>
      <c r="C4" s="3468" t="s">
        <v>2226</v>
      </c>
      <c r="D4" s="3469"/>
      <c r="E4" s="3470" t="s">
        <v>2227</v>
      </c>
      <c r="F4" s="3471"/>
      <c r="G4" s="3468" t="s">
        <v>2228</v>
      </c>
      <c r="H4" s="3469"/>
      <c r="I4" s="3468" t="s">
        <v>2229</v>
      </c>
      <c r="J4" s="3469"/>
      <c r="K4" s="567" t="s">
        <v>2230</v>
      </c>
      <c r="L4" s="2888"/>
      <c r="M4" s="2889"/>
      <c r="N4" s="2889"/>
      <c r="O4" s="2889"/>
      <c r="P4" s="3472" t="s">
        <v>2231</v>
      </c>
      <c r="Q4" s="3473"/>
      <c r="R4" s="3455" t="s">
        <v>2227</v>
      </c>
      <c r="S4" s="3456"/>
      <c r="T4" s="3455" t="s">
        <v>2228</v>
      </c>
      <c r="U4" s="3456"/>
      <c r="V4" s="3480" t="s">
        <v>2229</v>
      </c>
      <c r="W4" s="3480"/>
      <c r="X4" s="1487"/>
      <c r="Y4" s="3455" t="s">
        <v>2231</v>
      </c>
      <c r="Z4" s="3456"/>
      <c r="AA4" s="3450" t="s">
        <v>2227</v>
      </c>
      <c r="AB4" s="3480" t="s">
        <v>2228</v>
      </c>
      <c r="AC4" s="3450" t="s">
        <v>2229</v>
      </c>
    </row>
    <row r="5" spans="1:29" ht="15">
      <c r="A5" s="364"/>
      <c r="B5" s="365"/>
      <c r="C5" s="3461" t="s">
        <v>2122</v>
      </c>
      <c r="D5" s="3462"/>
      <c r="E5" s="3492" t="s">
        <v>3290</v>
      </c>
      <c r="F5" s="3460"/>
      <c r="G5" s="3496" t="s">
        <v>3526</v>
      </c>
      <c r="H5" s="3497"/>
      <c r="I5" s="3493" t="s">
        <v>3294</v>
      </c>
      <c r="J5" s="3462"/>
      <c r="K5" s="567"/>
      <c r="L5" s="2888"/>
      <c r="M5" s="2889"/>
      <c r="N5" s="2889"/>
      <c r="O5" s="2889"/>
      <c r="P5" s="3474"/>
      <c r="Q5" s="3475"/>
      <c r="R5" s="3457"/>
      <c r="S5" s="3458"/>
      <c r="T5" s="3457"/>
      <c r="U5" s="3458"/>
      <c r="V5" s="3480"/>
      <c r="W5" s="3480"/>
      <c r="X5" s="1487"/>
      <c r="Y5" s="3457"/>
      <c r="Z5" s="3458"/>
      <c r="AA5" s="3451"/>
      <c r="AB5" s="3480"/>
      <c r="AC5" s="3451"/>
    </row>
    <row r="6" spans="1:29" ht="15.75" thickBot="1">
      <c r="A6" s="366"/>
      <c r="B6" s="367"/>
      <c r="C6" s="3463" t="s">
        <v>2126</v>
      </c>
      <c r="D6" s="3464"/>
      <c r="E6" s="3494" t="s">
        <v>3291</v>
      </c>
      <c r="F6" s="3466"/>
      <c r="G6" s="3495"/>
      <c r="H6" s="3464"/>
      <c r="I6" s="3495"/>
      <c r="J6" s="3464"/>
      <c r="K6" s="567" t="s">
        <v>2127</v>
      </c>
      <c r="L6" s="2888"/>
      <c r="M6" s="2889"/>
      <c r="N6" s="2889"/>
      <c r="O6" s="2889"/>
      <c r="P6" s="3476"/>
      <c r="Q6" s="3477"/>
      <c r="R6" s="3457"/>
      <c r="S6" s="3458"/>
      <c r="T6" s="3478"/>
      <c r="U6" s="3479"/>
      <c r="V6" s="3480"/>
      <c r="W6" s="3480"/>
      <c r="X6" s="1487"/>
      <c r="Y6" s="3478"/>
      <c r="Z6" s="3479"/>
      <c r="AA6" s="3452"/>
      <c r="AB6" s="3480"/>
      <c r="AC6" s="3452"/>
    </row>
    <row r="7" spans="1:29" s="113" customFormat="1" ht="15.75" thickBot="1">
      <c r="A7" s="368" t="s">
        <v>2128</v>
      </c>
      <c r="B7" s="369"/>
      <c r="C7" s="370">
        <f>'数据-取费表'!B2</f>
        <v>44698</v>
      </c>
      <c r="D7" s="371">
        <v>100</v>
      </c>
      <c r="E7" s="372">
        <f>C7</f>
        <v>44698</v>
      </c>
      <c r="F7" s="373">
        <f>SUMIF(58:58,YEAR(E7)&amp;"-"&amp;MONTH(E7),59:59)</f>
        <v>100</v>
      </c>
      <c r="G7" s="372">
        <f>C7</f>
        <v>44698</v>
      </c>
      <c r="H7" s="371">
        <f>SUMIF(58:58,YEAR(G7)&amp;"-"&amp;MONTH(G7),59:59)</f>
        <v>100</v>
      </c>
      <c r="I7" s="372">
        <f>C7</f>
        <v>44698</v>
      </c>
      <c r="J7" s="371">
        <f>SUMIF(58:58,YEAR(I7)&amp;"-"&amp;MONTH(I7),59:59)</f>
        <v>100</v>
      </c>
      <c r="K7" s="568"/>
      <c r="L7" s="2890"/>
      <c r="M7" s="2891"/>
      <c r="N7" s="2891"/>
      <c r="O7" s="2891"/>
      <c r="P7" s="3453" t="s">
        <v>2129</v>
      </c>
      <c r="Q7" s="3481"/>
      <c r="R7" s="707" t="s">
        <v>17</v>
      </c>
      <c r="S7" s="708">
        <f t="shared" ref="S7:S15" si="0">F7</f>
        <v>100</v>
      </c>
      <c r="T7" s="707" t="s">
        <v>17</v>
      </c>
      <c r="U7" s="708">
        <f t="shared" ref="U7:U15" si="1">H7</f>
        <v>100</v>
      </c>
      <c r="V7" s="707" t="s">
        <v>17</v>
      </c>
      <c r="W7" s="708">
        <f t="shared" ref="W7:W15" si="2">J7</f>
        <v>100</v>
      </c>
      <c r="X7" s="709"/>
      <c r="Y7" s="3453" t="s">
        <v>2129</v>
      </c>
      <c r="Z7" s="3454"/>
      <c r="AA7" s="710">
        <f>D7/F7</f>
        <v>1</v>
      </c>
      <c r="AB7" s="710">
        <f>D7/H7</f>
        <v>1</v>
      </c>
      <c r="AC7" s="710">
        <f>D7/J7</f>
        <v>1</v>
      </c>
    </row>
    <row r="8" spans="1:29" s="113" customFormat="1" ht="15.75" thickBot="1">
      <c r="A8" s="368" t="s">
        <v>2130</v>
      </c>
      <c r="B8" s="369"/>
      <c r="C8" s="374" t="s">
        <v>2232</v>
      </c>
      <c r="D8" s="371">
        <v>100</v>
      </c>
      <c r="E8" s="374" t="s">
        <v>2167</v>
      </c>
      <c r="F8" s="373">
        <f>SUMIF(61:61,E8,62:62)-SUMIF(61:61,C8,62:62)+100</f>
        <v>100</v>
      </c>
      <c r="G8" s="374" t="s">
        <v>2167</v>
      </c>
      <c r="H8" s="371">
        <f>SUMIF(61:61,G8,62:62)-SUMIF(61:61,C8,62:62)+100</f>
        <v>100</v>
      </c>
      <c r="I8" s="374" t="s">
        <v>2167</v>
      </c>
      <c r="J8" s="371">
        <f>SUMIF(61:61,I8,62:62)-SUMIF(61:61,C8,62:62)+100</f>
        <v>100</v>
      </c>
      <c r="K8" s="568"/>
      <c r="L8" s="2890"/>
      <c r="M8" s="2891"/>
      <c r="N8" s="2891"/>
      <c r="O8" s="2891"/>
      <c r="P8" s="3453" t="s">
        <v>2132</v>
      </c>
      <c r="Q8" s="3454"/>
      <c r="R8" s="707" t="s">
        <v>17</v>
      </c>
      <c r="S8" s="708">
        <f t="shared" si="0"/>
        <v>100</v>
      </c>
      <c r="T8" s="707" t="s">
        <v>17</v>
      </c>
      <c r="U8" s="708">
        <f t="shared" si="1"/>
        <v>100</v>
      </c>
      <c r="V8" s="707" t="s">
        <v>17</v>
      </c>
      <c r="W8" s="708">
        <f t="shared" si="2"/>
        <v>100</v>
      </c>
      <c r="X8" s="709"/>
      <c r="Y8" s="3453" t="s">
        <v>2132</v>
      </c>
      <c r="Z8" s="3454"/>
      <c r="AA8" s="710">
        <f t="shared" ref="AA8:AA46" si="3">D8/F8</f>
        <v>1</v>
      </c>
      <c r="AB8" s="710">
        <f t="shared" ref="AB8:AB46" si="4">D8/H8</f>
        <v>1</v>
      </c>
      <c r="AC8" s="710">
        <f t="shared" ref="AC8:AC46" si="5">D8/J8</f>
        <v>1</v>
      </c>
    </row>
    <row r="9" spans="1:29" s="113" customFormat="1">
      <c r="A9" s="375" t="s">
        <v>2133</v>
      </c>
      <c r="B9" s="67" t="s">
        <v>2134</v>
      </c>
      <c r="C9" s="3231" t="s">
        <v>3206</v>
      </c>
      <c r="D9" s="131">
        <v>100</v>
      </c>
      <c r="E9" s="377" t="s">
        <v>1102</v>
      </c>
      <c r="F9" s="378">
        <f>SUMIF(63:63,E9,64:64)-SUMIF(63:63,C9,64:64)+100</f>
        <v>100</v>
      </c>
      <c r="G9" s="377" t="s">
        <v>1102</v>
      </c>
      <c r="H9" s="131">
        <f>SUMIF(63:63,G9,64:64)-SUMIF(63:63,C9,64:64)+100</f>
        <v>100</v>
      </c>
      <c r="I9" s="377" t="s">
        <v>1102</v>
      </c>
      <c r="J9" s="131">
        <f>SUMIF(63:63,I9,64:64)-SUMIF(63:63,C9,64:64)+100</f>
        <v>100</v>
      </c>
      <c r="K9" s="568"/>
      <c r="L9" s="2890"/>
      <c r="M9" s="2891"/>
      <c r="N9" s="2891"/>
      <c r="O9" s="2891"/>
      <c r="P9" s="3491"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710">
        <f t="shared" si="5"/>
        <v>1</v>
      </c>
    </row>
    <row r="10" spans="1:29" s="386" customFormat="1" ht="27">
      <c r="A10" s="380"/>
      <c r="B10" s="381" t="s">
        <v>2137</v>
      </c>
      <c r="C10" s="382" t="s">
        <v>3292</v>
      </c>
      <c r="D10" s="132">
        <v>100</v>
      </c>
      <c r="E10" s="382" t="s">
        <v>3292</v>
      </c>
      <c r="F10" s="384">
        <f>SUMIF(65:65,E10,66:66)-SUMIF(65:65,C10,66:66)+100</f>
        <v>100</v>
      </c>
      <c r="G10" s="382" t="s">
        <v>3292</v>
      </c>
      <c r="H10" s="132">
        <f>SUMIF(65:65,G10,66:66)-SUMIF(65:65,C10,66:66)+100</f>
        <v>100</v>
      </c>
      <c r="I10" s="382" t="s">
        <v>3292</v>
      </c>
      <c r="J10" s="132">
        <f>SUMIF(65:65,I10,66:66)-SUMIF(65:65,C10,66:66)+100</f>
        <v>100</v>
      </c>
      <c r="K10" s="569">
        <v>1</v>
      </c>
      <c r="L10" s="2892"/>
      <c r="M10" s="2893"/>
      <c r="N10" s="2893"/>
      <c r="O10" s="2893"/>
      <c r="P10" s="3491"/>
      <c r="Q10" s="1475" t="str">
        <f t="shared" si="6"/>
        <v>土地使用年限（年）</v>
      </c>
      <c r="R10" s="707" t="s">
        <v>17</v>
      </c>
      <c r="S10" s="708">
        <f t="shared" si="0"/>
        <v>100</v>
      </c>
      <c r="T10" s="707" t="s">
        <v>17</v>
      </c>
      <c r="U10" s="708">
        <f t="shared" si="1"/>
        <v>100</v>
      </c>
      <c r="V10" s="707" t="s">
        <v>17</v>
      </c>
      <c r="W10" s="708">
        <f t="shared" si="2"/>
        <v>100</v>
      </c>
      <c r="X10" s="709"/>
      <c r="Y10" s="3423"/>
      <c r="Z10" s="55" t="str">
        <f t="shared" si="7"/>
        <v>土地使用年限（年）</v>
      </c>
      <c r="AA10" s="710">
        <f t="shared" si="3"/>
        <v>1</v>
      </c>
      <c r="AB10" s="710">
        <f t="shared" si="4"/>
        <v>1</v>
      </c>
      <c r="AC10" s="710">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v>0</v>
      </c>
      <c r="L11" s="2894"/>
      <c r="M11" s="2889"/>
      <c r="N11" s="2889"/>
      <c r="O11" s="2889"/>
      <c r="P11" s="3491"/>
      <c r="Q11" s="1475" t="str">
        <f t="shared" si="6"/>
        <v>容积率</v>
      </c>
      <c r="R11" s="707" t="s">
        <v>17</v>
      </c>
      <c r="S11" s="708">
        <f t="shared" si="0"/>
        <v>100</v>
      </c>
      <c r="T11" s="707" t="s">
        <v>17</v>
      </c>
      <c r="U11" s="708">
        <f t="shared" si="1"/>
        <v>100</v>
      </c>
      <c r="V11" s="707" t="s">
        <v>17</v>
      </c>
      <c r="W11" s="708">
        <f t="shared" si="2"/>
        <v>100</v>
      </c>
      <c r="X11" s="709"/>
      <c r="Y11" s="3423"/>
      <c r="Z11" s="55" t="str">
        <f t="shared" si="7"/>
        <v>容积率</v>
      </c>
      <c r="AA11" s="710">
        <f t="shared" si="3"/>
        <v>1</v>
      </c>
      <c r="AB11" s="710">
        <f t="shared" si="4"/>
        <v>1</v>
      </c>
      <c r="AC11" s="710">
        <f t="shared" si="5"/>
        <v>1</v>
      </c>
    </row>
    <row r="12" spans="1:29" s="113" customFormat="1" ht="1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491"/>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491"/>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710">
        <f t="shared" si="5"/>
        <v>1</v>
      </c>
    </row>
    <row r="14" spans="1:29" ht="15.75"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491"/>
      <c r="Q14" s="1475">
        <f t="shared" si="6"/>
        <v>111</v>
      </c>
      <c r="R14" s="707" t="s">
        <v>17</v>
      </c>
      <c r="S14" s="708">
        <f t="shared" si="0"/>
        <v>100</v>
      </c>
      <c r="T14" s="707" t="s">
        <v>17</v>
      </c>
      <c r="U14" s="708">
        <f t="shared" si="1"/>
        <v>100</v>
      </c>
      <c r="V14" s="707" t="s">
        <v>17</v>
      </c>
      <c r="W14" s="708">
        <f t="shared" si="2"/>
        <v>100</v>
      </c>
      <c r="X14" s="709"/>
      <c r="Y14" s="3423"/>
      <c r="Z14" s="55">
        <f t="shared" si="7"/>
        <v>111</v>
      </c>
      <c r="AA14" s="710">
        <f t="shared" si="3"/>
        <v>1</v>
      </c>
      <c r="AB14" s="710">
        <f t="shared" si="4"/>
        <v>1</v>
      </c>
      <c r="AC14" s="710">
        <f t="shared" si="5"/>
        <v>1</v>
      </c>
    </row>
    <row r="15" spans="1:29" ht="71.25">
      <c r="A15" s="399" t="s">
        <v>2139</v>
      </c>
      <c r="B15" s="65" t="s">
        <v>2233</v>
      </c>
      <c r="C15" s="203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98" t="s">
        <v>2140</v>
      </c>
      <c r="Q15" s="1484" t="str">
        <f t="shared" si="6"/>
        <v>商业繁华度</v>
      </c>
      <c r="R15" s="711" t="s">
        <v>17</v>
      </c>
      <c r="S15" s="712">
        <f t="shared" si="0"/>
        <v>100</v>
      </c>
      <c r="T15" s="711" t="s">
        <v>17</v>
      </c>
      <c r="U15" s="712">
        <f t="shared" si="1"/>
        <v>100</v>
      </c>
      <c r="V15" s="711" t="s">
        <v>17</v>
      </c>
      <c r="W15" s="712">
        <f t="shared" si="2"/>
        <v>100</v>
      </c>
      <c r="X15" s="1487"/>
      <c r="Y15" s="3482" t="s">
        <v>2140</v>
      </c>
      <c r="Z15" s="1488" t="str">
        <f t="shared" si="7"/>
        <v>商业繁华度</v>
      </c>
      <c r="AA15" s="1485">
        <f t="shared" si="3"/>
        <v>1</v>
      </c>
      <c r="AB15" s="1485">
        <f t="shared" si="4"/>
        <v>1</v>
      </c>
      <c r="AC15" s="1485">
        <f t="shared" si="5"/>
        <v>1</v>
      </c>
    </row>
    <row r="16" spans="1:29" ht="15">
      <c r="A16" s="387"/>
      <c r="B16" s="405"/>
      <c r="C16" s="406"/>
      <c r="D16" s="407"/>
      <c r="E16" s="406"/>
      <c r="F16" s="408"/>
      <c r="G16" s="406"/>
      <c r="H16" s="409"/>
      <c r="I16" s="406"/>
      <c r="J16" s="407"/>
      <c r="K16" s="572"/>
      <c r="L16" s="2895"/>
      <c r="M16" s="2889"/>
      <c r="N16" s="2889"/>
      <c r="O16" s="2889"/>
      <c r="P16" s="3499"/>
      <c r="Q16" s="1484"/>
      <c r="R16" s="711"/>
      <c r="S16" s="712"/>
      <c r="T16" s="711"/>
      <c r="U16" s="712"/>
      <c r="V16" s="711"/>
      <c r="W16" s="712"/>
      <c r="X16" s="1487"/>
      <c r="Y16" s="3483"/>
      <c r="Z16" s="1488"/>
      <c r="AA16" s="1485">
        <v>1</v>
      </c>
      <c r="AB16" s="1485">
        <v>1</v>
      </c>
      <c r="AC16" s="1485">
        <v>1</v>
      </c>
    </row>
    <row r="17" spans="1:29" ht="85.5">
      <c r="A17" s="387"/>
      <c r="B17" s="410" t="s">
        <v>1704</v>
      </c>
      <c r="C17" s="203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499"/>
      <c r="Q17" s="1484" t="str">
        <f>B17</f>
        <v>交通便捷度</v>
      </c>
      <c r="R17" s="711" t="s">
        <v>17</v>
      </c>
      <c r="S17" s="712">
        <f>F17</f>
        <v>100</v>
      </c>
      <c r="T17" s="711" t="s">
        <v>17</v>
      </c>
      <c r="U17" s="712">
        <f>H17</f>
        <v>100</v>
      </c>
      <c r="V17" s="711" t="s">
        <v>17</v>
      </c>
      <c r="W17" s="712">
        <f>J17</f>
        <v>100</v>
      </c>
      <c r="X17" s="1487"/>
      <c r="Y17" s="3483"/>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2895"/>
      <c r="M18" s="2889"/>
      <c r="N18" s="2889"/>
      <c r="O18" s="2889"/>
      <c r="P18" s="3499"/>
      <c r="Q18" s="1484"/>
      <c r="R18" s="711"/>
      <c r="S18" s="712"/>
      <c r="T18" s="711"/>
      <c r="U18" s="712"/>
      <c r="V18" s="711"/>
      <c r="W18" s="712"/>
      <c r="X18" s="1487"/>
      <c r="Y18" s="3483"/>
      <c r="Z18" s="1488"/>
      <c r="AA18" s="1485">
        <v>1</v>
      </c>
      <c r="AB18" s="1485">
        <v>1</v>
      </c>
      <c r="AC18" s="1485">
        <v>1</v>
      </c>
    </row>
    <row r="19" spans="1:29" ht="42.75">
      <c r="A19" s="387"/>
      <c r="B19" s="410" t="s">
        <v>2234</v>
      </c>
      <c r="C19" s="203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499"/>
      <c r="Q19" s="1484" t="str">
        <f>B19</f>
        <v>公共配套设施</v>
      </c>
      <c r="R19" s="711" t="s">
        <v>17</v>
      </c>
      <c r="S19" s="712">
        <f>F19</f>
        <v>100</v>
      </c>
      <c r="T19" s="711" t="s">
        <v>17</v>
      </c>
      <c r="U19" s="712">
        <f>H19</f>
        <v>100</v>
      </c>
      <c r="V19" s="711" t="s">
        <v>17</v>
      </c>
      <c r="W19" s="712">
        <f>J19</f>
        <v>100</v>
      </c>
      <c r="X19" s="1487"/>
      <c r="Y19" s="3483"/>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2895"/>
      <c r="M20" s="2889"/>
      <c r="N20" s="2889"/>
      <c r="O20" s="2889"/>
      <c r="P20" s="3499"/>
      <c r="Q20" s="1484"/>
      <c r="R20" s="711"/>
      <c r="S20" s="712"/>
      <c r="T20" s="711"/>
      <c r="U20" s="712"/>
      <c r="V20" s="711"/>
      <c r="W20" s="712"/>
      <c r="X20" s="1487"/>
      <c r="Y20" s="3483"/>
      <c r="Z20" s="1488"/>
      <c r="AA20" s="1485">
        <v>1</v>
      </c>
      <c r="AB20" s="1485">
        <v>1</v>
      </c>
      <c r="AC20" s="1485">
        <v>1</v>
      </c>
    </row>
    <row r="21" spans="1:29" ht="28.5">
      <c r="A21" s="387"/>
      <c r="B21" s="1243" t="s">
        <v>2235</v>
      </c>
      <c r="C21" s="203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499"/>
      <c r="Q21" s="1484" t="str">
        <f>B21</f>
        <v>基础设施水平</v>
      </c>
      <c r="R21" s="711" t="s">
        <v>17</v>
      </c>
      <c r="S21" s="712">
        <f>F21</f>
        <v>100</v>
      </c>
      <c r="T21" s="711" t="s">
        <v>17</v>
      </c>
      <c r="U21" s="712">
        <f>H21</f>
        <v>100</v>
      </c>
      <c r="V21" s="711" t="s">
        <v>17</v>
      </c>
      <c r="W21" s="712">
        <f>J21</f>
        <v>100</v>
      </c>
      <c r="X21" s="1487"/>
      <c r="Y21" s="3483"/>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2895"/>
      <c r="M22" s="2889"/>
      <c r="N22" s="2889"/>
      <c r="O22" s="2889"/>
      <c r="P22" s="3499"/>
      <c r="Q22" s="1484"/>
      <c r="R22" s="711"/>
      <c r="S22" s="712"/>
      <c r="T22" s="711"/>
      <c r="U22" s="712"/>
      <c r="V22" s="711"/>
      <c r="W22" s="712"/>
      <c r="X22" s="1487"/>
      <c r="Y22" s="3483"/>
      <c r="Z22" s="1488"/>
      <c r="AA22" s="1485">
        <v>1</v>
      </c>
      <c r="AB22" s="1485">
        <v>1</v>
      </c>
      <c r="AC22" s="1485">
        <v>1</v>
      </c>
    </row>
    <row r="23" spans="1:29" ht="57">
      <c r="A23" s="387"/>
      <c r="B23" s="410" t="s">
        <v>1706</v>
      </c>
      <c r="C23" s="208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499"/>
      <c r="Q23" s="1484" t="str">
        <f>B23</f>
        <v>自然及人文环境</v>
      </c>
      <c r="R23" s="711" t="s">
        <v>17</v>
      </c>
      <c r="S23" s="712">
        <f>F23</f>
        <v>100</v>
      </c>
      <c r="T23" s="711" t="s">
        <v>17</v>
      </c>
      <c r="U23" s="712">
        <f>H23</f>
        <v>100</v>
      </c>
      <c r="V23" s="711" t="s">
        <v>17</v>
      </c>
      <c r="W23" s="712">
        <f>J23</f>
        <v>100</v>
      </c>
      <c r="X23" s="1487"/>
      <c r="Y23" s="3483"/>
      <c r="Z23" s="1488" t="str">
        <f>Q23</f>
        <v>自然及人文环境</v>
      </c>
      <c r="AA23" s="1485">
        <f t="shared" si="3"/>
        <v>1</v>
      </c>
      <c r="AB23" s="1485">
        <f t="shared" si="4"/>
        <v>1</v>
      </c>
      <c r="AC23" s="1485">
        <f t="shared" si="5"/>
        <v>1</v>
      </c>
    </row>
    <row r="24" spans="1:29" ht="15">
      <c r="A24" s="387"/>
      <c r="B24" s="415"/>
      <c r="C24" s="406"/>
      <c r="D24" s="407"/>
      <c r="E24" s="2032"/>
      <c r="F24" s="408"/>
      <c r="G24" s="2031"/>
      <c r="H24" s="407"/>
      <c r="I24" s="2032"/>
      <c r="J24" s="407"/>
      <c r="K24" s="572"/>
      <c r="L24" s="2895"/>
      <c r="M24" s="2889"/>
      <c r="N24" s="2889"/>
      <c r="O24" s="2889"/>
      <c r="P24" s="3499"/>
      <c r="Q24" s="1484"/>
      <c r="R24" s="711"/>
      <c r="S24" s="712"/>
      <c r="T24" s="711"/>
      <c r="U24" s="712"/>
      <c r="V24" s="711"/>
      <c r="W24" s="712"/>
      <c r="X24" s="1487"/>
      <c r="Y24" s="3483"/>
      <c r="Z24" s="1488"/>
      <c r="AA24" s="1485">
        <v>1</v>
      </c>
      <c r="AB24" s="1485">
        <v>1</v>
      </c>
      <c r="AC24" s="1485">
        <v>1</v>
      </c>
    </row>
    <row r="25" spans="1:29" ht="15">
      <c r="A25" s="387"/>
      <c r="B25" s="381" t="s">
        <v>2236</v>
      </c>
      <c r="C25" s="573" t="s">
        <v>3208</v>
      </c>
      <c r="D25" s="394">
        <v>100</v>
      </c>
      <c r="E25" s="573" t="s">
        <v>3208</v>
      </c>
      <c r="F25" s="420">
        <f>SUMIF(86:86,E25,87:87)-SUMIF(86:86,C25,87:87)+100</f>
        <v>100</v>
      </c>
      <c r="G25" s="573" t="s">
        <v>3208</v>
      </c>
      <c r="H25" s="394">
        <f>SUMIF(86:86,G25,87:87)-SUMIF(86:86,C25,87:87)+100</f>
        <v>100</v>
      </c>
      <c r="I25" s="573" t="s">
        <v>3295</v>
      </c>
      <c r="J25" s="394">
        <f>SUMIF(86:86,I25,87:87)-SUMIF(86:86,C25,87:87)+100</f>
        <v>98</v>
      </c>
      <c r="K25" s="569">
        <v>2</v>
      </c>
      <c r="L25" s="2895"/>
      <c r="M25" s="2889"/>
      <c r="N25" s="2889"/>
      <c r="O25" s="2889"/>
      <c r="P25" s="3499"/>
      <c r="Q25" s="1484" t="str">
        <f t="shared" ref="Q25:Q46" si="11">B25</f>
        <v>临街状况</v>
      </c>
      <c r="R25" s="711" t="s">
        <v>17</v>
      </c>
      <c r="S25" s="712">
        <f>F25</f>
        <v>100</v>
      </c>
      <c r="T25" s="711" t="s">
        <v>17</v>
      </c>
      <c r="U25" s="712">
        <f>H25</f>
        <v>100</v>
      </c>
      <c r="V25" s="711" t="s">
        <v>17</v>
      </c>
      <c r="W25" s="712">
        <f>J25</f>
        <v>98</v>
      </c>
      <c r="X25" s="1487"/>
      <c r="Y25" s="3483"/>
      <c r="Z25" s="1488" t="str">
        <f>Q25</f>
        <v>临街状况</v>
      </c>
      <c r="AA25" s="1485">
        <f t="shared" si="3"/>
        <v>1</v>
      </c>
      <c r="AB25" s="1485">
        <f t="shared" si="4"/>
        <v>1</v>
      </c>
      <c r="AC25" s="1485">
        <f t="shared" si="5"/>
        <v>1.0204081632653061</v>
      </c>
    </row>
    <row r="26" spans="1:29" ht="15">
      <c r="A26" s="387"/>
      <c r="B26" s="1245" t="s">
        <v>2237</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499"/>
      <c r="Q26" s="1484" t="str">
        <f t="shared" si="11"/>
        <v>平面位置/可视性</v>
      </c>
      <c r="R26" s="711" t="s">
        <v>17</v>
      </c>
      <c r="S26" s="712">
        <f>F26</f>
        <v>100</v>
      </c>
      <c r="T26" s="711" t="s">
        <v>17</v>
      </c>
      <c r="U26" s="712">
        <f>H26</f>
        <v>100</v>
      </c>
      <c r="V26" s="711" t="s">
        <v>17</v>
      </c>
      <c r="W26" s="712">
        <f>J26</f>
        <v>100</v>
      </c>
      <c r="X26" s="1487"/>
      <c r="Y26" s="3483"/>
      <c r="Z26" s="1488" t="str">
        <f>Q26</f>
        <v>平面位置/可视性</v>
      </c>
      <c r="AA26" s="1485">
        <f t="shared" si="3"/>
        <v>1</v>
      </c>
      <c r="AB26" s="1485">
        <f t="shared" si="4"/>
        <v>1</v>
      </c>
      <c r="AC26" s="1485">
        <f t="shared" si="5"/>
        <v>1</v>
      </c>
    </row>
    <row r="27" spans="1:29" s="113" customFormat="1" ht="15">
      <c r="A27" s="390"/>
      <c r="B27" s="410" t="s">
        <v>2238</v>
      </c>
      <c r="C27" s="2090" t="s">
        <v>3217</v>
      </c>
      <c r="D27" s="421">
        <v>100</v>
      </c>
      <c r="E27" s="2090" t="s">
        <v>3214</v>
      </c>
      <c r="F27" s="423">
        <f>SUMIF(90:90,E27,91:91)-SUMIF(90:90,C27,91:91)+100</f>
        <v>102</v>
      </c>
      <c r="G27" s="2090" t="s">
        <v>3214</v>
      </c>
      <c r="H27" s="421">
        <f>SUMIF(90:90,G27,91:91)-SUMIF(90:90,C27,91:91)+100</f>
        <v>102</v>
      </c>
      <c r="I27" s="2090" t="s">
        <v>3214</v>
      </c>
      <c r="J27" s="421">
        <f>SUMIF(90:90,I27,91:91)-SUMIF(90:90,C27,91:91)+100</f>
        <v>102</v>
      </c>
      <c r="K27" s="569">
        <v>2</v>
      </c>
      <c r="L27" s="2890"/>
      <c r="M27" s="2891"/>
      <c r="N27" s="2891"/>
      <c r="O27" s="2891"/>
      <c r="P27" s="3499"/>
      <c r="Q27" s="1475" t="str">
        <f t="shared" si="11"/>
        <v>人流量</v>
      </c>
      <c r="R27" s="707" t="s">
        <v>17</v>
      </c>
      <c r="S27" s="708">
        <f>F27</f>
        <v>102</v>
      </c>
      <c r="T27" s="707" t="s">
        <v>17</v>
      </c>
      <c r="U27" s="708">
        <f>H27</f>
        <v>102</v>
      </c>
      <c r="V27" s="707" t="s">
        <v>17</v>
      </c>
      <c r="W27" s="708">
        <f>J27</f>
        <v>102</v>
      </c>
      <c r="X27" s="709"/>
      <c r="Y27" s="3483"/>
      <c r="Z27" s="55" t="str">
        <f>Q27</f>
        <v>人流量</v>
      </c>
      <c r="AA27" s="1485">
        <f>D27/F27</f>
        <v>0.98039215686274506</v>
      </c>
      <c r="AB27" s="1485">
        <f>D27/H27</f>
        <v>0.98039215686274506</v>
      </c>
      <c r="AC27" s="1485">
        <f>D27/J27</f>
        <v>0.98039215686274506</v>
      </c>
    </row>
    <row r="28" spans="1:29" ht="15.75" thickBot="1">
      <c r="A28" s="387"/>
      <c r="B28" s="381" t="s">
        <v>2239</v>
      </c>
      <c r="C28" s="3251" t="s">
        <v>3221</v>
      </c>
      <c r="D28" s="394">
        <v>100</v>
      </c>
      <c r="E28" s="573" t="s">
        <v>3221</v>
      </c>
      <c r="F28" s="420">
        <f>SUMIF(92:92,E28,93:93)-SUMIF(92:92,C28,93:93)+100</f>
        <v>100</v>
      </c>
      <c r="G28" s="573" t="s">
        <v>3221</v>
      </c>
      <c r="H28" s="394">
        <f>SUMIF(92:92,G28,93:93)-SUMIF(92:92,C28,93:93)+100</f>
        <v>100</v>
      </c>
      <c r="I28" s="573" t="s">
        <v>3221</v>
      </c>
      <c r="J28" s="394">
        <f>SUMIF(92:92,I28,93:93)-SUMIF(92:92,C28,93:93)+100</f>
        <v>100</v>
      </c>
      <c r="K28" s="570"/>
      <c r="L28" s="2895"/>
      <c r="M28" s="2889"/>
      <c r="N28" s="2889"/>
      <c r="O28" s="2889"/>
      <c r="P28" s="3499"/>
      <c r="Q28" s="1484" t="str">
        <f t="shared" si="11"/>
        <v>楼层</v>
      </c>
      <c r="R28" s="711" t="s">
        <v>17</v>
      </c>
      <c r="S28" s="712">
        <f t="shared" ref="S28:S46" si="12">F28</f>
        <v>100</v>
      </c>
      <c r="T28" s="711" t="s">
        <v>17</v>
      </c>
      <c r="U28" s="712">
        <f t="shared" ref="U28:U46" si="13">H28</f>
        <v>100</v>
      </c>
      <c r="V28" s="711" t="s">
        <v>17</v>
      </c>
      <c r="W28" s="712">
        <f t="shared" ref="W28:W46" si="14">J28</f>
        <v>100</v>
      </c>
      <c r="X28" s="1487"/>
      <c r="Y28" s="3483"/>
      <c r="Z28" s="1488" t="str">
        <f t="shared" ref="Z28:Z46" si="15">Q28</f>
        <v>楼层</v>
      </c>
      <c r="AA28" s="1485">
        <f t="shared" si="3"/>
        <v>1</v>
      </c>
      <c r="AB28" s="1485">
        <f t="shared" si="4"/>
        <v>1</v>
      </c>
      <c r="AC28" s="1485">
        <f t="shared" si="5"/>
        <v>1</v>
      </c>
    </row>
    <row r="29" spans="1:29" ht="15" hidden="1">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499"/>
      <c r="Q29" s="1484">
        <f t="shared" si="11"/>
        <v>111</v>
      </c>
      <c r="R29" s="711" t="s">
        <v>17</v>
      </c>
      <c r="S29" s="712">
        <f t="shared" si="12"/>
        <v>100</v>
      </c>
      <c r="T29" s="711" t="s">
        <v>17</v>
      </c>
      <c r="U29" s="712">
        <f t="shared" si="13"/>
        <v>100</v>
      </c>
      <c r="V29" s="711" t="s">
        <v>17</v>
      </c>
      <c r="W29" s="712">
        <f t="shared" si="14"/>
        <v>100</v>
      </c>
      <c r="X29" s="1487"/>
      <c r="Y29" s="3483"/>
      <c r="Z29" s="1488">
        <f t="shared" si="15"/>
        <v>111</v>
      </c>
      <c r="AA29" s="1485">
        <f t="shared" si="3"/>
        <v>1</v>
      </c>
      <c r="AB29" s="1485">
        <f t="shared" si="4"/>
        <v>1</v>
      </c>
      <c r="AC29" s="1485">
        <f t="shared" si="5"/>
        <v>1</v>
      </c>
    </row>
    <row r="30" spans="1:29" ht="15" hidden="1">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499"/>
      <c r="Q30" s="1484">
        <f t="shared" si="11"/>
        <v>111</v>
      </c>
      <c r="R30" s="711" t="s">
        <v>17</v>
      </c>
      <c r="S30" s="712">
        <f t="shared" si="12"/>
        <v>100</v>
      </c>
      <c r="T30" s="711" t="s">
        <v>17</v>
      </c>
      <c r="U30" s="712">
        <f t="shared" si="13"/>
        <v>100</v>
      </c>
      <c r="V30" s="711" t="s">
        <v>17</v>
      </c>
      <c r="W30" s="712">
        <f t="shared" si="14"/>
        <v>100</v>
      </c>
      <c r="X30" s="1487"/>
      <c r="Y30" s="3483"/>
      <c r="Z30" s="1488">
        <f t="shared" si="15"/>
        <v>111</v>
      </c>
      <c r="AA30" s="1485">
        <f t="shared" si="3"/>
        <v>1</v>
      </c>
      <c r="AB30" s="1485">
        <f t="shared" si="4"/>
        <v>1</v>
      </c>
      <c r="AC30" s="1485">
        <f t="shared" si="5"/>
        <v>1</v>
      </c>
    </row>
    <row r="31" spans="1:29" ht="15.75" hidden="1"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499"/>
      <c r="Q31" s="1484">
        <f t="shared" si="11"/>
        <v>111</v>
      </c>
      <c r="R31" s="711" t="s">
        <v>17</v>
      </c>
      <c r="S31" s="712">
        <f t="shared" si="12"/>
        <v>100</v>
      </c>
      <c r="T31" s="711" t="s">
        <v>17</v>
      </c>
      <c r="U31" s="712">
        <f t="shared" si="13"/>
        <v>100</v>
      </c>
      <c r="V31" s="711" t="s">
        <v>17</v>
      </c>
      <c r="W31" s="712">
        <f t="shared" si="14"/>
        <v>100</v>
      </c>
      <c r="X31" s="1487"/>
      <c r="Y31" s="3483"/>
      <c r="Z31" s="1488">
        <f t="shared" si="15"/>
        <v>111</v>
      </c>
      <c r="AA31" s="1485">
        <f t="shared" si="3"/>
        <v>1</v>
      </c>
      <c r="AB31" s="1485">
        <f t="shared" si="4"/>
        <v>1</v>
      </c>
      <c r="AC31" s="1485">
        <f t="shared" si="5"/>
        <v>1</v>
      </c>
    </row>
    <row r="32" spans="1:29" ht="15">
      <c r="A32" s="399" t="s">
        <v>2143</v>
      </c>
      <c r="B32" s="67" t="s">
        <v>2240</v>
      </c>
      <c r="C32" s="2044" t="s">
        <v>3224</v>
      </c>
      <c r="D32" s="426">
        <v>100</v>
      </c>
      <c r="E32" s="2044" t="s">
        <v>3224</v>
      </c>
      <c r="F32" s="420">
        <f>SUMIF(100:100,E32,101:101)-SUMIF(100:100,C32,101:101)+100</f>
        <v>100</v>
      </c>
      <c r="G32" s="2044" t="s">
        <v>3224</v>
      </c>
      <c r="H32" s="394">
        <f>SUMIF(100:100,G32,101:101)-SUMIF(100:100,C32,101:101)+100</f>
        <v>100</v>
      </c>
      <c r="I32" s="2044" t="s">
        <v>3224</v>
      </c>
      <c r="J32" s="426">
        <f>SUMIF(100:100,I32,101:101)-SUMIF(100:100,C32,101:101)+100</f>
        <v>100</v>
      </c>
      <c r="K32" s="569">
        <v>2</v>
      </c>
      <c r="L32" s="2895"/>
      <c r="M32" s="2889"/>
      <c r="N32" s="2889"/>
      <c r="O32" s="2889"/>
      <c r="P32" s="3500" t="s">
        <v>2145</v>
      </c>
      <c r="Q32" s="1484" t="str">
        <f t="shared" si="11"/>
        <v>商业类型</v>
      </c>
      <c r="R32" s="711" t="s">
        <v>17</v>
      </c>
      <c r="S32" s="712">
        <f t="shared" si="12"/>
        <v>100</v>
      </c>
      <c r="T32" s="711" t="s">
        <v>17</v>
      </c>
      <c r="U32" s="712">
        <f t="shared" si="13"/>
        <v>100</v>
      </c>
      <c r="V32" s="711" t="s">
        <v>17</v>
      </c>
      <c r="W32" s="712">
        <f t="shared" si="14"/>
        <v>100</v>
      </c>
      <c r="X32" s="1487"/>
      <c r="Y32" s="3485" t="s">
        <v>2145</v>
      </c>
      <c r="Z32" s="1488" t="str">
        <f t="shared" si="15"/>
        <v>商业类型</v>
      </c>
      <c r="AA32" s="1485">
        <f t="shared" si="3"/>
        <v>1</v>
      </c>
      <c r="AB32" s="1485">
        <f t="shared" si="4"/>
        <v>1</v>
      </c>
      <c r="AC32" s="1485">
        <f t="shared" si="5"/>
        <v>1</v>
      </c>
    </row>
    <row r="33" spans="1:29" s="430" customFormat="1" ht="15">
      <c r="A33" s="427"/>
      <c r="B33" s="381" t="s">
        <v>2146</v>
      </c>
      <c r="C33" s="428">
        <f>'数据-基础表'!I13</f>
        <v>254.29000000000002</v>
      </c>
      <c r="D33" s="132">
        <v>100</v>
      </c>
      <c r="E33" s="389">
        <v>126</v>
      </c>
      <c r="F33" s="384">
        <f>LOOKUP(E33,103:103,104:104)-LOOKUP(C33,103:103,104:104)+100</f>
        <v>99</v>
      </c>
      <c r="G33" s="3252">
        <v>149.19</v>
      </c>
      <c r="H33" s="132">
        <f>LOOKUP(G33,103:103,104:104)-LOOKUP(C33,103:103,104:104)+100</f>
        <v>99</v>
      </c>
      <c r="I33" s="388">
        <v>90</v>
      </c>
      <c r="J33" s="132">
        <f>LOOKUP(I33,103:103,104:104)-LOOKUP(C33,103:103,104:104)+100</f>
        <v>98</v>
      </c>
      <c r="K33" s="570"/>
      <c r="L33" s="2894"/>
      <c r="M33" s="2896"/>
      <c r="N33" s="2896"/>
      <c r="O33" s="2896"/>
      <c r="P33" s="3501"/>
      <c r="Q33" s="713" t="str">
        <f t="shared" si="11"/>
        <v>项目建筑规模</v>
      </c>
      <c r="R33" s="714" t="s">
        <v>17</v>
      </c>
      <c r="S33" s="715">
        <f t="shared" si="12"/>
        <v>99</v>
      </c>
      <c r="T33" s="714" t="s">
        <v>17</v>
      </c>
      <c r="U33" s="715">
        <f t="shared" si="13"/>
        <v>99</v>
      </c>
      <c r="V33" s="714" t="s">
        <v>17</v>
      </c>
      <c r="W33" s="715">
        <f t="shared" si="14"/>
        <v>98</v>
      </c>
      <c r="X33" s="716"/>
      <c r="Y33" s="3485"/>
      <c r="Z33" s="717" t="str">
        <f t="shared" si="15"/>
        <v>项目建筑规模</v>
      </c>
      <c r="AA33" s="1485">
        <f t="shared" si="3"/>
        <v>1.0101010101010102</v>
      </c>
      <c r="AB33" s="1485">
        <f t="shared" si="4"/>
        <v>1.0101010101010102</v>
      </c>
      <c r="AC33" s="1485">
        <f t="shared" si="5"/>
        <v>1.0204081632653061</v>
      </c>
    </row>
    <row r="34" spans="1:29" ht="15">
      <c r="A34" s="431"/>
      <c r="B34" s="381" t="s">
        <v>2147</v>
      </c>
      <c r="C34" s="2046" t="s">
        <v>3197</v>
      </c>
      <c r="D34" s="394">
        <v>100</v>
      </c>
      <c r="E34" s="2046" t="s">
        <v>3197</v>
      </c>
      <c r="F34" s="420">
        <f>SUMIF(105:105,E34,106:106)-SUMIF(105:105,C34,106:106)+100</f>
        <v>100</v>
      </c>
      <c r="G34" s="2046" t="s">
        <v>3197</v>
      </c>
      <c r="H34" s="394">
        <f>SUMIF(105:105,G34,106:106)-SUMIF(105:105,C34,106:106)+100</f>
        <v>100</v>
      </c>
      <c r="I34" s="2046" t="s">
        <v>3197</v>
      </c>
      <c r="J34" s="394">
        <f>SUMIF(105:105,I34,106:106)-SUMIF(105:105,C34,106:106)+100</f>
        <v>100</v>
      </c>
      <c r="K34" s="569">
        <v>1</v>
      </c>
      <c r="L34" s="2895"/>
      <c r="M34" s="2889"/>
      <c r="N34" s="2889"/>
      <c r="O34" s="2889"/>
      <c r="P34" s="3501"/>
      <c r="Q34" s="1484" t="str">
        <f t="shared" si="11"/>
        <v>建筑结构</v>
      </c>
      <c r="R34" s="711" t="s">
        <v>17</v>
      </c>
      <c r="S34" s="712">
        <f t="shared" si="12"/>
        <v>100</v>
      </c>
      <c r="T34" s="711" t="s">
        <v>17</v>
      </c>
      <c r="U34" s="712">
        <f t="shared" si="13"/>
        <v>100</v>
      </c>
      <c r="V34" s="711" t="s">
        <v>17</v>
      </c>
      <c r="W34" s="712">
        <f t="shared" si="14"/>
        <v>100</v>
      </c>
      <c r="X34" s="1487"/>
      <c r="Y34" s="3485"/>
      <c r="Z34" s="1488" t="str">
        <f t="shared" si="15"/>
        <v>建筑结构</v>
      </c>
      <c r="AA34" s="1485">
        <f t="shared" si="3"/>
        <v>1</v>
      </c>
      <c r="AB34" s="1485">
        <f t="shared" si="4"/>
        <v>1</v>
      </c>
      <c r="AC34" s="1485">
        <f t="shared" si="5"/>
        <v>1</v>
      </c>
    </row>
    <row r="35" spans="1:29" ht="15">
      <c r="A35" s="431"/>
      <c r="B35" s="381" t="s">
        <v>2241</v>
      </c>
      <c r="C35" s="2040" t="s">
        <v>3227</v>
      </c>
      <c r="D35" s="394">
        <v>100</v>
      </c>
      <c r="E35" s="2040" t="s">
        <v>3227</v>
      </c>
      <c r="F35" s="420">
        <f>SUMIF(107:107,E35,108:108)-SUMIF(107:107,C35,108:108)+100</f>
        <v>100</v>
      </c>
      <c r="G35" s="2040" t="s">
        <v>3227</v>
      </c>
      <c r="H35" s="394">
        <f>SUMIF(107:107,G35,108:108)-SUMIF(107:107,C35,108:108)+100</f>
        <v>100</v>
      </c>
      <c r="I35" s="2040" t="s">
        <v>3227</v>
      </c>
      <c r="J35" s="394">
        <f>SUMIF(107:107,I35,108:108)-SUMIF(107:107,C35,108:108)+100</f>
        <v>100</v>
      </c>
      <c r="K35" s="569">
        <v>1</v>
      </c>
      <c r="L35" s="2895"/>
      <c r="M35" s="2889"/>
      <c r="N35" s="2889"/>
      <c r="O35" s="2889"/>
      <c r="P35" s="3501"/>
      <c r="Q35" s="1484" t="str">
        <f t="shared" si="11"/>
        <v>公共部分装修</v>
      </c>
      <c r="R35" s="711" t="s">
        <v>17</v>
      </c>
      <c r="S35" s="712">
        <f t="shared" si="12"/>
        <v>100</v>
      </c>
      <c r="T35" s="711" t="s">
        <v>17</v>
      </c>
      <c r="U35" s="712">
        <f t="shared" si="13"/>
        <v>100</v>
      </c>
      <c r="V35" s="711" t="s">
        <v>17</v>
      </c>
      <c r="W35" s="712">
        <f t="shared" si="14"/>
        <v>100</v>
      </c>
      <c r="X35" s="1487"/>
      <c r="Y35" s="3485"/>
      <c r="Z35" s="1488" t="str">
        <f t="shared" si="15"/>
        <v>公共部分装修</v>
      </c>
      <c r="AA35" s="1485">
        <f t="shared" si="3"/>
        <v>1</v>
      </c>
      <c r="AB35" s="1485">
        <f t="shared" si="4"/>
        <v>1</v>
      </c>
      <c r="AC35" s="1485">
        <f t="shared" si="5"/>
        <v>1</v>
      </c>
    </row>
    <row r="36" spans="1:29" ht="15">
      <c r="A36" s="431"/>
      <c r="B36" s="381" t="s">
        <v>2242</v>
      </c>
      <c r="C36" s="433">
        <f>'数据-取费表'!Y6</f>
        <v>0.60000000000000009</v>
      </c>
      <c r="D36" s="394">
        <v>100</v>
      </c>
      <c r="E36" s="433">
        <v>0.8</v>
      </c>
      <c r="F36" s="420">
        <f>LOOKUP(E36,110:110,111:111)-LOOKUP(C36,110:110,111:111)+100</f>
        <v>110</v>
      </c>
      <c r="G36" s="433">
        <v>0.8</v>
      </c>
      <c r="H36" s="420">
        <f>LOOKUP(G36,110:110,111:111)-LOOKUP(C36,110:110,111:111)+100</f>
        <v>110</v>
      </c>
      <c r="I36" s="433">
        <v>0.8</v>
      </c>
      <c r="J36" s="394">
        <f>LOOKUP(I36,110:110,111:111)-LOOKUP(C36,110:110,111:111)+100</f>
        <v>110</v>
      </c>
      <c r="K36" s="3254">
        <v>5</v>
      </c>
      <c r="L36" s="2895"/>
      <c r="M36" s="2889"/>
      <c r="N36" s="2889"/>
      <c r="O36" s="2889"/>
      <c r="P36" s="3501"/>
      <c r="Q36" s="1484" t="str">
        <f t="shared" si="11"/>
        <v>成新度</v>
      </c>
      <c r="R36" s="711" t="s">
        <v>17</v>
      </c>
      <c r="S36" s="712">
        <f t="shared" si="12"/>
        <v>110</v>
      </c>
      <c r="T36" s="711" t="s">
        <v>17</v>
      </c>
      <c r="U36" s="712">
        <f t="shared" si="13"/>
        <v>110</v>
      </c>
      <c r="V36" s="711" t="s">
        <v>17</v>
      </c>
      <c r="W36" s="712">
        <f t="shared" si="14"/>
        <v>110</v>
      </c>
      <c r="X36" s="1487"/>
      <c r="Y36" s="3485"/>
      <c r="Z36" s="1488" t="str">
        <f t="shared" si="15"/>
        <v>成新度</v>
      </c>
      <c r="AA36" s="1485">
        <f t="shared" si="3"/>
        <v>0.90909090909090906</v>
      </c>
      <c r="AB36" s="1485">
        <f t="shared" si="4"/>
        <v>0.90909090909090906</v>
      </c>
      <c r="AC36" s="1485">
        <f t="shared" si="5"/>
        <v>0.90909090909090906</v>
      </c>
    </row>
    <row r="37" spans="1:29" s="113" customFormat="1" ht="15">
      <c r="A37" s="432"/>
      <c r="B37" s="381" t="s">
        <v>2243</v>
      </c>
      <c r="C37" s="2040" t="s">
        <v>3233</v>
      </c>
      <c r="D37" s="132">
        <v>100</v>
      </c>
      <c r="E37" s="2040" t="s">
        <v>3233</v>
      </c>
      <c r="F37" s="420">
        <f>SUMIF(112:112,E37,113:113)-SUMIF(112:112,C37,113:113)+100</f>
        <v>100</v>
      </c>
      <c r="G37" s="2040" t="s">
        <v>3233</v>
      </c>
      <c r="H37" s="394">
        <f>SUMIF(112:112,G37,113:113)-SUMIF(112:112,C37,113:113)+100</f>
        <v>100</v>
      </c>
      <c r="I37" s="2040" t="s">
        <v>3233</v>
      </c>
      <c r="J37" s="394">
        <f>SUMIF(112:112,I37,113:113)-SUMIF(112:112,C37,113:113)+100</f>
        <v>100</v>
      </c>
      <c r="K37" s="569">
        <v>1</v>
      </c>
      <c r="L37" s="2890"/>
      <c r="M37" s="2891"/>
      <c r="N37" s="2891"/>
      <c r="O37" s="2891"/>
      <c r="P37" s="3501"/>
      <c r="Q37" s="1475" t="str">
        <f t="shared" si="11"/>
        <v>市政基础设施</v>
      </c>
      <c r="R37" s="707" t="s">
        <v>17</v>
      </c>
      <c r="S37" s="708">
        <f t="shared" si="12"/>
        <v>100</v>
      </c>
      <c r="T37" s="707" t="s">
        <v>17</v>
      </c>
      <c r="U37" s="708">
        <f t="shared" si="13"/>
        <v>100</v>
      </c>
      <c r="V37" s="707" t="s">
        <v>17</v>
      </c>
      <c r="W37" s="708">
        <f t="shared" si="14"/>
        <v>100</v>
      </c>
      <c r="X37" s="709"/>
      <c r="Y37" s="3485"/>
      <c r="Z37" s="55" t="str">
        <f t="shared" si="15"/>
        <v>市政基础设施</v>
      </c>
      <c r="AA37" s="710">
        <f t="shared" si="3"/>
        <v>1</v>
      </c>
      <c r="AB37" s="710">
        <f t="shared" si="4"/>
        <v>1</v>
      </c>
      <c r="AC37" s="710">
        <f t="shared" si="5"/>
        <v>1</v>
      </c>
    </row>
    <row r="38" spans="1:29" ht="15" hidden="1">
      <c r="A38" s="431"/>
      <c r="B38" s="381" t="s">
        <v>2244</v>
      </c>
      <c r="C38" s="2040"/>
      <c r="D38" s="394">
        <v>100</v>
      </c>
      <c r="E38" s="2040"/>
      <c r="F38" s="420">
        <f>SUMIF(114:114,E38,115:115)-SUMIF(114:114,C38,115:115)+100</f>
        <v>100</v>
      </c>
      <c r="G38" s="2040"/>
      <c r="H38" s="394">
        <f>SUMIF(114:114,G38,115:115)-SUMIF(114:114,C38,115:115)+100</f>
        <v>100</v>
      </c>
      <c r="I38" s="2040"/>
      <c r="J38" s="394">
        <f>SUMIF(114:114,I38,115:115)-SUMIF(114:114,C38,115:115)+100</f>
        <v>100</v>
      </c>
      <c r="K38" s="569"/>
      <c r="L38" s="2895"/>
      <c r="M38" s="2889"/>
      <c r="N38" s="2889"/>
      <c r="O38" s="2889"/>
      <c r="P38" s="3501" t="s">
        <v>2145</v>
      </c>
      <c r="Q38" s="1484" t="str">
        <f t="shared" si="11"/>
        <v>业态</v>
      </c>
      <c r="R38" s="711" t="s">
        <v>17</v>
      </c>
      <c r="S38" s="712">
        <f t="shared" si="12"/>
        <v>100</v>
      </c>
      <c r="T38" s="711" t="s">
        <v>17</v>
      </c>
      <c r="U38" s="712">
        <f t="shared" si="13"/>
        <v>100</v>
      </c>
      <c r="V38" s="711" t="s">
        <v>17</v>
      </c>
      <c r="W38" s="712">
        <f t="shared" si="14"/>
        <v>100</v>
      </c>
      <c r="X38" s="1487"/>
      <c r="Y38" s="3485" t="s">
        <v>2145</v>
      </c>
      <c r="Z38" s="1488" t="str">
        <f t="shared" si="15"/>
        <v>业态</v>
      </c>
      <c r="AA38" s="1485">
        <f t="shared" si="3"/>
        <v>1</v>
      </c>
      <c r="AB38" s="1485">
        <f t="shared" si="4"/>
        <v>1</v>
      </c>
      <c r="AC38" s="1485">
        <f t="shared" si="5"/>
        <v>1</v>
      </c>
    </row>
    <row r="39" spans="1:29" ht="15" hidden="1">
      <c r="A39" s="431"/>
      <c r="B39" s="381" t="s">
        <v>2245</v>
      </c>
      <c r="C39" s="2040"/>
      <c r="D39" s="394">
        <v>100</v>
      </c>
      <c r="E39" s="2040"/>
      <c r="F39" s="420">
        <f>SUMIF(116:116,E39,117:117)-SUMIF(116:116,C39,117:117)+100</f>
        <v>100</v>
      </c>
      <c r="G39" s="2040"/>
      <c r="H39" s="394">
        <f>SUMIF(116:116,G39,117:117)-SUMIF(116:116,C39,117:117)+100</f>
        <v>100</v>
      </c>
      <c r="I39" s="2040"/>
      <c r="J39" s="394">
        <f>SUMIF(116:116,I39,117:117)-SUMIF(116:116,C39,117:117)+100</f>
        <v>100</v>
      </c>
      <c r="K39" s="569"/>
      <c r="L39" s="2895"/>
      <c r="M39" s="2889"/>
      <c r="N39" s="2889"/>
      <c r="O39" s="2889"/>
      <c r="P39" s="3501"/>
      <c r="Q39" s="1484" t="str">
        <f t="shared" si="11"/>
        <v>层高</v>
      </c>
      <c r="R39" s="711" t="s">
        <v>17</v>
      </c>
      <c r="S39" s="712">
        <f t="shared" si="12"/>
        <v>100</v>
      </c>
      <c r="T39" s="711" t="s">
        <v>17</v>
      </c>
      <c r="U39" s="712">
        <f t="shared" si="13"/>
        <v>100</v>
      </c>
      <c r="V39" s="711" t="s">
        <v>17</v>
      </c>
      <c r="W39" s="712">
        <f t="shared" si="14"/>
        <v>100</v>
      </c>
      <c r="X39" s="1487"/>
      <c r="Y39" s="3485"/>
      <c r="Z39" s="1488" t="str">
        <f t="shared" si="15"/>
        <v>层高</v>
      </c>
      <c r="AA39" s="1485">
        <f t="shared" si="3"/>
        <v>1</v>
      </c>
      <c r="AB39" s="1485">
        <f t="shared" si="4"/>
        <v>1</v>
      </c>
      <c r="AC39" s="1485">
        <f t="shared" si="5"/>
        <v>1</v>
      </c>
    </row>
    <row r="40" spans="1:29" ht="15">
      <c r="A40" s="431"/>
      <c r="B40" s="381" t="s">
        <v>2246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895"/>
      <c r="M40" s="2889"/>
      <c r="N40" s="2889"/>
      <c r="O40" s="2889"/>
      <c r="P40" s="3501"/>
      <c r="Q40" s="1484" t="str">
        <f t="shared" si="11"/>
        <v>单套建筑面积</v>
      </c>
      <c r="R40" s="711" t="s">
        <v>17</v>
      </c>
      <c r="S40" s="712">
        <f t="shared" si="12"/>
        <v>100</v>
      </c>
      <c r="T40" s="711" t="s">
        <v>17</v>
      </c>
      <c r="U40" s="712">
        <f t="shared" si="13"/>
        <v>100</v>
      </c>
      <c r="V40" s="711" t="s">
        <v>17</v>
      </c>
      <c r="W40" s="712">
        <f t="shared" si="14"/>
        <v>100</v>
      </c>
      <c r="X40" s="1487"/>
      <c r="Y40" s="3485"/>
      <c r="Z40" s="1488" t="str">
        <f t="shared" si="15"/>
        <v>单套建筑面积</v>
      </c>
      <c r="AA40" s="1485">
        <f t="shared" si="3"/>
        <v>1</v>
      </c>
      <c r="AB40" s="1485">
        <f t="shared" si="4"/>
        <v>1</v>
      </c>
      <c r="AC40" s="1485">
        <f t="shared" si="5"/>
        <v>1</v>
      </c>
    </row>
    <row r="41" spans="1:29" s="430" customFormat="1" ht="15" hidden="1">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501"/>
      <c r="Q41" s="713" t="str">
        <f t="shared" si="11"/>
        <v>进深比</v>
      </c>
      <c r="R41" s="714" t="s">
        <v>17</v>
      </c>
      <c r="S41" s="715">
        <f t="shared" si="12"/>
        <v>100</v>
      </c>
      <c r="T41" s="714" t="s">
        <v>17</v>
      </c>
      <c r="U41" s="715">
        <f t="shared" si="13"/>
        <v>100</v>
      </c>
      <c r="V41" s="714" t="s">
        <v>17</v>
      </c>
      <c r="W41" s="715">
        <f t="shared" si="14"/>
        <v>100</v>
      </c>
      <c r="X41" s="716"/>
      <c r="Y41" s="3485"/>
      <c r="Z41" s="717" t="str">
        <f t="shared" si="15"/>
        <v>进深比</v>
      </c>
      <c r="AA41" s="1485">
        <f t="shared" si="3"/>
        <v>1</v>
      </c>
      <c r="AB41" s="1485">
        <f t="shared" si="4"/>
        <v>1</v>
      </c>
      <c r="AC41" s="1485">
        <f t="shared" si="5"/>
        <v>1</v>
      </c>
    </row>
    <row r="42" spans="1:29" ht="15">
      <c r="A42" s="431"/>
      <c r="B42" s="381" t="s">
        <v>2248</v>
      </c>
      <c r="C42" s="2040" t="s">
        <v>3231</v>
      </c>
      <c r="D42" s="394">
        <v>100</v>
      </c>
      <c r="E42" s="2040" t="s">
        <v>3227</v>
      </c>
      <c r="F42" s="420">
        <f>SUMIF(122:122,E42,123:123)-SUMIF(122:122,C42,123:123)+100</f>
        <v>103</v>
      </c>
      <c r="G42" s="2040" t="s">
        <v>3293</v>
      </c>
      <c r="H42" s="394">
        <f>SUMIF(122:122,G42,123:123)-SUMIF(122:122,C42,123:123)+100</f>
        <v>102</v>
      </c>
      <c r="I42" s="2040" t="s">
        <v>3293</v>
      </c>
      <c r="J42" s="394">
        <f>SUMIF(122:122,I42,123:123)-SUMIF(122:122,C42,123:123)+100</f>
        <v>102</v>
      </c>
      <c r="K42" s="569">
        <v>1</v>
      </c>
      <c r="L42" s="2895"/>
      <c r="M42" s="2889"/>
      <c r="N42" s="2889"/>
      <c r="O42" s="2889"/>
      <c r="P42" s="3501"/>
      <c r="Q42" s="1484" t="str">
        <f t="shared" si="11"/>
        <v>内部装修</v>
      </c>
      <c r="R42" s="711" t="s">
        <v>17</v>
      </c>
      <c r="S42" s="712">
        <f t="shared" si="12"/>
        <v>103</v>
      </c>
      <c r="T42" s="711" t="s">
        <v>17</v>
      </c>
      <c r="U42" s="712">
        <f t="shared" si="13"/>
        <v>102</v>
      </c>
      <c r="V42" s="711" t="s">
        <v>17</v>
      </c>
      <c r="W42" s="712">
        <f t="shared" si="14"/>
        <v>102</v>
      </c>
      <c r="X42" s="1487"/>
      <c r="Y42" s="3485"/>
      <c r="Z42" s="1488" t="str">
        <f t="shared" si="15"/>
        <v>内部装修</v>
      </c>
      <c r="AA42" s="1485">
        <f t="shared" si="3"/>
        <v>0.970873786407767</v>
      </c>
      <c r="AB42" s="1485">
        <f t="shared" si="4"/>
        <v>0.98039215686274506</v>
      </c>
      <c r="AC42" s="1485">
        <f t="shared" si="5"/>
        <v>0.98039215686274506</v>
      </c>
    </row>
    <row r="43" spans="1:29" ht="15">
      <c r="A43" s="431"/>
      <c r="B43" s="381" t="s">
        <v>2156</v>
      </c>
      <c r="C43" s="2040" t="s">
        <v>3212</v>
      </c>
      <c r="D43" s="394">
        <v>100</v>
      </c>
      <c r="E43" s="2040" t="s">
        <v>3212</v>
      </c>
      <c r="F43" s="420">
        <f>SUMIF(124:124,E43,125:125)-SUMIF(124:124,C43,125:125)+100</f>
        <v>100</v>
      </c>
      <c r="G43" s="2040" t="s">
        <v>3212</v>
      </c>
      <c r="H43" s="394">
        <f>SUMIF(124:124,G43,125:125)-SUMIF(124:124,C43,125:125)+100</f>
        <v>100</v>
      </c>
      <c r="I43" s="2040" t="s">
        <v>3212</v>
      </c>
      <c r="J43" s="394">
        <f>SUMIF(124:124,I43,125:125)-SUMIF(124:124,C43,125:125)+100</f>
        <v>100</v>
      </c>
      <c r="K43" s="569">
        <v>1</v>
      </c>
      <c r="L43" s="2895"/>
      <c r="M43" s="2889"/>
      <c r="N43" s="2889"/>
      <c r="O43" s="2889"/>
      <c r="P43" s="3501"/>
      <c r="Q43" s="1484" t="str">
        <f t="shared" si="11"/>
        <v>内部装修维护情况</v>
      </c>
      <c r="R43" s="711" t="s">
        <v>17</v>
      </c>
      <c r="S43" s="712">
        <f t="shared" si="12"/>
        <v>100</v>
      </c>
      <c r="T43" s="711" t="s">
        <v>17</v>
      </c>
      <c r="U43" s="712">
        <f t="shared" si="13"/>
        <v>100</v>
      </c>
      <c r="V43" s="711" t="s">
        <v>17</v>
      </c>
      <c r="W43" s="712">
        <f t="shared" si="14"/>
        <v>100</v>
      </c>
      <c r="X43" s="1487"/>
      <c r="Y43" s="3485"/>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501"/>
      <c r="Q44" s="1475">
        <f t="shared" si="11"/>
        <v>111</v>
      </c>
      <c r="R44" s="707" t="s">
        <v>17</v>
      </c>
      <c r="S44" s="708">
        <f t="shared" si="12"/>
        <v>100</v>
      </c>
      <c r="T44" s="707" t="s">
        <v>17</v>
      </c>
      <c r="U44" s="708">
        <f t="shared" si="13"/>
        <v>100</v>
      </c>
      <c r="V44" s="707" t="s">
        <v>17</v>
      </c>
      <c r="W44" s="708">
        <f t="shared" si="14"/>
        <v>100</v>
      </c>
      <c r="X44" s="709"/>
      <c r="Y44" s="3485"/>
      <c r="Z44" s="55">
        <f t="shared" si="15"/>
        <v>111</v>
      </c>
      <c r="AA44" s="710">
        <f t="shared" si="3"/>
        <v>1</v>
      </c>
      <c r="AB44" s="710">
        <f t="shared" si="4"/>
        <v>1</v>
      </c>
      <c r="AC44" s="710">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501"/>
      <c r="Q45" s="1484">
        <f t="shared" si="11"/>
        <v>111</v>
      </c>
      <c r="R45" s="711" t="s">
        <v>17</v>
      </c>
      <c r="S45" s="712">
        <f t="shared" si="12"/>
        <v>100</v>
      </c>
      <c r="T45" s="711" t="s">
        <v>17</v>
      </c>
      <c r="U45" s="712">
        <f t="shared" si="13"/>
        <v>100</v>
      </c>
      <c r="V45" s="711" t="s">
        <v>17</v>
      </c>
      <c r="W45" s="712">
        <f t="shared" si="14"/>
        <v>100</v>
      </c>
      <c r="X45" s="1487"/>
      <c r="Y45" s="3485"/>
      <c r="Z45" s="1488">
        <f t="shared" si="15"/>
        <v>111</v>
      </c>
      <c r="AA45" s="1485">
        <f t="shared" si="3"/>
        <v>1</v>
      </c>
      <c r="AB45" s="1485">
        <f t="shared" si="4"/>
        <v>1</v>
      </c>
      <c r="AC45" s="1485">
        <f t="shared" si="5"/>
        <v>1</v>
      </c>
    </row>
    <row r="46" spans="1:29" ht="15.75"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502"/>
      <c r="Q46" s="1484">
        <f t="shared" si="11"/>
        <v>111</v>
      </c>
      <c r="R46" s="711" t="s">
        <v>17</v>
      </c>
      <c r="S46" s="712">
        <f t="shared" si="12"/>
        <v>100</v>
      </c>
      <c r="T46" s="711" t="s">
        <v>17</v>
      </c>
      <c r="U46" s="712">
        <f t="shared" si="13"/>
        <v>100</v>
      </c>
      <c r="V46" s="711" t="s">
        <v>17</v>
      </c>
      <c r="W46" s="712">
        <f t="shared" si="14"/>
        <v>100</v>
      </c>
      <c r="X46" s="1487"/>
      <c r="Y46" s="3503"/>
      <c r="Z46" s="1488">
        <f t="shared" si="15"/>
        <v>111</v>
      </c>
      <c r="AA46" s="1485">
        <f t="shared" si="3"/>
        <v>1</v>
      </c>
      <c r="AB46" s="1485">
        <f t="shared" si="4"/>
        <v>1</v>
      </c>
      <c r="AC46" s="1485">
        <f t="shared" si="5"/>
        <v>1</v>
      </c>
    </row>
    <row r="47" spans="1:29" ht="15">
      <c r="A47" s="438" t="s">
        <v>2157</v>
      </c>
      <c r="B47" s="439"/>
      <c r="C47" s="1266" t="s">
        <v>1</v>
      </c>
      <c r="D47" s="1267"/>
      <c r="E47" s="1268">
        <f>ROUND(11000*D50,0)</f>
        <v>10450</v>
      </c>
      <c r="F47" s="1269"/>
      <c r="G47" s="1270">
        <f>ROUND(13400*D50,0)</f>
        <v>12730</v>
      </c>
      <c r="H47" s="1271"/>
      <c r="I47" s="1268">
        <f>ROUND(10900*D50,0)</f>
        <v>10355</v>
      </c>
      <c r="J47" s="1271"/>
      <c r="K47" s="720"/>
      <c r="L47" s="2897"/>
      <c r="M47" s="2898"/>
      <c r="N47" s="2889"/>
      <c r="O47" s="2898"/>
      <c r="P47" s="3467" t="str">
        <f>A47</f>
        <v>成交单价（元/平方米）</v>
      </c>
      <c r="Q47" s="3467"/>
      <c r="R47" s="3480">
        <f>E47</f>
        <v>10450</v>
      </c>
      <c r="S47" s="3480"/>
      <c r="T47" s="3480">
        <f>G47</f>
        <v>12730</v>
      </c>
      <c r="U47" s="3480"/>
      <c r="V47" s="3480">
        <f>I47</f>
        <v>10355</v>
      </c>
      <c r="W47" s="3480"/>
      <c r="X47" s="696"/>
      <c r="Y47" s="718"/>
      <c r="Z47" s="696"/>
      <c r="AA47" s="696"/>
      <c r="AB47" s="696"/>
      <c r="AC47" s="696"/>
    </row>
    <row r="48" spans="1:29" ht="15.75" thickBot="1">
      <c r="A48" s="445" t="s">
        <v>2249</v>
      </c>
      <c r="B48" s="446"/>
      <c r="C48" s="1272">
        <f>R49</f>
        <v>9930</v>
      </c>
      <c r="D48" s="2486" t="s">
        <v>2637</v>
      </c>
      <c r="E48" s="1273">
        <f>R48</f>
        <v>9134</v>
      </c>
      <c r="F48" s="2487"/>
      <c r="G48" s="1272">
        <f>T48</f>
        <v>11236</v>
      </c>
      <c r="H48" s="2487"/>
      <c r="I48" s="1273">
        <f>V48</f>
        <v>9421</v>
      </c>
      <c r="J48" s="2487"/>
      <c r="K48" s="2489">
        <f>F48+H48+J48</f>
        <v>0</v>
      </c>
      <c r="L48" s="2897"/>
      <c r="M48" s="2898"/>
      <c r="N48" s="2889"/>
      <c r="O48" s="2898"/>
      <c r="P48" s="3467" t="str">
        <f>A48</f>
        <v>比较价值（元/平方米）</v>
      </c>
      <c r="Q48" s="3467"/>
      <c r="R48" s="3504">
        <f>IF(F1="售价",ROUND(PRODUCT(R47,AA7:AA46),0),ROUND(PRODUCT(R47,AA7:AA46),1))</f>
        <v>9134</v>
      </c>
      <c r="S48" s="3504"/>
      <c r="T48" s="3504">
        <f>IF(F1="售价",ROUND(PRODUCT(T47,AB7:AB46),0),ROUND(PRODUCT(T47,AB7:AB46),1))</f>
        <v>11236</v>
      </c>
      <c r="U48" s="3504"/>
      <c r="V48" s="3504">
        <f>IF(F1="售价",ROUND(PRODUCT(V47,AC7:AC46),0),ROUND(PRODUCT(V47,AC7:AC46),1))</f>
        <v>9421</v>
      </c>
      <c r="W48" s="3504"/>
      <c r="X48" s="696"/>
      <c r="Y48" s="696"/>
      <c r="Z48" s="696"/>
      <c r="AA48" s="696"/>
      <c r="AB48" s="696"/>
      <c r="AC48" s="696"/>
    </row>
    <row r="49" spans="1:29" ht="15.75" thickBot="1">
      <c r="A49" s="449" t="s">
        <v>2250</v>
      </c>
      <c r="B49" s="450"/>
      <c r="C49" s="1275">
        <f>R49</f>
        <v>9930</v>
      </c>
      <c r="D49" s="1275"/>
      <c r="E49" s="1275"/>
      <c r="F49" s="1275"/>
      <c r="G49" s="1275"/>
      <c r="H49" s="1275"/>
      <c r="I49" s="1275"/>
      <c r="J49" s="1275"/>
      <c r="K49" s="721"/>
      <c r="L49" s="2897"/>
      <c r="M49" s="2898"/>
      <c r="N49" s="2889"/>
      <c r="O49" s="2898"/>
      <c r="P49" s="3487" t="str">
        <f>A49</f>
        <v>估价对象XX用房的比较价值（楼面单价，元/平方米）</v>
      </c>
      <c r="Q49" s="3488"/>
      <c r="R49" s="3505">
        <f>IF(F1="售价",ROUND(IF(D48="简单平均",AVERAGE(R48:V48),R48*F48+T48*H48+V48*J48),0),ROUND(IF(D48="简单平均",AVERAGE(R48:V48),R48*F48+T48*H48+V48*J48),1))</f>
        <v>9930</v>
      </c>
      <c r="S49" s="3505"/>
      <c r="T49" s="3505"/>
      <c r="U49" s="3505"/>
      <c r="V49" s="3505"/>
      <c r="W49" s="3505"/>
      <c r="X49" s="696"/>
      <c r="Y49" s="696"/>
      <c r="Z49" s="696"/>
      <c r="AA49" s="696"/>
      <c r="AB49" s="696"/>
      <c r="AC49" s="696"/>
    </row>
    <row r="50" spans="1:29">
      <c r="A50" s="2898"/>
      <c r="B50" s="2898"/>
      <c r="C50" s="2898"/>
      <c r="D50" s="2898">
        <v>0.95</v>
      </c>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2251</v>
      </c>
      <c r="D52" s="455"/>
      <c r="E52" s="456">
        <f>IF(E47&lt;E48,E48/E47-1,E47/E48-1)</f>
        <v>0.14407707466608266</v>
      </c>
      <c r="F52" s="457" t="str">
        <f>IF(OR(E52&gt;=0.3,E52&lt;=-0.3),"超过30%","")</f>
        <v/>
      </c>
      <c r="G52" s="456">
        <f>IF(G47&lt;G48,G48/G47-1,G47/G48-1)</f>
        <v>0.13296546813812737</v>
      </c>
      <c r="H52" s="457" t="str">
        <f>IF(OR(G52&gt;=0.3,G52&lt;=-0.3),"超过30%","")</f>
        <v/>
      </c>
      <c r="I52" s="456">
        <f>IF(I47&lt;I48,I48/I47-1,I47/I48-1)</f>
        <v>9.9140218660439539E-2</v>
      </c>
      <c r="J52" s="457" t="str">
        <f>IF(OR(I52&gt;=0.3,I52&lt;=-0.3),"超过30%","")</f>
        <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2252</v>
      </c>
      <c r="D53" s="458"/>
      <c r="E53" s="456">
        <f>IF(E48&lt;G48,G48/E48-1,E48/G48-1)</f>
        <v>0.23012918765053647</v>
      </c>
      <c r="F53" s="457" t="str">
        <f>IF(OR(E53&gt;=0.2,E53&lt;=-0.2),"超过20%","")</f>
        <v>超过20%</v>
      </c>
      <c r="G53" s="456">
        <f>IF(G48&lt;I48,I48/G48-1,G48/I48-1)</f>
        <v>0.1926547075681988</v>
      </c>
      <c r="H53" s="457" t="str">
        <f>IF(OR(G53&gt;=0.2,G53&lt;=-0.2),"超过20%","")</f>
        <v/>
      </c>
      <c r="I53" s="456">
        <f>IF(I48&lt;E48,E48/I48-1,I48/E48-1)</f>
        <v>3.1421064155900957E-2</v>
      </c>
      <c r="J53" s="457" t="str">
        <f>IF(OR(I53&gt;=0.2,I53&lt;=-0.2),"超过20%","")</f>
        <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2253</v>
      </c>
      <c r="D54" s="458"/>
      <c r="E54" s="456">
        <f>IF(E47&lt;G47,G47/E47-1,E47/G47-1)</f>
        <v>0.21818181818181825</v>
      </c>
      <c r="F54" s="457" t="str">
        <f>IF(OR(E54&gt;=0.3,E54&lt;=-0.3),"超过30%","")</f>
        <v/>
      </c>
      <c r="G54" s="456">
        <f>IF(G47&lt;I47,I47/G47-1,G47/I47-1)</f>
        <v>0.22935779816513757</v>
      </c>
      <c r="H54" s="457" t="str">
        <f>IF(OR(G54&gt;=0.3,G54&lt;=-0.3),"超过30%","")</f>
        <v/>
      </c>
      <c r="I54" s="456">
        <f>IF(I47&lt;E47,E47/I47-1,I47/E47-1)</f>
        <v>9.1743119266054496E-3</v>
      </c>
      <c r="J54" s="457" t="str">
        <f>IF(OR(I54&gt;=0.3,I54&lt;=-0.3),"超过30%","")</f>
        <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0" t="s">
        <v>2254</v>
      </c>
      <c r="B57" s="696"/>
      <c r="C57" s="701"/>
      <c r="D57" s="701"/>
      <c r="E57" s="701"/>
      <c r="F57" s="702"/>
      <c r="G57" s="702"/>
      <c r="H57" s="701"/>
      <c r="I57" s="701"/>
      <c r="J57" s="701"/>
      <c r="K57" s="703"/>
      <c r="L57" s="1051"/>
      <c r="M57" s="1049"/>
      <c r="N57" s="1049"/>
      <c r="O57" s="1049"/>
      <c r="P57" s="2911"/>
      <c r="Q57" s="2912"/>
      <c r="R57" s="2898"/>
      <c r="S57" s="2898"/>
      <c r="T57" s="2898"/>
      <c r="U57" s="2898"/>
      <c r="V57" s="2898"/>
      <c r="W57" s="2898"/>
      <c r="X57" s="2898"/>
      <c r="Y57" s="2898"/>
      <c r="Z57" s="2898"/>
      <c r="AA57" s="2898"/>
      <c r="AB57" s="2898"/>
      <c r="AC57" s="2898"/>
    </row>
    <row r="58" spans="1:29" s="465" customFormat="1" ht="15">
      <c r="A58" s="462" t="s">
        <v>2128</v>
      </c>
      <c r="B58" s="463"/>
      <c r="C58" s="1296" t="str">
        <f>YEAR(C7)&amp;"-"&amp;MONTH(C7)</f>
        <v>2022-5</v>
      </c>
      <c r="D58" s="1297">
        <f>EDATE(C58,-1)</f>
        <v>44652</v>
      </c>
      <c r="E58" s="1297">
        <f t="shared" ref="E58:N58" si="16">EDATE(D58,-1)</f>
        <v>44621</v>
      </c>
      <c r="F58" s="1297">
        <f t="shared" si="16"/>
        <v>44593</v>
      </c>
      <c r="G58" s="1297">
        <f t="shared" si="16"/>
        <v>44562</v>
      </c>
      <c r="H58" s="1297">
        <f t="shared" si="16"/>
        <v>44531</v>
      </c>
      <c r="I58" s="1297">
        <f t="shared" si="16"/>
        <v>44501</v>
      </c>
      <c r="J58" s="1297">
        <f t="shared" si="16"/>
        <v>44470</v>
      </c>
      <c r="K58" s="1297">
        <f t="shared" si="16"/>
        <v>44440</v>
      </c>
      <c r="L58" s="1297">
        <f t="shared" si="16"/>
        <v>44409</v>
      </c>
      <c r="M58" s="1297">
        <f t="shared" si="16"/>
        <v>44378</v>
      </c>
      <c r="N58" s="1297">
        <f t="shared" si="16"/>
        <v>44348</v>
      </c>
      <c r="O58" s="1297">
        <f>EDATE(N58,-1)</f>
        <v>44317</v>
      </c>
      <c r="P58" s="2913"/>
      <c r="Q58" s="2914"/>
      <c r="R58" s="2914"/>
      <c r="S58" s="2914"/>
      <c r="T58" s="2914"/>
      <c r="U58" s="2914"/>
      <c r="V58" s="2914"/>
      <c r="W58" s="2914"/>
      <c r="X58" s="2914"/>
      <c r="Y58" s="2914"/>
      <c r="Z58" s="2914"/>
      <c r="AA58" s="2914"/>
      <c r="AB58" s="2914"/>
      <c r="AC58" s="2914"/>
    </row>
    <row r="59" spans="1:29" s="113" customFormat="1" ht="15">
      <c r="A59" s="466"/>
      <c r="B59" s="467"/>
      <c r="C59" s="1295">
        <v>100</v>
      </c>
      <c r="D59" s="469">
        <f>C59-$C$60</f>
        <v>99.5</v>
      </c>
      <c r="E59" s="469">
        <f t="shared" ref="E59:M59" si="17">D59-$C$60</f>
        <v>99</v>
      </c>
      <c r="F59" s="469">
        <f t="shared" si="17"/>
        <v>98.5</v>
      </c>
      <c r="G59" s="469">
        <f t="shared" si="17"/>
        <v>98</v>
      </c>
      <c r="H59" s="469">
        <f t="shared" si="17"/>
        <v>97.5</v>
      </c>
      <c r="I59" s="469">
        <f t="shared" si="17"/>
        <v>97</v>
      </c>
      <c r="J59" s="469">
        <f t="shared" si="17"/>
        <v>96.5</v>
      </c>
      <c r="K59" s="469">
        <f t="shared" si="17"/>
        <v>96</v>
      </c>
      <c r="L59" s="469">
        <f t="shared" si="17"/>
        <v>95.5</v>
      </c>
      <c r="M59" s="469">
        <f t="shared" si="17"/>
        <v>95</v>
      </c>
      <c r="N59" s="469"/>
      <c r="O59" s="470"/>
      <c r="P59" s="2915"/>
      <c r="Q59" s="2833"/>
      <c r="R59" s="2833"/>
      <c r="S59" s="2833"/>
      <c r="T59" s="2833"/>
      <c r="U59" s="2833"/>
      <c r="V59" s="2833"/>
      <c r="W59" s="2833"/>
      <c r="X59" s="2833"/>
      <c r="Y59" s="2833"/>
      <c r="Z59" s="2833"/>
      <c r="AA59" s="2833"/>
      <c r="AB59" s="2833"/>
      <c r="AC59" s="2833"/>
    </row>
    <row r="60" spans="1:29" s="113" customFormat="1" ht="15.75" thickBot="1">
      <c r="A60" s="472" t="s">
        <v>2165</v>
      </c>
      <c r="B60" s="473"/>
      <c r="C60" s="474">
        <v>0.5</v>
      </c>
      <c r="D60" s="475"/>
      <c r="E60" s="475"/>
      <c r="F60" s="475"/>
      <c r="G60" s="475"/>
      <c r="H60" s="475"/>
      <c r="I60" s="475"/>
      <c r="J60" s="475"/>
      <c r="K60" s="475"/>
      <c r="L60" s="475"/>
      <c r="M60" s="476"/>
      <c r="N60" s="475"/>
      <c r="O60" s="476"/>
      <c r="P60" s="2915"/>
      <c r="Q60" s="2912"/>
      <c r="R60" s="2833"/>
      <c r="S60" s="2833"/>
      <c r="T60" s="2833"/>
      <c r="U60" s="2833"/>
      <c r="V60" s="2833"/>
      <c r="W60" s="2833"/>
      <c r="X60" s="2833"/>
      <c r="Y60" s="2833"/>
      <c r="Z60" s="2833"/>
      <c r="AA60" s="2833"/>
      <c r="AB60" s="2833"/>
      <c r="AC60" s="2833"/>
    </row>
    <row r="61" spans="1:29" s="113" customFormat="1" ht="15">
      <c r="A61" s="478" t="s">
        <v>2130</v>
      </c>
      <c r="B61" s="467"/>
      <c r="C61" s="479" t="s">
        <v>2232</v>
      </c>
      <c r="D61" s="480"/>
      <c r="E61" s="480"/>
      <c r="F61" s="480"/>
      <c r="G61" s="480"/>
      <c r="H61" s="480"/>
      <c r="I61" s="480"/>
      <c r="J61" s="480"/>
      <c r="K61" s="480"/>
      <c r="L61" s="481"/>
      <c r="M61" s="482"/>
      <c r="N61" s="2925"/>
      <c r="O61" s="2925"/>
      <c r="P61" s="2916"/>
      <c r="Q61" s="2912"/>
      <c r="R61" s="2833"/>
      <c r="S61" s="2833"/>
      <c r="T61" s="2833"/>
      <c r="U61" s="2833"/>
      <c r="V61" s="2833"/>
      <c r="W61" s="2833"/>
      <c r="X61" s="2833"/>
      <c r="Y61" s="2833"/>
      <c r="Z61" s="2833"/>
      <c r="AA61" s="2833"/>
      <c r="AB61" s="2833"/>
      <c r="AC61" s="2833"/>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3"/>
      <c r="S62" s="2833"/>
      <c r="T62" s="2833"/>
      <c r="U62" s="2833"/>
      <c r="V62" s="2833"/>
      <c r="W62" s="2833"/>
      <c r="X62" s="2833"/>
      <c r="Y62" s="2833"/>
      <c r="Z62" s="2833"/>
      <c r="AA62" s="2833"/>
      <c r="AB62" s="2833"/>
      <c r="AC62" s="2833"/>
    </row>
    <row r="63" spans="1:29">
      <c r="A63" s="484" t="s">
        <v>2168</v>
      </c>
      <c r="B63" s="485" t="s">
        <v>2134</v>
      </c>
      <c r="C63" s="486" t="str">
        <f>C9</f>
        <v>商业</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2138</v>
      </c>
      <c r="C67" s="504" t="str">
        <f>C68&amp;"（含）"&amp;"-"&amp;D68</f>
        <v>0（含）-1</v>
      </c>
      <c r="D67" s="504" t="str">
        <f t="shared" ref="D67:L67" si="18">D68&amp;"（含）"&amp;"-"&amp;E68</f>
        <v>1（含）-2</v>
      </c>
      <c r="E67" s="504" t="str">
        <f t="shared" si="18"/>
        <v>2（含）-3</v>
      </c>
      <c r="F67" s="504" t="str">
        <f t="shared" si="18"/>
        <v>3（含）-4</v>
      </c>
      <c r="G67" s="504" t="str">
        <f t="shared" si="18"/>
        <v>4（含）-</v>
      </c>
      <c r="H67" s="504" t="str">
        <f t="shared" si="18"/>
        <v>（含）-</v>
      </c>
      <c r="I67" s="504" t="str">
        <f t="shared" si="18"/>
        <v>（含）-</v>
      </c>
      <c r="J67" s="504" t="str">
        <f t="shared" si="18"/>
        <v>（含）-</v>
      </c>
      <c r="K67" s="504" t="str">
        <f t="shared" si="18"/>
        <v>（含）-</v>
      </c>
      <c r="L67" s="504" t="str">
        <f t="shared" si="18"/>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v>0</v>
      </c>
      <c r="D68" s="506">
        <v>1</v>
      </c>
      <c r="E68" s="506">
        <v>2</v>
      </c>
      <c r="F68" s="506">
        <v>3</v>
      </c>
      <c r="G68" s="506">
        <v>4</v>
      </c>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2139</v>
      </c>
      <c r="B76" s="485" t="s">
        <v>2176</v>
      </c>
      <c r="C76" s="530" t="s">
        <v>2177</v>
      </c>
      <c r="D76" s="530" t="s">
        <v>2178</v>
      </c>
      <c r="E76" s="530" t="s">
        <v>2179</v>
      </c>
      <c r="F76" s="530" t="s">
        <v>2180</v>
      </c>
      <c r="G76" s="530" t="s">
        <v>2181</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2182</v>
      </c>
      <c r="C78" s="535" t="s">
        <v>2177</v>
      </c>
      <c r="D78" s="535" t="s">
        <v>2178</v>
      </c>
      <c r="E78" s="535" t="s">
        <v>2179</v>
      </c>
      <c r="F78" s="535" t="s">
        <v>2180</v>
      </c>
      <c r="G78" s="535" t="s">
        <v>2181</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2183</v>
      </c>
      <c r="C80" s="535" t="s">
        <v>2177</v>
      </c>
      <c r="D80" s="535" t="s">
        <v>2178</v>
      </c>
      <c r="E80" s="535" t="s">
        <v>2179</v>
      </c>
      <c r="F80" s="535" t="s">
        <v>2180</v>
      </c>
      <c r="G80" s="535" t="s">
        <v>2181</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2235</v>
      </c>
      <c r="C82" s="615" t="s">
        <v>2255</v>
      </c>
      <c r="D82" s="615" t="s">
        <v>2256</v>
      </c>
      <c r="E82" s="615" t="s">
        <v>2257</v>
      </c>
      <c r="F82" s="615" t="s">
        <v>2258</v>
      </c>
      <c r="G82" s="615" t="s">
        <v>2259</v>
      </c>
      <c r="H82" s="496"/>
      <c r="I82" s="496"/>
      <c r="J82" s="496"/>
      <c r="K82" s="496"/>
      <c r="L82" s="496"/>
      <c r="M82" s="1241"/>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20">D83-$K21</f>
        <v>100</v>
      </c>
      <c r="F83" s="501">
        <f t="shared" si="20"/>
        <v>100</v>
      </c>
      <c r="G83" s="501">
        <f t="shared" si="20"/>
        <v>100</v>
      </c>
      <c r="H83" s="615"/>
      <c r="I83" s="615"/>
      <c r="J83" s="615"/>
      <c r="K83" s="615"/>
      <c r="L83" s="615"/>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2189</v>
      </c>
      <c r="C84" s="535" t="s">
        <v>2177</v>
      </c>
      <c r="D84" s="535" t="s">
        <v>2178</v>
      </c>
      <c r="E84" s="535" t="s">
        <v>2179</v>
      </c>
      <c r="F84" s="535" t="s">
        <v>2180</v>
      </c>
      <c r="G84" s="535" t="s">
        <v>2181</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2260</v>
      </c>
      <c r="C86" s="3232" t="s">
        <v>3207</v>
      </c>
      <c r="D86" s="3232" t="s">
        <v>3209</v>
      </c>
      <c r="E86" s="3232" t="s">
        <v>3210</v>
      </c>
      <c r="F86" s="3232" t="s">
        <v>3211</v>
      </c>
      <c r="G86" s="511"/>
      <c r="H86" s="511"/>
      <c r="I86" s="511"/>
      <c r="J86" s="511"/>
      <c r="K86" s="511"/>
      <c r="L86" s="537"/>
      <c r="M86" s="538"/>
      <c r="N86" s="2925"/>
      <c r="O86" s="2925"/>
      <c r="P86" s="2917"/>
      <c r="Q86" s="2912"/>
      <c r="R86" s="2833"/>
      <c r="S86" s="2833"/>
      <c r="T86" s="2833"/>
      <c r="U86" s="2833"/>
      <c r="V86" s="2833"/>
      <c r="W86" s="2833"/>
      <c r="X86" s="2833"/>
      <c r="Y86" s="2833"/>
      <c r="Z86" s="2833"/>
      <c r="AA86" s="2833"/>
      <c r="AB86" s="2833"/>
      <c r="AC86" s="2833"/>
    </row>
    <row r="87" spans="1:29" s="113" customFormat="1" ht="15.75" thickBot="1">
      <c r="A87" s="536"/>
      <c r="B87" s="500"/>
      <c r="C87" s="539">
        <v>100</v>
      </c>
      <c r="D87" s="501">
        <f t="shared" ref="D87:M87" si="21">C87-$K25</f>
        <v>98</v>
      </c>
      <c r="E87" s="501">
        <f t="shared" si="21"/>
        <v>96</v>
      </c>
      <c r="F87" s="501">
        <f t="shared" si="21"/>
        <v>94</v>
      </c>
      <c r="G87" s="501">
        <f t="shared" si="21"/>
        <v>92</v>
      </c>
      <c r="H87" s="501">
        <f t="shared" si="21"/>
        <v>90</v>
      </c>
      <c r="I87" s="501">
        <f t="shared" si="21"/>
        <v>88</v>
      </c>
      <c r="J87" s="501">
        <f t="shared" si="21"/>
        <v>86</v>
      </c>
      <c r="K87" s="501">
        <f t="shared" si="21"/>
        <v>84</v>
      </c>
      <c r="L87" s="501">
        <f t="shared" si="21"/>
        <v>82</v>
      </c>
      <c r="M87" s="501">
        <f t="shared" si="21"/>
        <v>80</v>
      </c>
      <c r="N87" s="2927"/>
      <c r="O87" s="2927"/>
      <c r="P87" s="2917"/>
      <c r="Q87" s="2912"/>
      <c r="R87" s="2833"/>
      <c r="S87" s="2833"/>
      <c r="T87" s="2833"/>
      <c r="U87" s="2833"/>
      <c r="V87" s="2833"/>
      <c r="W87" s="2833"/>
      <c r="X87" s="2833"/>
      <c r="Y87" s="2833"/>
      <c r="Z87" s="2833"/>
      <c r="AA87" s="2833"/>
      <c r="AB87" s="2833"/>
      <c r="AC87" s="2833"/>
    </row>
    <row r="88" spans="1:29" s="113" customFormat="1" ht="15.75" thickTop="1">
      <c r="A88" s="536"/>
      <c r="B88" s="495" t="str">
        <f>B26</f>
        <v>平面位置/可视性</v>
      </c>
      <c r="C88" s="3232" t="s">
        <v>3213</v>
      </c>
      <c r="D88" s="3232" t="s">
        <v>3215</v>
      </c>
      <c r="E88" s="511"/>
      <c r="F88" s="2061"/>
      <c r="G88" s="511"/>
      <c r="H88" s="511"/>
      <c r="I88" s="511"/>
      <c r="J88" s="511"/>
      <c r="K88" s="511"/>
      <c r="L88" s="511"/>
      <c r="M88" s="538"/>
      <c r="N88" s="2925"/>
      <c r="O88" s="2925"/>
      <c r="P88" s="2917"/>
      <c r="Q88" s="2912"/>
      <c r="R88" s="2833"/>
      <c r="S88" s="2833"/>
      <c r="T88" s="2833"/>
      <c r="U88" s="2833"/>
      <c r="V88" s="2833"/>
      <c r="W88" s="2833"/>
      <c r="X88" s="2833"/>
      <c r="Y88" s="2833"/>
      <c r="Z88" s="2833"/>
      <c r="AA88" s="2833"/>
      <c r="AB88" s="2833"/>
      <c r="AC88" s="2833"/>
    </row>
    <row r="89" spans="1:29" s="113" customFormat="1" ht="15.75" thickBot="1">
      <c r="A89" s="536"/>
      <c r="B89" s="500"/>
      <c r="C89" s="517">
        <v>100</v>
      </c>
      <c r="D89" s="493">
        <v>98</v>
      </c>
      <c r="E89" s="493"/>
      <c r="F89" s="493"/>
      <c r="G89" s="493"/>
      <c r="H89" s="493"/>
      <c r="I89" s="493"/>
      <c r="J89" s="493"/>
      <c r="K89" s="493"/>
      <c r="L89" s="493"/>
      <c r="M89" s="493"/>
      <c r="N89" s="2927"/>
      <c r="O89" s="2927"/>
      <c r="P89" s="2917"/>
      <c r="Q89" s="2912"/>
      <c r="R89" s="2833"/>
      <c r="S89" s="2833"/>
      <c r="T89" s="2833"/>
      <c r="U89" s="2833"/>
      <c r="V89" s="2833"/>
      <c r="W89" s="2833"/>
      <c r="X89" s="2833"/>
      <c r="Y89" s="2833"/>
      <c r="Z89" s="2833"/>
      <c r="AA89" s="2833"/>
      <c r="AB89" s="2833"/>
      <c r="AC89" s="2833"/>
    </row>
    <row r="90" spans="1:29" s="430" customFormat="1" ht="15.75" thickTop="1">
      <c r="A90" s="510"/>
      <c r="B90" s="495" t="str">
        <f>B27</f>
        <v>人流量</v>
      </c>
      <c r="C90" s="3232" t="s">
        <v>3216</v>
      </c>
      <c r="D90" s="3232" t="s">
        <v>3215</v>
      </c>
      <c r="E90" s="3232" t="s">
        <v>3218</v>
      </c>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98</v>
      </c>
      <c r="E91" s="501">
        <f t="shared" ref="E91:M91" si="22">D91-$K27</f>
        <v>96</v>
      </c>
      <c r="F91" s="501">
        <f t="shared" si="22"/>
        <v>94</v>
      </c>
      <c r="G91" s="501">
        <f t="shared" si="22"/>
        <v>92</v>
      </c>
      <c r="H91" s="501">
        <f t="shared" si="22"/>
        <v>90</v>
      </c>
      <c r="I91" s="501">
        <f t="shared" si="22"/>
        <v>88</v>
      </c>
      <c r="J91" s="501">
        <f t="shared" si="22"/>
        <v>86</v>
      </c>
      <c r="K91" s="501">
        <f t="shared" si="22"/>
        <v>84</v>
      </c>
      <c r="L91" s="501">
        <f t="shared" si="22"/>
        <v>82</v>
      </c>
      <c r="M91" s="501">
        <f t="shared" si="22"/>
        <v>80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3232" t="s">
        <v>3222</v>
      </c>
      <c r="D92" s="3233" t="s">
        <v>3219</v>
      </c>
      <c r="E92" s="3233" t="s">
        <v>3220</v>
      </c>
      <c r="F92" s="3233"/>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v>100</v>
      </c>
      <c r="D93" s="493">
        <v>60</v>
      </c>
      <c r="E93" s="493">
        <v>40</v>
      </c>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2"/>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2143</v>
      </c>
      <c r="B100" s="485" t="s">
        <v>2261</v>
      </c>
      <c r="C100" s="3234" t="s">
        <v>3241</v>
      </c>
      <c r="D100" s="3234" t="s">
        <v>3223</v>
      </c>
      <c r="E100" s="3234" t="s">
        <v>3225</v>
      </c>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3">C101-$K32</f>
        <v>98</v>
      </c>
      <c r="E101" s="501">
        <f t="shared" si="23"/>
        <v>96</v>
      </c>
      <c r="F101" s="501">
        <f t="shared" si="23"/>
        <v>94</v>
      </c>
      <c r="G101" s="501">
        <f t="shared" si="23"/>
        <v>92</v>
      </c>
      <c r="H101" s="501">
        <f t="shared" si="23"/>
        <v>90</v>
      </c>
      <c r="I101" s="501">
        <f t="shared" si="23"/>
        <v>88</v>
      </c>
      <c r="J101" s="501">
        <f t="shared" si="23"/>
        <v>86</v>
      </c>
      <c r="K101" s="501">
        <f t="shared" si="23"/>
        <v>84</v>
      </c>
      <c r="L101" s="501">
        <f t="shared" si="23"/>
        <v>82</v>
      </c>
      <c r="M101" s="502">
        <f t="shared" si="23"/>
        <v>80</v>
      </c>
      <c r="N101" s="2927"/>
      <c r="O101" s="2927"/>
      <c r="P101" s="2917"/>
      <c r="Q101" s="2912"/>
      <c r="R101" s="2898"/>
      <c r="S101" s="2898"/>
      <c r="T101" s="2898"/>
      <c r="U101" s="2898"/>
      <c r="V101" s="2898"/>
      <c r="W101" s="2898"/>
      <c r="X101" s="2898"/>
      <c r="Y101" s="2898"/>
      <c r="Z101" s="2898"/>
      <c r="AA101" s="2898"/>
      <c r="AB101" s="2898"/>
      <c r="AC101" s="2898"/>
    </row>
    <row r="102" spans="1:29" ht="30" thickTop="1" thickBot="1">
      <c r="A102" s="491"/>
      <c r="B102" s="495" t="s">
        <v>2193</v>
      </c>
      <c r="C102" s="535" t="str">
        <f>C103&amp;"(含)"&amp;"-"&amp;D103</f>
        <v>0(含)-50</v>
      </c>
      <c r="D102" s="535" t="str">
        <f t="shared" ref="D102:L102" si="24">D103&amp;"(含)"&amp;"-"&amp;E103</f>
        <v>50(含)-100</v>
      </c>
      <c r="E102" s="535" t="str">
        <f t="shared" si="24"/>
        <v>100(含)-150</v>
      </c>
      <c r="F102" s="535" t="str">
        <f t="shared" si="24"/>
        <v>150(含)-200以上</v>
      </c>
      <c r="G102" s="535" t="str">
        <f t="shared" si="24"/>
        <v>200以上(含)-</v>
      </c>
      <c r="H102" s="535" t="str">
        <f t="shared" si="24"/>
        <v>(含)-</v>
      </c>
      <c r="I102" s="535" t="str">
        <f t="shared" si="24"/>
        <v>(含)-</v>
      </c>
      <c r="J102" s="535" t="str">
        <f t="shared" si="24"/>
        <v>(含)-</v>
      </c>
      <c r="K102" s="535" t="str">
        <f t="shared" si="24"/>
        <v>(含)-</v>
      </c>
      <c r="L102" s="535" t="str">
        <f t="shared" si="24"/>
        <v>(含)-</v>
      </c>
      <c r="M102" s="577"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ht="15" thickTop="1">
      <c r="A103" s="550"/>
      <c r="B103" s="551"/>
      <c r="C103" s="582">
        <v>0</v>
      </c>
      <c r="D103" s="582">
        <v>50</v>
      </c>
      <c r="E103" s="582">
        <v>100</v>
      </c>
      <c r="F103" s="582">
        <v>150</v>
      </c>
      <c r="G103" s="582" t="s">
        <v>3296</v>
      </c>
      <c r="H103" s="58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v>100</v>
      </c>
      <c r="D104" s="493">
        <v>101</v>
      </c>
      <c r="E104" s="493">
        <v>102</v>
      </c>
      <c r="F104" s="493">
        <v>103</v>
      </c>
      <c r="G104" s="493">
        <v>104</v>
      </c>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2194</v>
      </c>
      <c r="C105" s="3232" t="s">
        <v>3226</v>
      </c>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2196</v>
      </c>
      <c r="C107" s="3232" t="s">
        <v>3228</v>
      </c>
      <c r="D107" s="3232" t="s">
        <v>3229</v>
      </c>
      <c r="E107" s="3232" t="s">
        <v>3230</v>
      </c>
      <c r="F107" s="3235" t="s">
        <v>3232</v>
      </c>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6">C108-$K35</f>
        <v>99</v>
      </c>
      <c r="E108" s="501">
        <f t="shared" si="26"/>
        <v>98</v>
      </c>
      <c r="F108" s="501">
        <f t="shared" si="26"/>
        <v>97</v>
      </c>
      <c r="G108" s="501">
        <f t="shared" si="26"/>
        <v>96</v>
      </c>
      <c r="H108" s="501">
        <f t="shared" si="26"/>
        <v>95</v>
      </c>
      <c r="I108" s="501">
        <f t="shared" si="26"/>
        <v>94</v>
      </c>
      <c r="J108" s="501">
        <f t="shared" si="26"/>
        <v>93</v>
      </c>
      <c r="K108" s="501">
        <f t="shared" si="26"/>
        <v>92</v>
      </c>
      <c r="L108" s="501">
        <f t="shared" si="26"/>
        <v>91</v>
      </c>
      <c r="M108" s="502">
        <f t="shared" si="26"/>
        <v>90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8"/>
      <c r="J110" s="578"/>
      <c r="K110" s="579"/>
      <c r="L110" s="580"/>
      <c r="M110" s="581"/>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105</v>
      </c>
      <c r="E111" s="501">
        <f t="shared" ref="E111:M111" si="27">D111+$K36</f>
        <v>110</v>
      </c>
      <c r="F111" s="501">
        <f t="shared" si="27"/>
        <v>115</v>
      </c>
      <c r="G111" s="501">
        <f t="shared" si="27"/>
        <v>120</v>
      </c>
      <c r="H111" s="501">
        <f t="shared" si="27"/>
        <v>125</v>
      </c>
      <c r="I111" s="501">
        <f t="shared" si="27"/>
        <v>130</v>
      </c>
      <c r="J111" s="501">
        <f t="shared" si="27"/>
        <v>135</v>
      </c>
      <c r="K111" s="501">
        <f t="shared" si="27"/>
        <v>140</v>
      </c>
      <c r="L111" s="501">
        <f t="shared" si="27"/>
        <v>145</v>
      </c>
      <c r="M111" s="501">
        <f t="shared" si="27"/>
        <v>150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2198</v>
      </c>
      <c r="C112" s="3232" t="s">
        <v>3234</v>
      </c>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2262</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2263</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29.25" thickTop="1">
      <c r="A118" s="556"/>
      <c r="B118" s="495" t="s">
        <v>2264</v>
      </c>
      <c r="C118" s="582" t="s">
        <v>3235</v>
      </c>
      <c r="D118" s="582" t="s">
        <v>3236</v>
      </c>
      <c r="E118" s="582" t="s">
        <v>3237</v>
      </c>
      <c r="F118" s="582" t="s">
        <v>3238</v>
      </c>
      <c r="G118" s="582" t="s">
        <v>3239</v>
      </c>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v>100</v>
      </c>
      <c r="D119" s="493">
        <v>101</v>
      </c>
      <c r="E119" s="493">
        <v>102</v>
      </c>
      <c r="F119" s="493">
        <v>99</v>
      </c>
      <c r="G119" s="493">
        <v>98</v>
      </c>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2265</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2200</v>
      </c>
      <c r="C122" s="3232" t="s">
        <v>3228</v>
      </c>
      <c r="D122" s="3232" t="s">
        <v>3229</v>
      </c>
      <c r="E122" s="3232" t="s">
        <v>3230</v>
      </c>
      <c r="F122" s="3235" t="s">
        <v>3232</v>
      </c>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1">C123-$K42</f>
        <v>99</v>
      </c>
      <c r="E123" s="501">
        <f t="shared" si="31"/>
        <v>98</v>
      </c>
      <c r="F123" s="501">
        <f t="shared" si="31"/>
        <v>97</v>
      </c>
      <c r="G123" s="501">
        <f t="shared" si="31"/>
        <v>96</v>
      </c>
      <c r="H123" s="501">
        <f t="shared" si="31"/>
        <v>95</v>
      </c>
      <c r="I123" s="501">
        <f t="shared" si="31"/>
        <v>94</v>
      </c>
      <c r="J123" s="501">
        <f t="shared" si="31"/>
        <v>93</v>
      </c>
      <c r="K123" s="501">
        <f t="shared" si="31"/>
        <v>92</v>
      </c>
      <c r="L123" s="501">
        <f t="shared" si="31"/>
        <v>91</v>
      </c>
      <c r="M123" s="502">
        <f t="shared" si="31"/>
        <v>90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99</v>
      </c>
      <c r="E125" s="501">
        <f>D125-$K43</f>
        <v>98</v>
      </c>
      <c r="F125" s="501">
        <f>E125-$K43</f>
        <v>97</v>
      </c>
      <c r="G125" s="501">
        <f>F125-$K43</f>
        <v>96</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2"/>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80" zoomScaleNormal="70" zoomScaleSheetLayoutView="80" workbookViewId="0">
      <selection activeCell="J56" sqref="J56"/>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00" customWidth="1"/>
    <col min="12" max="12" width="16.375" style="264" customWidth="1"/>
    <col min="13" max="13" width="13" style="264" customWidth="1"/>
    <col min="14" max="14" width="13.625" style="1516" customWidth="1"/>
    <col min="15" max="15" width="5.125" style="1516" customWidth="1"/>
    <col min="16" max="16" width="25.625" style="1516" customWidth="1"/>
    <col min="17" max="17" width="13.625" style="1516" customWidth="1"/>
    <col min="18" max="18" width="20.5" style="1516" customWidth="1"/>
    <col min="19" max="19" width="13.125" style="1516" customWidth="1"/>
    <col min="20" max="37" width="9" style="1516"/>
    <col min="38" max="16384" width="9" style="264"/>
  </cols>
  <sheetData>
    <row r="1" spans="1:37" s="299" customFormat="1" ht="21">
      <c r="A1" s="1507" t="s">
        <v>1313</v>
      </c>
      <c r="B1" s="719"/>
      <c r="C1" s="1511" t="s">
        <v>3192</v>
      </c>
      <c r="D1" s="1494" t="s">
        <v>70</v>
      </c>
      <c r="E1" s="1495" t="s">
        <v>1111</v>
      </c>
      <c r="F1" s="1171">
        <f ca="1">J53</f>
        <v>36.85</v>
      </c>
      <c r="G1" s="1510">
        <f>MATCH(C1,'数据-取费表'!A6:A16,0)+5</f>
        <v>6</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C40+J29+L46</f>
        <v>207</v>
      </c>
      <c r="C2" s="1519" t="s">
        <v>1240</v>
      </c>
      <c r="D2" s="1519"/>
      <c r="E2" s="1520"/>
      <c r="F2" s="1521"/>
      <c r="G2" s="2879"/>
      <c r="H2" s="2868"/>
      <c r="I2" s="2868"/>
      <c r="J2" s="2868"/>
      <c r="K2" s="2869"/>
      <c r="L2" s="2868"/>
      <c r="M2" s="2868"/>
    </row>
    <row r="3" spans="1:37" ht="18" customHeight="1" thickBot="1">
      <c r="A3" s="1522" t="s">
        <v>1241</v>
      </c>
      <c r="B3" s="1523">
        <f ca="1">IF(ISERROR(B2*10000/F43),0,ROUND(B2*10000/F43,0))</f>
        <v>8140</v>
      </c>
      <c r="C3" s="1519" t="s">
        <v>1242</v>
      </c>
      <c r="D3" s="1519"/>
      <c r="E3" s="1520"/>
      <c r="F3" s="1521"/>
      <c r="G3" s="2879"/>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16</v>
      </c>
      <c r="D5" s="1496" t="s">
        <v>1126</v>
      </c>
      <c r="E5" s="1181"/>
      <c r="F5" s="1182"/>
      <c r="G5" s="1516"/>
      <c r="H5" s="305">
        <v>1</v>
      </c>
      <c r="I5" s="306" t="s">
        <v>1125</v>
      </c>
      <c r="J5" s="1180">
        <f ca="1">J6+J10+J12</f>
        <v>0</v>
      </c>
      <c r="K5" s="1496" t="s">
        <v>1126</v>
      </c>
      <c r="L5" s="1181"/>
      <c r="M5" s="1182"/>
    </row>
    <row r="6" spans="1:37" ht="18" customHeight="1">
      <c r="A6" s="1179" t="s">
        <v>822</v>
      </c>
      <c r="B6" s="3508" t="s">
        <v>1127</v>
      </c>
      <c r="C6" s="1184">
        <f ca="1">ROUND(F6*F8*F7*(1-F9)/10000,0)</f>
        <v>16</v>
      </c>
      <c r="D6" s="160" t="s">
        <v>2607</v>
      </c>
      <c r="E6" s="308" t="s">
        <v>1129</v>
      </c>
      <c r="F6" s="309">
        <f ca="1">INDIRECT("'数据-取费表'!u"&amp;$G$1)</f>
        <v>2</v>
      </c>
      <c r="G6" s="1516"/>
      <c r="H6" s="1179" t="s">
        <v>822</v>
      </c>
      <c r="I6" s="3508" t="s">
        <v>1127</v>
      </c>
      <c r="J6" s="307">
        <f ca="1">ROUND(M6*M8*M7*(1-M9)/10000,0)</f>
        <v>0</v>
      </c>
      <c r="K6" s="160" t="s">
        <v>2606</v>
      </c>
      <c r="L6" s="308" t="s">
        <v>1129</v>
      </c>
      <c r="M6" s="309">
        <f ca="1">INDIRECT("'数据-取费表'!z"&amp;$G$1)</f>
        <v>0</v>
      </c>
    </row>
    <row r="7" spans="1:37" ht="18" customHeight="1">
      <c r="A7" s="1183"/>
      <c r="B7" s="3509"/>
      <c r="C7" s="1185"/>
      <c r="D7" s="313"/>
      <c r="E7" s="1186" t="s">
        <v>1130</v>
      </c>
      <c r="F7" s="309">
        <f ca="1">IF(INDIRECT("'数据-取费表'!ah"&amp;$G$1)="",INDIRECT("'数据-取费表'!k"&amp;$G$1),INDIRECT("'数据-取费表'!ah"&amp;$G$1))</f>
        <v>254.29000000000002</v>
      </c>
      <c r="G7" s="1516"/>
      <c r="H7" s="310"/>
      <c r="I7" s="3509"/>
      <c r="J7" s="312"/>
      <c r="K7" s="313"/>
      <c r="L7" s="308" t="s">
        <v>1130</v>
      </c>
      <c r="M7" s="309">
        <f ca="1">F7</f>
        <v>254.29000000000002</v>
      </c>
    </row>
    <row r="8" spans="1:37" ht="18" customHeight="1">
      <c r="A8" s="310"/>
      <c r="B8" s="3509"/>
      <c r="C8" s="312"/>
      <c r="D8" s="313"/>
      <c r="E8" s="308" t="s">
        <v>1131</v>
      </c>
      <c r="F8" s="309">
        <f ca="1">INDIRECT("'数据-取费表'!ai"&amp;$G$1)</f>
        <v>365</v>
      </c>
      <c r="G8" s="1516"/>
      <c r="H8" s="310"/>
      <c r="I8" s="3509"/>
      <c r="J8" s="312"/>
      <c r="K8" s="313"/>
      <c r="L8" s="308" t="s">
        <v>1131</v>
      </c>
      <c r="M8" s="309">
        <f ca="1">INDIRECT("'数据-取费表'!ai"&amp;$G$1)</f>
        <v>365</v>
      </c>
    </row>
    <row r="9" spans="1:37" ht="18" customHeight="1">
      <c r="A9" s="310"/>
      <c r="B9" s="3510"/>
      <c r="C9" s="312"/>
      <c r="D9" s="313"/>
      <c r="E9" s="308" t="s">
        <v>1132</v>
      </c>
      <c r="F9" s="318">
        <f ca="1">INDIRECT("'数据-取费表'!w"&amp;$G$1)</f>
        <v>0.15</v>
      </c>
      <c r="G9" s="1516"/>
      <c r="H9" s="310"/>
      <c r="I9" s="3510"/>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2615</v>
      </c>
      <c r="E10" s="319" t="s">
        <v>1134</v>
      </c>
      <c r="F10" s="1226" t="s">
        <v>3195</v>
      </c>
      <c r="G10" s="1516"/>
      <c r="H10" s="1179" t="s">
        <v>826</v>
      </c>
      <c r="I10" s="1497" t="s">
        <v>1133</v>
      </c>
      <c r="J10" s="307">
        <f ca="1">ROUND(IF(M10="押一",J6/12*M11,IF(M10="押二",J6/12*2*M11,IF(M10="押三",J6/12*3*M11,J11*M11))),0)</f>
        <v>0</v>
      </c>
      <c r="K10" s="1498" t="s">
        <v>2614</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57</v>
      </c>
      <c r="D13" s="1191" t="s">
        <v>1139</v>
      </c>
      <c r="E13" s="1191" t="s">
        <v>1140</v>
      </c>
      <c r="F13" s="1192">
        <f ca="1">INDIRECT("'数据-取费表'!y"&amp;$G$1)</f>
        <v>0.60000000000000009</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66</v>
      </c>
      <c r="D14" s="1477" t="s">
        <v>1142</v>
      </c>
      <c r="E14" s="1474"/>
      <c r="F14" s="325"/>
      <c r="G14" s="1516"/>
      <c r="H14" s="1091" t="s">
        <v>822</v>
      </c>
      <c r="I14" s="308" t="s">
        <v>1143</v>
      </c>
      <c r="J14" s="24">
        <f ca="1">C29</f>
        <v>95</v>
      </c>
      <c r="K14" s="15"/>
      <c r="L14" s="894"/>
      <c r="M14" s="895"/>
    </row>
    <row r="15" spans="1:37" s="1529" customFormat="1" ht="18" customHeight="1" thickBot="1">
      <c r="A15" s="1091" t="s">
        <v>823</v>
      </c>
      <c r="B15" s="308" t="s">
        <v>1144</v>
      </c>
      <c r="C15" s="24">
        <f ca="1">ROUND(C14*F15,0)</f>
        <v>2</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3</v>
      </c>
      <c r="K16" s="1197" t="s">
        <v>1149</v>
      </c>
      <c r="L16" s="1198"/>
      <c r="M16" s="1182"/>
    </row>
    <row r="17" spans="1:37" s="1529" customFormat="1" ht="18" customHeight="1">
      <c r="A17" s="1091" t="s">
        <v>1114</v>
      </c>
      <c r="B17" s="308" t="s">
        <v>1150</v>
      </c>
      <c r="C17" s="24">
        <f ca="1">ROUND(F17*(F43+INDIRECT("'数据-取费表'!S"&amp;$G$1))/10000,0)</f>
        <v>5</v>
      </c>
      <c r="D17" s="308" t="s">
        <v>1151</v>
      </c>
      <c r="E17" s="308" t="s">
        <v>1152</v>
      </c>
      <c r="F17" s="26">
        <f>'数据-取费表'!B35</f>
        <v>200</v>
      </c>
      <c r="G17" s="1528"/>
      <c r="H17" s="1091" t="s">
        <v>822</v>
      </c>
      <c r="I17" s="308" t="s">
        <v>1153</v>
      </c>
      <c r="J17" s="2482">
        <f ca="1">ROUND(IF(AND(项目基本情况!B11="自然人",项目基本情况!B10="北京市"),J6*M17/(1+'数据-取费表'!C42),J18+J19+J20),0)</f>
        <v>1</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1</v>
      </c>
      <c r="D18" s="308" t="s">
        <v>1145</v>
      </c>
      <c r="E18" s="308" t="s">
        <v>1146</v>
      </c>
      <c r="F18" s="328">
        <f>'数据-取费表'!B36</f>
        <v>1.4999999999999999E-2</v>
      </c>
      <c r="G18" s="1528"/>
      <c r="H18" s="1091" t="s">
        <v>821</v>
      </c>
      <c r="I18" s="308" t="s">
        <v>1157</v>
      </c>
      <c r="J18" s="24">
        <f ca="1">ROUND(J6*M18/(1+'数据-取费表'!C42),2)</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74</v>
      </c>
      <c r="D19" s="136" t="s">
        <v>1160</v>
      </c>
      <c r="E19" s="1492"/>
      <c r="F19" s="26"/>
      <c r="G19" s="1516"/>
      <c r="H19" s="1091" t="s">
        <v>823</v>
      </c>
      <c r="I19" s="308" t="s">
        <v>1161</v>
      </c>
      <c r="J19" s="24">
        <f ca="1">IF(K19="按租金收入计税",ROUND(J6*M19/(1+'数据-取费表'!C42),2),ROUND(C29*M19*0.7,2))</f>
        <v>0.8</v>
      </c>
      <c r="K19" s="1502" t="s">
        <v>1162</v>
      </c>
      <c r="L19" s="308" t="s">
        <v>1146</v>
      </c>
      <c r="M19" s="328">
        <f>IF(K19="按租金收入计税",'数据-取费表'!B51,'数据-取费表'!B50)</f>
        <v>1.2E-2</v>
      </c>
    </row>
    <row r="20" spans="1:37" s="1529" customFormat="1" ht="18" customHeight="1">
      <c r="A20" s="1091" t="s">
        <v>826</v>
      </c>
      <c r="B20" s="308" t="s">
        <v>1163</v>
      </c>
      <c r="C20" s="24">
        <f ca="1">ROUND(C19*F20,0)</f>
        <v>1</v>
      </c>
      <c r="D20" s="329" t="s">
        <v>1164</v>
      </c>
      <c r="E20" s="308" t="s">
        <v>1146</v>
      </c>
      <c r="F20" s="328">
        <f>'数据-取费表'!B37</f>
        <v>0.02</v>
      </c>
      <c r="G20" s="1528"/>
      <c r="H20" s="1091" t="s">
        <v>1113</v>
      </c>
      <c r="I20" s="160" t="s">
        <v>1165</v>
      </c>
      <c r="J20" s="25">
        <f ca="1">ROUND(M20*M21/10000,2)</f>
        <v>0</v>
      </c>
      <c r="K20" s="330" t="s">
        <v>1166</v>
      </c>
      <c r="L20" s="308" t="s">
        <v>1167</v>
      </c>
      <c r="M20" s="331">
        <f>'数据-取费表'!B52</f>
        <v>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ROUND(J14*M22,1)</f>
        <v>1.9</v>
      </c>
      <c r="K22" s="1476" t="s">
        <v>1174</v>
      </c>
      <c r="L22" s="308" t="s">
        <v>1146</v>
      </c>
      <c r="M22" s="334">
        <f ca="1">INDIRECT("'数据-取费表'!Ak"&amp;$G$1)</f>
        <v>0.02</v>
      </c>
    </row>
    <row r="23" spans="1:37" s="1529" customFormat="1" ht="18" customHeight="1">
      <c r="A23" s="1091" t="s">
        <v>821</v>
      </c>
      <c r="B23" s="308" t="s">
        <v>1175</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1176</v>
      </c>
      <c r="F23" s="331">
        <f>'数据-取费表'!B20</f>
        <v>1.5</v>
      </c>
      <c r="G23" s="1528"/>
      <c r="H23" s="1091" t="s">
        <v>862</v>
      </c>
      <c r="I23" s="308" t="s">
        <v>1177</v>
      </c>
      <c r="J23" s="24">
        <f ca="1">ROUND(J13*M23,1)</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3.7000000000000005E-2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f ca="1">J5-J16</f>
        <v>-3</v>
      </c>
      <c r="K25" s="1205" t="s">
        <v>1188</v>
      </c>
      <c r="L25" s="1206"/>
      <c r="M25" s="1207"/>
    </row>
    <row r="26" spans="1:37">
      <c r="A26" s="1091" t="s">
        <v>821</v>
      </c>
      <c r="B26" s="308" t="s">
        <v>1189</v>
      </c>
      <c r="C26" s="24">
        <f ca="1">ROUND((C19+C20)*F26,0)</f>
        <v>11</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95</v>
      </c>
      <c r="D29" s="1202"/>
      <c r="E29" s="1200"/>
      <c r="F29" s="1203"/>
      <c r="G29" s="1528"/>
      <c r="H29" s="340" t="s">
        <v>820</v>
      </c>
      <c r="I29" s="341" t="s">
        <v>1203</v>
      </c>
      <c r="J29" s="342">
        <f ca="1">ROUND(J26/(1+F40)^F41,0)</f>
        <v>0</v>
      </c>
      <c r="K29" s="343" t="s">
        <v>1204</v>
      </c>
      <c r="L29" s="344"/>
      <c r="M29" s="345">
        <f ca="1">INDIRECT("'数据-取费表'!k"&amp;$G$1)</f>
        <v>254.29000000000002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5</v>
      </c>
      <c r="D30" s="1197" t="s">
        <v>1149</v>
      </c>
      <c r="E30" s="1198"/>
      <c r="F30" s="1182"/>
      <c r="G30" s="1516"/>
      <c r="H30" s="2870"/>
      <c r="I30" s="1530"/>
      <c r="J30" s="1531"/>
      <c r="K30" s="2646"/>
      <c r="L30" s="2871"/>
      <c r="M30" s="2872"/>
    </row>
    <row r="31" spans="1:37" ht="18" customHeight="1">
      <c r="A31" s="1091" t="s">
        <v>822</v>
      </c>
      <c r="B31" s="308" t="s">
        <v>1153</v>
      </c>
      <c r="C31" s="2482">
        <f ca="1">ROUND(IF(AND(项目基本情况!B11="自然人",项目基本情况!B10="北京市"),C6*F31/(1+'数据-取费表'!C42),C32+C33+C34),0)</f>
        <v>3</v>
      </c>
      <c r="D31" s="1477" t="s">
        <v>1154</v>
      </c>
      <c r="E31" s="1476" t="s">
        <v>1205</v>
      </c>
      <c r="F31" s="2481" t="str">
        <f>IF(项目基本情况!B11="企业","——",IF('数据-取费表'!B10="住宅",IF(F6*F7*F8/12/(1+'数据-取费表'!F30)&gt;100000,4%,2.5%),IF(F6*F7*F8/12/(1+'数据-取费表'!F30)&gt;100000,12%,7%)))</f>
        <v>——</v>
      </c>
      <c r="G31" s="1516"/>
      <c r="H31" s="2983" t="s">
        <v>2807</v>
      </c>
      <c r="I31" s="1530"/>
      <c r="J31" s="1531"/>
      <c r="K31" s="2646"/>
      <c r="L31" s="2871"/>
      <c r="M31" s="2872"/>
    </row>
    <row r="32" spans="1:37" ht="18" customHeight="1">
      <c r="A32" s="1091" t="s">
        <v>821</v>
      </c>
      <c r="B32" s="308" t="s">
        <v>1157</v>
      </c>
      <c r="C32" s="24">
        <f ca="1">IF(项目基本情况!B11="自然人","——",ROUND(C6*F32/(1+'数据-取费表'!C42),2))</f>
        <v>0.85</v>
      </c>
      <c r="D32" s="147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IF(项目基本情况!B11="自然人","——",IF(D33="按租金收入计税",ROUND(C6*F33/(1+'数据-取费表'!C42),2),IF(D33="按房产原值计税",ROUND(C29*F33*0.7,2),INDIRECT("'数据-取费表'!Aj"&amp;$G$1))))</f>
        <v>1.83</v>
      </c>
      <c r="D33" s="1502" t="s">
        <v>3196</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IF(项目基本情况!B11="自然人","——",ROUND(F34*F35/10000,2))</f>
        <v>0</v>
      </c>
      <c r="D34" s="330" t="s">
        <v>1166</v>
      </c>
      <c r="E34" s="308" t="s">
        <v>1167</v>
      </c>
      <c r="F34" s="331">
        <f>'数据-取费表'!B52</f>
        <v>5</v>
      </c>
      <c r="G34" s="1516"/>
      <c r="H34" s="2870"/>
      <c r="I34" s="1530"/>
      <c r="J34" s="1531"/>
      <c r="K34" s="2875"/>
      <c r="L34" s="2876"/>
      <c r="M34" s="2876"/>
    </row>
    <row r="35" spans="1:18" ht="18" customHeight="1">
      <c r="A35" s="1213"/>
      <c r="B35" s="1211"/>
      <c r="C35" s="29"/>
      <c r="D35" s="333"/>
      <c r="E35" s="308" t="s">
        <v>1171</v>
      </c>
      <c r="F35" s="309">
        <f ca="1">INDIRECT("'数据-取费表'!r"&amp;$G$1)</f>
        <v>0</v>
      </c>
      <c r="G35" s="1516"/>
      <c r="H35" s="2870"/>
      <c r="I35" s="1530"/>
      <c r="J35" s="1531"/>
      <c r="K35" s="2874"/>
      <c r="L35" s="2873"/>
      <c r="M35" s="2873"/>
    </row>
    <row r="36" spans="1:18" ht="18" customHeight="1">
      <c r="A36" s="1212" t="s">
        <v>826</v>
      </c>
      <c r="B36" s="308" t="s">
        <v>1173</v>
      </c>
      <c r="C36" s="24">
        <f ca="1">ROUND(C29*F36,1)</f>
        <v>1.9</v>
      </c>
      <c r="D36" s="1476" t="s">
        <v>1206</v>
      </c>
      <c r="E36" s="308" t="s">
        <v>1146</v>
      </c>
      <c r="F36" s="334">
        <f ca="1">INDIRECT("'数据-取费表'!Ak"&amp;$G$1)</f>
        <v>0.02</v>
      </c>
      <c r="G36" s="1516"/>
      <c r="H36" s="2873"/>
      <c r="I36" s="1530"/>
      <c r="J36" s="1531"/>
      <c r="K36" s="2715"/>
      <c r="L36" s="2873"/>
      <c r="M36" s="2873"/>
    </row>
    <row r="37" spans="1:18" ht="18" customHeight="1">
      <c r="A37" s="1091" t="s">
        <v>862</v>
      </c>
      <c r="B37" s="308" t="s">
        <v>1177</v>
      </c>
      <c r="C37" s="24">
        <f ca="1">ROUND(C13*F37,1)</f>
        <v>0.1</v>
      </c>
      <c r="D37" s="1476" t="s">
        <v>1178</v>
      </c>
      <c r="E37" s="308" t="s">
        <v>1179</v>
      </c>
      <c r="F37" s="336">
        <f ca="1">INDIRECT("'数据-取费表'!Al"&amp;$G$1)</f>
        <v>1.5E-3</v>
      </c>
      <c r="G37" s="1516"/>
      <c r="H37" s="2873"/>
      <c r="I37" s="1530"/>
      <c r="J37" s="1531"/>
      <c r="K37" s="2715"/>
      <c r="L37" s="2873"/>
      <c r="M37" s="2873"/>
    </row>
    <row r="38" spans="1:18" ht="18" customHeight="1" thickBot="1">
      <c r="A38" s="1199" t="s">
        <v>1117</v>
      </c>
      <c r="B38" s="1200" t="s">
        <v>1163</v>
      </c>
      <c r="C38" s="1201">
        <f ca="1">ROUND(C5*F38,1)</f>
        <v>0.2</v>
      </c>
      <c r="D38" s="1202" t="s">
        <v>1183</v>
      </c>
      <c r="E38" s="1200" t="s">
        <v>1179</v>
      </c>
      <c r="F38" s="1196">
        <f ca="1">INDIRECT("'数据-取费表'!Am"&amp;$G$1)</f>
        <v>0.01</v>
      </c>
      <c r="G38" s="1516"/>
      <c r="H38" s="2873"/>
      <c r="I38" s="1530"/>
      <c r="J38" s="1531"/>
      <c r="K38" s="2877"/>
      <c r="L38" s="2873"/>
      <c r="M38" s="2873"/>
    </row>
    <row r="39" spans="1:18" ht="24.6" customHeight="1" thickTop="1">
      <c r="A39" s="1189" t="s">
        <v>818</v>
      </c>
      <c r="B39" s="1204" t="s">
        <v>1207</v>
      </c>
      <c r="C39" s="316">
        <f ca="1">C5-C30</f>
        <v>11</v>
      </c>
      <c r="D39" s="1205" t="s">
        <v>1208</v>
      </c>
      <c r="E39" s="1206"/>
      <c r="F39" s="1207"/>
      <c r="G39" s="1516"/>
      <c r="H39" s="2873"/>
      <c r="I39" s="1530"/>
      <c r="J39" s="1531"/>
      <c r="K39" s="2877"/>
      <c r="L39" s="2873"/>
      <c r="M39" s="2873"/>
    </row>
    <row r="40" spans="1:18" ht="18" customHeight="1">
      <c r="A40" s="305" t="s">
        <v>819</v>
      </c>
      <c r="B40" s="306" t="s">
        <v>1209</v>
      </c>
      <c r="C40" s="307">
        <f ca="1">ROUND(C39*(1-((1+F42)/(1+F40))^F41)/(F40-F42),0)</f>
        <v>204</v>
      </c>
      <c r="D40" s="330" t="s">
        <v>1193</v>
      </c>
      <c r="E40" s="308" t="s">
        <v>1194</v>
      </c>
      <c r="F40" s="318">
        <f ca="1">INDIRECT("'数据-取费表'!I"&amp;$G$1)</f>
        <v>5.5E-2</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31</v>
      </c>
      <c r="G41" s="1516"/>
      <c r="H41" s="1303"/>
      <c r="I41" s="1530"/>
      <c r="J41" s="1531"/>
      <c r="K41" s="2715"/>
      <c r="L41" s="1303"/>
      <c r="M41" s="1303"/>
    </row>
    <row r="42" spans="1:18" ht="18" customHeight="1">
      <c r="A42" s="314"/>
      <c r="B42" s="315"/>
      <c r="C42" s="316"/>
      <c r="D42" s="333"/>
      <c r="E42" s="308" t="s">
        <v>1201</v>
      </c>
      <c r="F42" s="318">
        <f ca="1">INDIRECT("'数据-取费表'!v"&amp;$G$1)</f>
        <v>0.02</v>
      </c>
      <c r="G42" s="1516"/>
      <c r="H42" s="1303"/>
      <c r="I42" s="1530"/>
      <c r="J42" s="1531"/>
      <c r="K42" s="2715"/>
      <c r="L42" s="1303"/>
      <c r="M42" s="1303"/>
    </row>
    <row r="43" spans="1:18" ht="18" customHeight="1" thickBot="1">
      <c r="A43" s="340" t="s">
        <v>820</v>
      </c>
      <c r="B43" s="341" t="s">
        <v>1211</v>
      </c>
      <c r="C43" s="342">
        <f ca="1">ROUND(C40*10000/F43,0)</f>
        <v>8022</v>
      </c>
      <c r="D43" s="343" t="s">
        <v>1212</v>
      </c>
      <c r="E43" s="344" t="s">
        <v>1213</v>
      </c>
      <c r="F43" s="345">
        <f ca="1">INDIRECT("'数据-取费表'!k"&amp;$G$1)</f>
        <v>254.29000000000002</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2"/>
      <c r="O45" s="2878" t="s">
        <v>1243</v>
      </c>
      <c r="P45" s="1593"/>
      <c r="Q45" s="1593"/>
      <c r="R45" s="1593"/>
    </row>
    <row r="46" spans="1:18" s="1516" customFormat="1" ht="13.5" thickBot="1">
      <c r="A46" s="1536" t="s">
        <v>1244</v>
      </c>
      <c r="C46" s="1537">
        <f ca="1">C68-C40</f>
        <v>-351</v>
      </c>
      <c r="D46" s="1538" t="str">
        <f>C2</f>
        <v>万元</v>
      </c>
      <c r="E46" s="1532"/>
      <c r="F46" s="1532"/>
      <c r="I46" s="1539" t="s">
        <v>1245</v>
      </c>
      <c r="J46" s="1540"/>
      <c r="K46" s="1541"/>
      <c r="L46" s="1542">
        <f ca="1">IF(M47="住宅",0,IF(L48&gt;J51,L60,J60))</f>
        <v>3</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8"/>
      <c r="I47" s="1546" t="s">
        <v>1250</v>
      </c>
      <c r="J47" s="1547" t="s">
        <v>3197</v>
      </c>
      <c r="K47" s="1548" t="s">
        <v>1251</v>
      </c>
      <c r="L47" s="1549">
        <f ca="1">INDIRECT("'数据-取费表'!d"&amp;$G$1)</f>
        <v>40</v>
      </c>
      <c r="M47" s="1512" t="str">
        <f>IF(ISNUMBER(FIND("住宅",C1)),"住宅","非住宅")</f>
        <v>非住宅</v>
      </c>
      <c r="O47" s="1550" t="s">
        <v>827</v>
      </c>
      <c r="P47" s="1551" t="s">
        <v>1252</v>
      </c>
      <c r="Q47" s="1552">
        <f ca="1">C40+J29</f>
        <v>204</v>
      </c>
      <c r="R47" s="1552" t="s">
        <v>1253</v>
      </c>
    </row>
    <row r="48" spans="1:18" s="1516" customFormat="1" ht="28.5" thickBot="1">
      <c r="A48" s="1220" t="s">
        <v>863</v>
      </c>
      <c r="B48" s="306" t="s">
        <v>1125</v>
      </c>
      <c r="C48" s="1491">
        <f ca="1">C49+C53+C55</f>
        <v>0</v>
      </c>
      <c r="D48" s="1222"/>
      <c r="E48" s="1223"/>
      <c r="F48" s="1071"/>
      <c r="G48" s="728"/>
      <c r="H48" s="729"/>
      <c r="I48" s="1553" t="s">
        <v>1254</v>
      </c>
      <c r="J48" s="1554" t="s">
        <v>3198</v>
      </c>
      <c r="K48" s="1555" t="s">
        <v>1255</v>
      </c>
      <c r="L48" s="1556">
        <f ca="1">INDIRECT("'数据-取费表'!f"&amp;$G$1)</f>
        <v>36.85</v>
      </c>
      <c r="O48" s="1550" t="s">
        <v>828</v>
      </c>
      <c r="P48" s="1551" t="s">
        <v>1256</v>
      </c>
      <c r="Q48" s="1552">
        <f ca="1">J60</f>
        <v>3</v>
      </c>
      <c r="R48" s="1552" t="s">
        <v>1257</v>
      </c>
    </row>
    <row r="49" spans="1:18" s="1516" customFormat="1" ht="13.5" thickBot="1">
      <c r="A49" s="1084" t="s">
        <v>864</v>
      </c>
      <c r="B49" s="1503" t="s">
        <v>1214</v>
      </c>
      <c r="C49" s="1224">
        <f ca="1">ROUND(F49*F51*F50*(1-F52)/10000,0)</f>
        <v>0</v>
      </c>
      <c r="D49" s="1164" t="s">
        <v>2608</v>
      </c>
      <c r="E49" s="1504" t="s">
        <v>1215</v>
      </c>
      <c r="F49" s="1169"/>
      <c r="G49" s="1557"/>
      <c r="H49" s="729"/>
      <c r="I49" s="1553" t="s">
        <v>1258</v>
      </c>
      <c r="J49" s="1558">
        <v>2014</v>
      </c>
      <c r="K49" s="1555" t="s">
        <v>1259</v>
      </c>
      <c r="L49" s="1559"/>
      <c r="O49" s="1560" t="s">
        <v>829</v>
      </c>
      <c r="P49" s="1551" t="s">
        <v>1260</v>
      </c>
      <c r="Q49" s="1552">
        <f ca="1">C29</f>
        <v>95</v>
      </c>
      <c r="R49" s="1552" t="s">
        <v>1253</v>
      </c>
    </row>
    <row r="50" spans="1:18" s="1516" customFormat="1" ht="13.5" thickBot="1">
      <c r="A50" s="1085"/>
      <c r="B50" s="1088"/>
      <c r="C50" s="1228"/>
      <c r="D50" s="1062"/>
      <c r="E50" s="1165" t="s">
        <v>1130</v>
      </c>
      <c r="F50" s="1166">
        <f ca="1">F7</f>
        <v>254.29000000000002</v>
      </c>
      <c r="H50" s="729"/>
      <c r="I50" s="1553" t="s">
        <v>1261</v>
      </c>
      <c r="J50" s="1561">
        <f>SUMPRODUCT((I63:I65=J47)*(J62:L62=J48)*(J63:L65))</f>
        <v>60</v>
      </c>
      <c r="K50" s="1555" t="s">
        <v>1262</v>
      </c>
      <c r="L50" s="1559"/>
      <c r="M50" s="1562"/>
      <c r="O50" s="1560" t="s">
        <v>830</v>
      </c>
      <c r="P50" s="1551" t="s">
        <v>1263</v>
      </c>
      <c r="Q50" s="1563">
        <f ca="1">J58</f>
        <v>0.4</v>
      </c>
      <c r="R50" s="1552"/>
    </row>
    <row r="51" spans="1:18" s="1516" customFormat="1" ht="13.5" thickBot="1">
      <c r="A51" s="1086"/>
      <c r="B51" s="1088"/>
      <c r="C51" s="1089"/>
      <c r="D51" s="1062"/>
      <c r="E51" s="1090" t="s">
        <v>1131</v>
      </c>
      <c r="F51" s="309">
        <f ca="1">F8</f>
        <v>365</v>
      </c>
      <c r="I51" s="1564" t="s">
        <v>1264</v>
      </c>
      <c r="J51" s="1565">
        <f>IF(J49="",J50,J49+J50-YEAR('数据-取费表'!B2))</f>
        <v>52</v>
      </c>
      <c r="K51" s="1566" t="s">
        <v>1265</v>
      </c>
      <c r="L51" s="1567">
        <f ca="1">ROUND(-PV(INDIRECT("'数据-取费表'!h"&amp;$G$1),J51,(C39-C13*C76),0),0)</f>
        <v>129</v>
      </c>
      <c r="M51" s="1568"/>
      <c r="O51" s="1560" t="s">
        <v>831</v>
      </c>
      <c r="P51" s="1551" t="s">
        <v>1266</v>
      </c>
      <c r="Q51" s="1563">
        <f>J52</f>
        <v>7.5000000000000011E-2</v>
      </c>
      <c r="R51" s="1552"/>
    </row>
    <row r="52" spans="1:18" s="1516" customFormat="1" ht="13.5" thickBot="1">
      <c r="A52" s="1086"/>
      <c r="B52" s="1088"/>
      <c r="C52" s="1089"/>
      <c r="D52" s="1062"/>
      <c r="E52" s="1090" t="s">
        <v>1132</v>
      </c>
      <c r="F52" s="1163"/>
      <c r="I52" s="1569" t="s">
        <v>1267</v>
      </c>
      <c r="J52" s="1570">
        <f>'数据-取费表'!J6+0.5%</f>
        <v>7.5000000000000011E-2</v>
      </c>
      <c r="K52" s="1569" t="s">
        <v>1268</v>
      </c>
      <c r="L52" s="1570"/>
      <c r="O52" s="1560" t="s">
        <v>832</v>
      </c>
      <c r="P52" s="1551" t="s">
        <v>1269</v>
      </c>
      <c r="Q52" s="1552">
        <f ca="1">J53</f>
        <v>36.85</v>
      </c>
      <c r="R52" s="1552" t="s">
        <v>1270</v>
      </c>
    </row>
    <row r="53" spans="1:18" s="1516" customFormat="1" ht="24.75" thickBot="1">
      <c r="A53" s="1264" t="s">
        <v>865</v>
      </c>
      <c r="B53" s="1505" t="s">
        <v>1133</v>
      </c>
      <c r="C53" s="322">
        <f ca="1">ROUND(IF(F53="押一",C49/12*F11,IF(F53="押二",C49/12*2*F11,IF(F53="押三",C49/12*3*F11,C54*F11))),0)</f>
        <v>0</v>
      </c>
      <c r="D53" s="1498" t="s">
        <v>2614</v>
      </c>
      <c r="E53" s="319" t="s">
        <v>1134</v>
      </c>
      <c r="F53" s="1226"/>
      <c r="I53" s="1571" t="s">
        <v>1271</v>
      </c>
      <c r="J53" s="2334">
        <f ca="1">IF(M47="住宅",IF(D1="——",MAX(J51,L48),MAX(J51,L48-'数据-取费表'!B24)),IF(D1="——",MIN(J51,L48),MIN(J51,L48-'数据-取费表'!B24)))</f>
        <v>36.85</v>
      </c>
      <c r="K53" s="3506" t="s">
        <v>1272</v>
      </c>
      <c r="L53" s="3507"/>
      <c r="O53" s="1550" t="s">
        <v>833</v>
      </c>
      <c r="P53" s="1551" t="s">
        <v>1273</v>
      </c>
      <c r="Q53" s="1552">
        <f ca="1">Q47+Q48</f>
        <v>207</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f ca="1">ROUND(IF(J47="钢混",J57/J50,1-(1-2%)*(J50-J57)/J50),3)</f>
        <v>0.253</v>
      </c>
      <c r="K55" s="1577" t="s">
        <v>1276</v>
      </c>
      <c r="L55" s="1578" t="s">
        <v>1277</v>
      </c>
      <c r="O55" s="1543" t="s">
        <v>1246</v>
      </c>
      <c r="P55" s="1544" t="s">
        <v>1247</v>
      </c>
      <c r="Q55" s="1545" t="s">
        <v>1248</v>
      </c>
      <c r="R55" s="1545" t="s">
        <v>1249</v>
      </c>
    </row>
    <row r="56" spans="1:18" s="1516" customFormat="1" ht="25.5" thickTop="1" thickBot="1">
      <c r="A56" s="1066">
        <v>2</v>
      </c>
      <c r="B56" s="1067" t="s">
        <v>1138</v>
      </c>
      <c r="C56" s="238">
        <f ca="1">C13</f>
        <v>57</v>
      </c>
      <c r="D56" s="1579"/>
      <c r="E56" s="1580"/>
      <c r="F56" s="1572"/>
      <c r="I56" s="1581" t="s">
        <v>1278</v>
      </c>
      <c r="J56" s="1582" t="s">
        <v>3179</v>
      </c>
      <c r="K56" s="1553" t="s">
        <v>1279</v>
      </c>
      <c r="L56" s="1556" t="str">
        <f ca="1">IF(L48&lt;J51,"——",L48-J53)</f>
        <v>——</v>
      </c>
      <c r="O56" s="1550" t="s">
        <v>827</v>
      </c>
      <c r="P56" s="1551" t="s">
        <v>1252</v>
      </c>
      <c r="Q56" s="1552">
        <f ca="1">C40+J29</f>
        <v>204</v>
      </c>
      <c r="R56" s="1552" t="s">
        <v>1253</v>
      </c>
    </row>
    <row r="57" spans="1:18" s="1516" customFormat="1" ht="24.75" thickBot="1">
      <c r="A57" s="1583"/>
      <c r="B57" s="1059" t="s">
        <v>1202</v>
      </c>
      <c r="C57" s="244">
        <f ca="1">C29</f>
        <v>95</v>
      </c>
      <c r="D57" s="1584"/>
      <c r="E57" s="1585"/>
      <c r="F57" s="1586"/>
      <c r="I57" s="1587" t="s">
        <v>1280</v>
      </c>
      <c r="J57" s="1588">
        <f ca="1">IF(OR(M47="住宅",J51&lt;L48,J56="是"),"——",J51-L48)</f>
        <v>15.149999999999999</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10</v>
      </c>
      <c r="D58" s="1069" t="s">
        <v>1149</v>
      </c>
      <c r="E58" s="1070"/>
      <c r="F58" s="1071"/>
      <c r="I58" s="1587" t="s">
        <v>1284</v>
      </c>
      <c r="J58" s="1589">
        <f ca="1">IF(J55&lt;0.4,0.4,J55)</f>
        <v>0.4</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8</v>
      </c>
      <c r="D59" s="1072" t="s">
        <v>1154</v>
      </c>
      <c r="E59" s="1073" t="s">
        <v>1155</v>
      </c>
      <c r="F59" s="2481" t="str">
        <f>IF(项目基本情况!B11="企业","——",IF('数据-取费表'!B10="住宅",IF(F49*F50*F51/12/(1+'数据-取费表'!F30)&gt;100000,4%,2.5%),IF(F49*F50*F51/12/(1+'数据-取费表'!F30)&gt;100000,12%,7%)))</f>
        <v>——</v>
      </c>
      <c r="I59" s="1587" t="s">
        <v>1287</v>
      </c>
      <c r="J59" s="1588">
        <f ca="1">IF(OR(M47="住宅",J51&lt;L48,J56="是"),"——",ROUND(C29*J58,0))</f>
        <v>38</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90" t="s">
        <v>1289</v>
      </c>
      <c r="J60" s="1591">
        <f ca="1">IF(OR(M47="住宅",J51&lt;L48,J56="是"),"0",ROUND(J59/(1+J52)^J53,0))</f>
        <v>3</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7.98</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v>
      </c>
      <c r="D62" s="1074" t="s">
        <v>1221</v>
      </c>
      <c r="E62" s="1059" t="s">
        <v>1222</v>
      </c>
      <c r="F62" s="331">
        <f t="shared" si="0"/>
        <v>5</v>
      </c>
      <c r="I62" s="1594" t="s">
        <v>1294</v>
      </c>
      <c r="J62" s="1595" t="s">
        <v>1295</v>
      </c>
      <c r="K62" s="1595" t="s">
        <v>1296</v>
      </c>
      <c r="L62" s="1595" t="s">
        <v>1297</v>
      </c>
      <c r="M62" s="1596" t="s">
        <v>1298</v>
      </c>
      <c r="O62" s="1550" t="s">
        <v>833</v>
      </c>
      <c r="P62" s="1551" t="s">
        <v>1299</v>
      </c>
      <c r="Q62" s="1552">
        <f ca="1">Q56+Q57</f>
        <v>204</v>
      </c>
      <c r="R62" s="1552" t="s">
        <v>834</v>
      </c>
    </row>
    <row r="63" spans="1:18" s="1516" customFormat="1" ht="13.5" thickBot="1">
      <c r="A63" s="332"/>
      <c r="B63" s="1065"/>
      <c r="C63" s="29"/>
      <c r="D63" s="1075"/>
      <c r="E63" s="1059" t="s">
        <v>1223</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1.9</v>
      </c>
      <c r="D64" s="1073" t="s">
        <v>1226</v>
      </c>
      <c r="E64" s="1059" t="s">
        <v>1218</v>
      </c>
      <c r="F64" s="334">
        <f t="shared" ca="1" si="0"/>
        <v>0.02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0.1</v>
      </c>
      <c r="D65" s="1073" t="s">
        <v>1178</v>
      </c>
      <c r="E65" s="1059" t="s">
        <v>1179</v>
      </c>
      <c r="F65" s="336">
        <f t="shared" ca="1" si="0"/>
        <v>1.5E-3</v>
      </c>
      <c r="I65" s="1594" t="s">
        <v>1303</v>
      </c>
      <c r="J65" s="1595">
        <v>40</v>
      </c>
      <c r="K65" s="1595">
        <v>30</v>
      </c>
      <c r="L65" s="1595">
        <v>50</v>
      </c>
      <c r="M65" s="1597">
        <v>0.02</v>
      </c>
      <c r="O65" s="1550" t="s">
        <v>827</v>
      </c>
      <c r="P65" s="1551" t="s">
        <v>1304</v>
      </c>
      <c r="Q65" s="1552">
        <f ca="1">C40+J29</f>
        <v>204</v>
      </c>
      <c r="R65" s="1552" t="s">
        <v>1253</v>
      </c>
    </row>
    <row r="66" spans="1:18" s="1516" customFormat="1" ht="16.5" thickBot="1">
      <c r="A66" s="1091" t="s">
        <v>1228</v>
      </c>
      <c r="B66" s="1059" t="s">
        <v>1163</v>
      </c>
      <c r="C66" s="24">
        <f ca="1">ROUND(C48*F66,1)</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-10</v>
      </c>
      <c r="D67" s="1072" t="s">
        <v>1188</v>
      </c>
      <c r="E67" s="1077"/>
      <c r="F67" s="1078"/>
      <c r="O67" s="1560" t="s">
        <v>829</v>
      </c>
      <c r="P67" s="1551" t="s">
        <v>1286</v>
      </c>
      <c r="Q67" s="1598">
        <f ca="1">L51</f>
        <v>129</v>
      </c>
      <c r="R67" s="1552" t="s">
        <v>1306</v>
      </c>
    </row>
    <row r="68" spans="1:18" s="1516" customFormat="1" ht="16.5" thickBot="1">
      <c r="A68" s="1056" t="s">
        <v>819</v>
      </c>
      <c r="B68" s="1057" t="s">
        <v>1209</v>
      </c>
      <c r="C68" s="307">
        <f ca="1">ROUND(C67*(1-((1+F70)/(1+F68))^F69)/(F68-F70),0)</f>
        <v>-147</v>
      </c>
      <c r="D68" s="1074" t="s">
        <v>1193</v>
      </c>
      <c r="E68" s="1059" t="s">
        <v>1194</v>
      </c>
      <c r="F68" s="318">
        <f ca="1">F40</f>
        <v>5.5E-2</v>
      </c>
      <c r="O68" s="1560" t="s">
        <v>830</v>
      </c>
      <c r="P68" s="1599" t="s">
        <v>1307</v>
      </c>
      <c r="Q68" s="1552">
        <f ca="1">ROUND(Q69-Q70*Q71,0)</f>
        <v>7</v>
      </c>
      <c r="R68" s="1552" t="s">
        <v>838</v>
      </c>
    </row>
    <row r="69" spans="1:18" s="1516" customFormat="1" ht="13.5" thickBot="1">
      <c r="A69" s="1060"/>
      <c r="B69" s="1061"/>
      <c r="C69" s="312"/>
      <c r="D69" s="1079" t="s">
        <v>1197</v>
      </c>
      <c r="E69" s="1059" t="s">
        <v>1198</v>
      </c>
      <c r="F69" s="339">
        <f ca="1">F41</f>
        <v>31</v>
      </c>
      <c r="O69" s="1560" t="s">
        <v>835</v>
      </c>
      <c r="P69" s="1599" t="s">
        <v>1308</v>
      </c>
      <c r="Q69" s="1552">
        <f ca="1">C39</f>
        <v>11</v>
      </c>
      <c r="R69" s="1552" t="s">
        <v>1253</v>
      </c>
    </row>
    <row r="70" spans="1:18" s="1516" customFormat="1" ht="13.5" thickBot="1">
      <c r="A70" s="1063"/>
      <c r="B70" s="1064"/>
      <c r="C70" s="316"/>
      <c r="D70" s="1075"/>
      <c r="E70" s="1059" t="s">
        <v>1201</v>
      </c>
      <c r="F70" s="1163"/>
      <c r="O70" s="1560" t="s">
        <v>836</v>
      </c>
      <c r="P70" s="1599" t="s">
        <v>1309</v>
      </c>
      <c r="Q70" s="1552">
        <f ca="1">C13</f>
        <v>57</v>
      </c>
      <c r="R70" s="1552" t="s">
        <v>1253</v>
      </c>
    </row>
    <row r="71" spans="1:18" s="1516" customFormat="1" ht="13.5" thickBot="1">
      <c r="A71" s="1080" t="s">
        <v>820</v>
      </c>
      <c r="B71" s="1081" t="s">
        <v>1211</v>
      </c>
      <c r="C71" s="342">
        <f ca="1">ROUND(C68*10000/F71,0)</f>
        <v>-5781</v>
      </c>
      <c r="D71" s="1082" t="s">
        <v>1212</v>
      </c>
      <c r="E71" s="1083" t="s">
        <v>1213</v>
      </c>
      <c r="F71" s="345">
        <f ca="1">F43</f>
        <v>254.29000000000002</v>
      </c>
      <c r="O71" s="1560" t="s">
        <v>837</v>
      </c>
      <c r="P71" s="1599" t="s">
        <v>1310</v>
      </c>
      <c r="Q71" s="1563">
        <f ca="1">C76</f>
        <v>7.0000000000000007E-2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4</v>
      </c>
      <c r="D75" s="1516"/>
      <c r="E75" s="1516"/>
      <c r="F75" s="1516"/>
      <c r="K75" s="1534"/>
      <c r="L75" s="1516"/>
      <c r="O75" s="1550" t="s">
        <v>833</v>
      </c>
      <c r="P75" s="1551" t="s">
        <v>1273</v>
      </c>
      <c r="Q75" s="1552">
        <f ca="1">Q65+Q66</f>
        <v>204</v>
      </c>
      <c r="R75" s="1552" t="s">
        <v>834</v>
      </c>
    </row>
    <row r="76" spans="1:18">
      <c r="B76" s="348" t="s">
        <v>1231</v>
      </c>
      <c r="C76" s="349">
        <f ca="1">INDIRECT("'数据-取费表'!j"&amp;$G$1)</f>
        <v>7.0000000000000007E-2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0.63600000000000001</v>
      </c>
    </row>
    <row r="80" spans="1:18">
      <c r="B80" s="346" t="s">
        <v>1235</v>
      </c>
      <c r="C80" s="280">
        <f ca="1">ROUND(C75/C39,3)</f>
        <v>0.36399999999999999</v>
      </c>
    </row>
    <row r="81" spans="2:3">
      <c r="B81" s="276" t="s">
        <v>1236</v>
      </c>
      <c r="C81" s="244"/>
    </row>
    <row r="82" spans="2:3">
      <c r="B82" s="279" t="s">
        <v>1237</v>
      </c>
      <c r="C82" s="281">
        <f ca="1">1-C83</f>
        <v>0.72099999999999997</v>
      </c>
    </row>
    <row r="83" spans="2:3">
      <c r="B83" s="279" t="s">
        <v>1238</v>
      </c>
      <c r="C83" s="280">
        <f ca="1">ROUND(C13/C40,3)</f>
        <v>0.27900000000000003</v>
      </c>
    </row>
  </sheetData>
  <sheetProtection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L33" sqref="L3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00" customWidth="1"/>
    <col min="12" max="12" width="16.375" style="264" customWidth="1"/>
    <col min="13" max="13" width="13" style="264" customWidth="1"/>
    <col min="14" max="14" width="13.625" style="1516" customWidth="1"/>
    <col min="15" max="15" width="5.125" style="1516" customWidth="1"/>
    <col min="16" max="16" width="25.625" style="1516" customWidth="1"/>
    <col min="17" max="17" width="13.625" style="1516" customWidth="1"/>
    <col min="18" max="18" width="20.5" style="1516" customWidth="1"/>
    <col min="19" max="19" width="13.125" style="1516" customWidth="1"/>
    <col min="20" max="37" width="9" style="1516"/>
    <col min="38" max="16384" width="9" style="264"/>
  </cols>
  <sheetData>
    <row r="1" spans="1:37" s="299" customFormat="1" ht="21">
      <c r="A1" s="1507" t="s">
        <v>1313</v>
      </c>
      <c r="B1" s="719"/>
      <c r="C1" s="1511" t="s">
        <v>3192</v>
      </c>
      <c r="D1" s="1494" t="s">
        <v>70</v>
      </c>
      <c r="E1" s="1495" t="s">
        <v>1111</v>
      </c>
      <c r="F1" s="1171">
        <f ca="1">J53</f>
        <v>31</v>
      </c>
      <c r="G1" s="1510">
        <f>MATCH(C1,'数据-取费表'!A6:A16,0)+5</f>
        <v>6</v>
      </c>
      <c r="H1" s="2865"/>
      <c r="I1" s="2866"/>
      <c r="J1" s="2866"/>
      <c r="K1" s="2867"/>
      <c r="L1" s="2866"/>
      <c r="M1" s="2866"/>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1314</v>
      </c>
      <c r="B2" s="1518">
        <f ca="1">ROUND(D2/10000,0)</f>
        <v>203</v>
      </c>
      <c r="C2" s="1519" t="s">
        <v>1315</v>
      </c>
      <c r="D2" s="1603">
        <f ca="1">C40+J29+L46</f>
        <v>2034493</v>
      </c>
      <c r="E2" s="1520" t="s">
        <v>1316</v>
      </c>
      <c r="F2" s="1521"/>
      <c r="G2" s="2879"/>
      <c r="H2" s="2868"/>
      <c r="I2" s="2868"/>
      <c r="J2" s="2868"/>
      <c r="K2" s="2869"/>
      <c r="L2" s="2868"/>
      <c r="M2" s="2868"/>
    </row>
    <row r="3" spans="1:37" ht="18" customHeight="1" thickBot="1">
      <c r="A3" s="1522" t="s">
        <v>1317</v>
      </c>
      <c r="B3" s="1523">
        <f ca="1">IF(ISERROR(D2/F43),0,ROUND(D2/F43,0))</f>
        <v>8001</v>
      </c>
      <c r="C3" s="1519" t="s">
        <v>1318</v>
      </c>
      <c r="D3" s="1519"/>
      <c r="E3" s="1520"/>
      <c r="F3" s="1521"/>
      <c r="G3" s="2879"/>
      <c r="H3" s="689"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157984</v>
      </c>
      <c r="D5" s="1496" t="s">
        <v>1325</v>
      </c>
      <c r="E5" s="1181"/>
      <c r="F5" s="1182"/>
      <c r="G5" s="1516"/>
      <c r="H5" s="305">
        <v>1</v>
      </c>
      <c r="I5" s="306" t="s">
        <v>1324</v>
      </c>
      <c r="J5" s="1180">
        <f ca="1">J6+J10+J12</f>
        <v>0</v>
      </c>
      <c r="K5" s="1496" t="s">
        <v>1325</v>
      </c>
      <c r="L5" s="1181"/>
      <c r="M5" s="1182"/>
    </row>
    <row r="6" spans="1:37" ht="18" customHeight="1">
      <c r="A6" s="1179" t="s">
        <v>822</v>
      </c>
      <c r="B6" s="3508" t="s">
        <v>1127</v>
      </c>
      <c r="C6" s="1184">
        <f ca="1">ROUND(F6*F8*F7*(1-F9),0)</f>
        <v>157787</v>
      </c>
      <c r="D6" s="160" t="s">
        <v>2604</v>
      </c>
      <c r="E6" s="308" t="s">
        <v>1129</v>
      </c>
      <c r="F6" s="309">
        <f ca="1">INDIRECT("'数据-取费表'!u"&amp;$G$1)</f>
        <v>2</v>
      </c>
      <c r="G6" s="1516"/>
      <c r="H6" s="1179" t="s">
        <v>822</v>
      </c>
      <c r="I6" s="3508" t="s">
        <v>1127</v>
      </c>
      <c r="J6" s="307">
        <f ca="1">ROUND(M6*M8*M7*(1-M9),0)</f>
        <v>0</v>
      </c>
      <c r="K6" s="1508" t="s">
        <v>2605</v>
      </c>
      <c r="L6" s="308" t="s">
        <v>1129</v>
      </c>
      <c r="M6" s="309">
        <f ca="1">INDIRECT("'数据-取费表'!z"&amp;$G$1)</f>
        <v>0</v>
      </c>
    </row>
    <row r="7" spans="1:37" ht="18" customHeight="1">
      <c r="A7" s="1183"/>
      <c r="B7" s="3509"/>
      <c r="C7" s="1185"/>
      <c r="D7" s="313"/>
      <c r="E7" s="1186" t="s">
        <v>1130</v>
      </c>
      <c r="F7" s="309">
        <f ca="1">IF(INDIRECT("'数据-取费表'!ah"&amp;$G$1)="",INDIRECT("'数据-取费表'!k"&amp;$G$1),INDIRECT("'数据-取费表'!ah"&amp;$G$1))</f>
        <v>254.29000000000002</v>
      </c>
      <c r="G7" s="1516"/>
      <c r="H7" s="310"/>
      <c r="I7" s="3509"/>
      <c r="J7" s="312"/>
      <c r="K7" s="313"/>
      <c r="L7" s="308" t="s">
        <v>1130</v>
      </c>
      <c r="M7" s="309">
        <f ca="1">F7</f>
        <v>254.29000000000002</v>
      </c>
    </row>
    <row r="8" spans="1:37" ht="18" customHeight="1">
      <c r="A8" s="310"/>
      <c r="B8" s="3509"/>
      <c r="C8" s="312"/>
      <c r="D8" s="313"/>
      <c r="E8" s="308" t="s">
        <v>1131</v>
      </c>
      <c r="F8" s="309">
        <f ca="1">INDIRECT("'数据-取费表'!ai"&amp;$G$1)</f>
        <v>365</v>
      </c>
      <c r="G8" s="1516"/>
      <c r="H8" s="310"/>
      <c r="I8" s="3509"/>
      <c r="J8" s="312"/>
      <c r="K8" s="313"/>
      <c r="L8" s="308" t="s">
        <v>1131</v>
      </c>
      <c r="M8" s="309">
        <f ca="1">INDIRECT("'数据-取费表'!ai"&amp;$G$1)</f>
        <v>365</v>
      </c>
    </row>
    <row r="9" spans="1:37" ht="18" customHeight="1">
      <c r="A9" s="310"/>
      <c r="B9" s="3510"/>
      <c r="C9" s="312"/>
      <c r="D9" s="313"/>
      <c r="E9" s="308" t="s">
        <v>1132</v>
      </c>
      <c r="F9" s="318">
        <f ca="1">INDIRECT("'数据-取费表'!w"&amp;$G$1)</f>
        <v>0.15</v>
      </c>
      <c r="G9" s="1516"/>
      <c r="H9" s="310"/>
      <c r="I9" s="3510"/>
      <c r="J9" s="312"/>
      <c r="K9" s="313"/>
      <c r="L9" s="319" t="s">
        <v>1132</v>
      </c>
      <c r="M9" s="320">
        <f ca="1">INDIRECT("'数据-取费表'!ab"&amp;$G$1)</f>
        <v>0</v>
      </c>
    </row>
    <row r="10" spans="1:37" ht="18" customHeight="1">
      <c r="A10" s="1179" t="s">
        <v>826</v>
      </c>
      <c r="B10" s="1497" t="s">
        <v>1133</v>
      </c>
      <c r="C10" s="322">
        <f ca="1">ROUND(IF(F10="押一",C6/12*F11,IF(F10="押二",C6/12*2*F11,IF(F10="押三",C6/12*3*F11,C11*F11))),0)</f>
        <v>197</v>
      </c>
      <c r="D10" s="1498" t="s">
        <v>2614</v>
      </c>
      <c r="E10" s="319" t="s">
        <v>1134</v>
      </c>
      <c r="F10" s="1226" t="s">
        <v>3195</v>
      </c>
      <c r="G10" s="1516"/>
      <c r="H10" s="1179" t="s">
        <v>826</v>
      </c>
      <c r="I10" s="1497" t="s">
        <v>1133</v>
      </c>
      <c r="J10" s="307">
        <f ca="1">ROUND(IF(M10="押一",J6/12*M11,IF(M10="押二",J6/12*2*M11,IF(M10="押三",J6/12*3*M11,J11*M11))),0)</f>
        <v>0</v>
      </c>
      <c r="K10" s="1509" t="s">
        <v>2616</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579128</v>
      </c>
      <c r="D13" s="1191" t="s">
        <v>1139</v>
      </c>
      <c r="E13" s="1191" t="s">
        <v>1140</v>
      </c>
      <c r="F13" s="1192">
        <f ca="1">INDIRECT("'数据-取费表'!y"&amp;$G$1)</f>
        <v>0.60000000000000009</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661154</v>
      </c>
      <c r="D14" s="1477" t="s">
        <v>1142</v>
      </c>
      <c r="E14" s="1474"/>
      <c r="F14" s="325"/>
      <c r="G14" s="1516"/>
      <c r="H14" s="1091" t="s">
        <v>822</v>
      </c>
      <c r="I14" s="308" t="s">
        <v>1143</v>
      </c>
      <c r="J14" s="24">
        <f ca="1">C29</f>
        <v>965214</v>
      </c>
      <c r="K14" s="15"/>
      <c r="L14" s="894"/>
      <c r="M14" s="895"/>
    </row>
    <row r="15" spans="1:37" s="1529" customFormat="1" ht="18" customHeight="1" thickBot="1">
      <c r="A15" s="1091" t="s">
        <v>823</v>
      </c>
      <c r="B15" s="308" t="s">
        <v>1144</v>
      </c>
      <c r="C15" s="24">
        <f ca="1">ROUND(C14*F15,0)</f>
        <v>19835</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27412</v>
      </c>
      <c r="K16" s="1197" t="s">
        <v>1149</v>
      </c>
      <c r="L16" s="1198"/>
      <c r="M16" s="1182"/>
    </row>
    <row r="17" spans="1:37" s="1529" customFormat="1" ht="18" customHeight="1">
      <c r="A17" s="1091" t="s">
        <v>1114</v>
      </c>
      <c r="B17" s="308" t="s">
        <v>1150</v>
      </c>
      <c r="C17" s="24">
        <f ca="1">ROUND(F17*(F43+INDIRECT("'数据-取费表'!S"&amp;$G$1)),0)</f>
        <v>50858</v>
      </c>
      <c r="D17" s="308" t="s">
        <v>1151</v>
      </c>
      <c r="E17" s="308" t="s">
        <v>1152</v>
      </c>
      <c r="F17" s="26">
        <f>'数据-取费表'!B35</f>
        <v>200</v>
      </c>
      <c r="G17" s="1528"/>
      <c r="H17" s="1091" t="s">
        <v>822</v>
      </c>
      <c r="I17" s="308" t="s">
        <v>1153</v>
      </c>
      <c r="J17" s="2482">
        <f ca="1">ROUND(IF(AND(项目基本情况!B11="自然人",项目基本情况!B10="北京市"),J6*M17/(1+'数据-取费表'!C42),J18+J19+J20),0)</f>
        <v>8108</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9917</v>
      </c>
      <c r="D18" s="308" t="s">
        <v>1145</v>
      </c>
      <c r="E18" s="308" t="s">
        <v>1146</v>
      </c>
      <c r="F18" s="328">
        <f>'数据-取费表'!B36</f>
        <v>1.4999999999999999E-2</v>
      </c>
      <c r="G18" s="1528"/>
      <c r="H18" s="1091"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741764</v>
      </c>
      <c r="D19" s="136" t="s">
        <v>1160</v>
      </c>
      <c r="E19" s="1492"/>
      <c r="F19" s="26"/>
      <c r="G19" s="1516"/>
      <c r="H19" s="1091" t="s">
        <v>823</v>
      </c>
      <c r="I19" s="308" t="s">
        <v>1161</v>
      </c>
      <c r="J19" s="24">
        <f ca="1">IF(K19="按租金收入计税",ROUND(J6*M19/(1+'数据-取费表'!C42),0),ROUND(C29*M19*0.7,0))</f>
        <v>8108</v>
      </c>
      <c r="K19" s="1502" t="s">
        <v>1162</v>
      </c>
      <c r="L19" s="308" t="s">
        <v>1146</v>
      </c>
      <c r="M19" s="328">
        <f>IF(K19="按租金收入计税",'数据-取费表'!B51,'数据-取费表'!B50)</f>
        <v>1.2E-2</v>
      </c>
    </row>
    <row r="20" spans="1:37" s="1529" customFormat="1" ht="18" customHeight="1">
      <c r="A20" s="1091" t="s">
        <v>826</v>
      </c>
      <c r="B20" s="308" t="s">
        <v>1163</v>
      </c>
      <c r="C20" s="24">
        <f ca="1">ROUND(C19*F20,0)</f>
        <v>14835</v>
      </c>
      <c r="D20" s="329" t="s">
        <v>1164</v>
      </c>
      <c r="E20" s="308" t="s">
        <v>1146</v>
      </c>
      <c r="F20" s="328">
        <f>'数据-取费表'!B37</f>
        <v>0.02</v>
      </c>
      <c r="G20" s="1528"/>
      <c r="H20" s="1091" t="s">
        <v>1113</v>
      </c>
      <c r="I20" s="160" t="s">
        <v>1165</v>
      </c>
      <c r="J20" s="25">
        <f ca="1">ROUND(M20*M21,0)</f>
        <v>0</v>
      </c>
      <c r="K20" s="330" t="s">
        <v>1166</v>
      </c>
      <c r="L20" s="308" t="s">
        <v>1167</v>
      </c>
      <c r="M20" s="331">
        <f>'数据-取费表'!B52</f>
        <v>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ROUND(J14*M22,0)</f>
        <v>19304</v>
      </c>
      <c r="K22" s="1476" t="s">
        <v>1174</v>
      </c>
      <c r="L22" s="308" t="s">
        <v>1146</v>
      </c>
      <c r="M22" s="334">
        <f ca="1">INDIRECT("'数据-取费表'!Ak"&amp;$G$1)</f>
        <v>0.02</v>
      </c>
    </row>
    <row r="23" spans="1:37" s="1529" customFormat="1" ht="18" customHeight="1">
      <c r="A23" s="1091" t="s">
        <v>821</v>
      </c>
      <c r="B23" s="308" t="s">
        <v>1175</v>
      </c>
      <c r="C23" s="24">
        <f ca="1">IF('数据-取费表'!B22&lt;=1,ROUND(C19*F24*F23/2,0)+ROUND(C20*F24*F23/2,0),ROUND(C19*(POWER((1+F24),F23/2)-1),0)+ROUND(C20*(POWER((1+F24),F23/2)-1),0))</f>
        <v>20900</v>
      </c>
      <c r="D23" s="335" t="str">
        <f>IF(F23&lt;=1,"(建造成本+管理费用)×利率×(建设周期÷2)","(建造成本+管理费用)×((1+利率)^(建设周期÷2)-1)")</f>
        <v>(建造成本+管理费用)×((1+利率)^(建设周期÷2)-1)</v>
      </c>
      <c r="E23" s="308" t="s">
        <v>1176</v>
      </c>
      <c r="F23" s="331">
        <f>'数据-取费表'!B20</f>
        <v>1.5</v>
      </c>
      <c r="G23" s="1528"/>
      <c r="H23" s="1091" t="s">
        <v>862</v>
      </c>
      <c r="I23" s="308" t="s">
        <v>1177</v>
      </c>
      <c r="J23" s="24">
        <f ca="1">ROUND(J13*M23,0)</f>
        <v>0</v>
      </c>
      <c r="K23" s="1476" t="s">
        <v>1178</v>
      </c>
      <c r="L23" s="308" t="s">
        <v>1179</v>
      </c>
      <c r="M23" s="336">
        <f ca="1">INDIRECT("'数据-取费表'!Al"&amp;$G$1)</f>
        <v>1.5E-3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3.7000000000000005E-2</v>
      </c>
      <c r="G24" s="1528"/>
      <c r="H24" s="1199" t="s">
        <v>1117</v>
      </c>
      <c r="I24" s="1200" t="s">
        <v>1163</v>
      </c>
      <c r="J24" s="1201">
        <f ca="1">ROUND(J5*M24,0)</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f ca="1">J5-J16</f>
        <v>-27412</v>
      </c>
      <c r="K25" s="1205" t="s">
        <v>1188</v>
      </c>
      <c r="L25" s="1206"/>
      <c r="M25" s="1207"/>
    </row>
    <row r="26" spans="1:37" ht="18" customHeight="1">
      <c r="A26" s="1091" t="s">
        <v>821</v>
      </c>
      <c r="B26" s="308" t="s">
        <v>1189</v>
      </c>
      <c r="C26" s="24">
        <f ca="1">ROUND((C19+C20)*F26,0)</f>
        <v>113490</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965214</v>
      </c>
      <c r="D29" s="1202"/>
      <c r="E29" s="1200"/>
      <c r="F29" s="1203"/>
      <c r="G29" s="1528"/>
      <c r="H29" s="340" t="s">
        <v>820</v>
      </c>
      <c r="I29" s="341" t="s">
        <v>1203</v>
      </c>
      <c r="J29" s="342">
        <f ca="1">ROUND(J26/(1+F40)^F41,0)</f>
        <v>0</v>
      </c>
      <c r="K29" s="343" t="s">
        <v>1204</v>
      </c>
      <c r="L29" s="344"/>
      <c r="M29" s="345">
        <f ca="1">INDIRECT("'数据-取费表'!k"&amp;$G$1)</f>
        <v>254.29000000000002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48201</v>
      </c>
      <c r="D30" s="1197" t="s">
        <v>1149</v>
      </c>
      <c r="E30" s="1198"/>
      <c r="F30" s="1182"/>
      <c r="G30" s="1516"/>
      <c r="H30" s="2870"/>
      <c r="I30" s="1530"/>
      <c r="J30" s="1531"/>
      <c r="K30" s="2646"/>
      <c r="L30" s="2871"/>
      <c r="M30" s="2872"/>
    </row>
    <row r="31" spans="1:37" ht="18" customHeight="1">
      <c r="A31" s="1091" t="s">
        <v>822</v>
      </c>
      <c r="B31" s="308" t="s">
        <v>1153</v>
      </c>
      <c r="C31" s="2482">
        <f ca="1">ROUND(IF(AND(项目基本情况!B11="自然人",项目基本情况!B10="北京市"),C6*F31/(1+'数据-取费表'!C42),C32+C33+C34),0)</f>
        <v>26448</v>
      </c>
      <c r="D31" s="1477" t="s">
        <v>1154</v>
      </c>
      <c r="E31" s="1476" t="s">
        <v>1205</v>
      </c>
      <c r="F31" s="2481" t="str">
        <f>IF(项目基本情况!B11="企业","——",IF('数据-取费表'!B10="住宅",IF(F6*F7*F8/12/(1+'数据-取费表'!F30)&gt;100000,4%,2.5%),IF(F6*F7*F8/12/(1+'数据-取费表'!F30)&gt;100000,12%,7%)))</f>
        <v>——</v>
      </c>
      <c r="G31" s="1516"/>
      <c r="H31" s="2983" t="s">
        <v>2807</v>
      </c>
      <c r="I31" s="1530"/>
      <c r="J31" s="1531"/>
      <c r="K31" s="2646"/>
      <c r="L31" s="2871"/>
      <c r="M31" s="2872"/>
    </row>
    <row r="32" spans="1:37" ht="18" customHeight="1">
      <c r="A32" s="1091" t="s">
        <v>821</v>
      </c>
      <c r="B32" s="308" t="s">
        <v>1157</v>
      </c>
      <c r="C32" s="24">
        <f ca="1">IF(项目基本情况!B11="自然人","——",ROUND(C6*F32/(1+'数据-取费表'!C42),0))</f>
        <v>8415</v>
      </c>
      <c r="D32" s="1476" t="s">
        <v>1158</v>
      </c>
      <c r="E32" s="308" t="s">
        <v>1146</v>
      </c>
      <c r="F32" s="337">
        <f>'数据-取费表'!B41</f>
        <v>5.6000000000000001E-2</v>
      </c>
      <c r="G32" s="1516"/>
      <c r="H32" s="2870"/>
      <c r="I32" s="1530"/>
      <c r="J32" s="1531"/>
      <c r="K32" s="2646"/>
      <c r="L32" s="2871"/>
      <c r="M32" s="2872"/>
    </row>
    <row r="33" spans="1:18" ht="18" customHeight="1">
      <c r="A33" s="1091" t="s">
        <v>823</v>
      </c>
      <c r="B33" s="308" t="s">
        <v>1161</v>
      </c>
      <c r="C33" s="24">
        <f ca="1">IF(项目基本情况!B11="自然人","——",IF(D33="按租金收入计税",ROUND(C6*F33/(1+'数据-取费表'!C42),0),IF(D33="按房产原值计税",ROUND(C29*F33*0.7,0),INDIRECT("'数据-取费表'!Aj"&amp;$G$1))))</f>
        <v>18033</v>
      </c>
      <c r="D33" s="1502" t="s">
        <v>3196</v>
      </c>
      <c r="E33" s="308" t="s">
        <v>1146</v>
      </c>
      <c r="F33" s="328">
        <f>IF(D33="按票据","——",IF(D33="按租金收入计税",'数据-取费表'!B51,'数据-取费表'!B50))</f>
        <v>0.12</v>
      </c>
      <c r="G33" s="1516"/>
      <c r="H33" s="2873"/>
      <c r="I33" s="1530"/>
      <c r="J33" s="1531"/>
      <c r="K33" s="2874"/>
      <c r="L33" s="2873"/>
      <c r="M33" s="2873"/>
    </row>
    <row r="34" spans="1:18" ht="18" customHeight="1">
      <c r="A34" s="1179" t="s">
        <v>1113</v>
      </c>
      <c r="B34" s="160" t="s">
        <v>1165</v>
      </c>
      <c r="C34" s="25">
        <f ca="1">IF(项目基本情况!B11="自然人","——",ROUND(F34*F35,))</f>
        <v>0</v>
      </c>
      <c r="D34" s="330" t="s">
        <v>1166</v>
      </c>
      <c r="E34" s="308" t="s">
        <v>1167</v>
      </c>
      <c r="F34" s="331">
        <f>'数据-取费表'!B52</f>
        <v>5</v>
      </c>
      <c r="G34" s="1516"/>
      <c r="H34" s="2870"/>
      <c r="I34" s="1530"/>
      <c r="J34" s="1531"/>
      <c r="K34" s="2875"/>
      <c r="L34" s="2876"/>
      <c r="M34" s="2876"/>
    </row>
    <row r="35" spans="1:18" ht="18" customHeight="1">
      <c r="A35" s="1213"/>
      <c r="B35" s="1211"/>
      <c r="C35" s="29"/>
      <c r="D35" s="333"/>
      <c r="E35" s="308" t="s">
        <v>1171</v>
      </c>
      <c r="F35" s="309">
        <f ca="1">INDIRECT("'数据-取费表'!r"&amp;$G$1)</f>
        <v>0</v>
      </c>
      <c r="G35" s="1516"/>
      <c r="H35" s="2870"/>
      <c r="I35" s="1530"/>
      <c r="J35" s="1531"/>
      <c r="K35" s="2874"/>
      <c r="L35" s="2873"/>
      <c r="M35" s="2873"/>
    </row>
    <row r="36" spans="1:18" ht="18" customHeight="1">
      <c r="A36" s="1212" t="s">
        <v>826</v>
      </c>
      <c r="B36" s="308" t="s">
        <v>1173</v>
      </c>
      <c r="C36" s="24">
        <f ca="1">ROUND(C29*F36,0)</f>
        <v>19304</v>
      </c>
      <c r="D36" s="1476" t="s">
        <v>1206</v>
      </c>
      <c r="E36" s="308" t="s">
        <v>1146</v>
      </c>
      <c r="F36" s="334">
        <f ca="1">INDIRECT("'数据-取费表'!Ak"&amp;$G$1)</f>
        <v>0.02</v>
      </c>
      <c r="G36" s="1516"/>
      <c r="H36" s="2873"/>
      <c r="I36" s="1530"/>
      <c r="J36" s="1531"/>
      <c r="K36" s="2715"/>
      <c r="L36" s="2873"/>
      <c r="M36" s="2873"/>
    </row>
    <row r="37" spans="1:18" ht="18" customHeight="1">
      <c r="A37" s="1091" t="s">
        <v>862</v>
      </c>
      <c r="B37" s="308" t="s">
        <v>1177</v>
      </c>
      <c r="C37" s="24">
        <f ca="1">ROUND(C13*F37,0)</f>
        <v>869</v>
      </c>
      <c r="D37" s="1476" t="s">
        <v>1178</v>
      </c>
      <c r="E37" s="308" t="s">
        <v>1179</v>
      </c>
      <c r="F37" s="336">
        <f ca="1">INDIRECT("'数据-取费表'!Al"&amp;$G$1)</f>
        <v>1.5E-3</v>
      </c>
      <c r="G37" s="1516"/>
      <c r="H37" s="2873"/>
      <c r="I37" s="1530"/>
      <c r="J37" s="1531"/>
      <c r="K37" s="2715"/>
      <c r="L37" s="2873"/>
      <c r="M37" s="2873"/>
    </row>
    <row r="38" spans="1:18" ht="18" customHeight="1" thickBot="1">
      <c r="A38" s="1199" t="s">
        <v>1117</v>
      </c>
      <c r="B38" s="1200" t="s">
        <v>1163</v>
      </c>
      <c r="C38" s="1201">
        <f ca="1">ROUND(C5*F38,1)</f>
        <v>1579.8</v>
      </c>
      <c r="D38" s="1202" t="s">
        <v>1183</v>
      </c>
      <c r="E38" s="1200" t="s">
        <v>1179</v>
      </c>
      <c r="F38" s="1196">
        <f ca="1">INDIRECT("'数据-取费表'!Am"&amp;$G$1)</f>
        <v>0.01</v>
      </c>
      <c r="G38" s="1516"/>
      <c r="H38" s="2873"/>
      <c r="I38" s="1530"/>
      <c r="J38" s="1531"/>
      <c r="K38" s="2877"/>
      <c r="L38" s="2873"/>
      <c r="M38" s="2873"/>
    </row>
    <row r="39" spans="1:18" ht="24.6" customHeight="1" thickTop="1">
      <c r="A39" s="1189" t="s">
        <v>818</v>
      </c>
      <c r="B39" s="1204" t="s">
        <v>1207</v>
      </c>
      <c r="C39" s="316">
        <f ca="1">C5-C30</f>
        <v>109783</v>
      </c>
      <c r="D39" s="1205" t="s">
        <v>1208</v>
      </c>
      <c r="E39" s="1206"/>
      <c r="F39" s="1207"/>
      <c r="G39" s="1516"/>
      <c r="H39" s="2873"/>
      <c r="I39" s="1530"/>
      <c r="J39" s="1531"/>
      <c r="K39" s="2877"/>
      <c r="L39" s="2873"/>
      <c r="M39" s="2873"/>
    </row>
    <row r="40" spans="1:18" ht="18" customHeight="1">
      <c r="A40" s="305" t="s">
        <v>819</v>
      </c>
      <c r="B40" s="306" t="s">
        <v>1209</v>
      </c>
      <c r="C40" s="307">
        <f ca="1">ROUND(C39*(1-((1+F42)/(1+F40))^F41)/(F40-F42),0)</f>
        <v>2034493</v>
      </c>
      <c r="D40" s="330" t="s">
        <v>1193</v>
      </c>
      <c r="E40" s="308" t="s">
        <v>1194</v>
      </c>
      <c r="F40" s="318">
        <f ca="1">INDIRECT("'数据-取费表'!I"&amp;$G$1)</f>
        <v>5.5E-2</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31</v>
      </c>
      <c r="G41" s="1516"/>
      <c r="H41" s="1303"/>
      <c r="I41" s="1530"/>
      <c r="J41" s="1531"/>
      <c r="K41" s="2715"/>
      <c r="L41" s="1303"/>
      <c r="M41" s="1303"/>
    </row>
    <row r="42" spans="1:18" ht="18" customHeight="1">
      <c r="A42" s="314"/>
      <c r="B42" s="315"/>
      <c r="C42" s="316"/>
      <c r="D42" s="333"/>
      <c r="E42" s="308" t="s">
        <v>1201</v>
      </c>
      <c r="F42" s="318">
        <f ca="1">INDIRECT("'数据-取费表'!v"&amp;$G$1)</f>
        <v>0.02</v>
      </c>
      <c r="G42" s="1516"/>
      <c r="H42" s="1303"/>
      <c r="I42" s="1530"/>
      <c r="J42" s="1531"/>
      <c r="K42" s="2715"/>
      <c r="L42" s="1303"/>
      <c r="M42" s="1303"/>
    </row>
    <row r="43" spans="1:18" ht="18" customHeight="1" thickBot="1">
      <c r="A43" s="340" t="s">
        <v>820</v>
      </c>
      <c r="B43" s="341" t="s">
        <v>1211</v>
      </c>
      <c r="C43" s="342">
        <f ca="1">ROUND(C40/F43,0)</f>
        <v>8001</v>
      </c>
      <c r="D43" s="343" t="s">
        <v>1212</v>
      </c>
      <c r="E43" s="344" t="s">
        <v>1213</v>
      </c>
      <c r="F43" s="345">
        <f ca="1">INDIRECT("'数据-取费表'!k"&amp;$G$1)</f>
        <v>254.29000000000002</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-3910872</v>
      </c>
      <c r="D45" s="1605" t="s">
        <v>1328</v>
      </c>
      <c r="E45" s="1532"/>
      <c r="F45" s="1532"/>
      <c r="O45" s="1535" t="s">
        <v>1243</v>
      </c>
      <c r="P45" s="1593"/>
      <c r="Q45" s="1593"/>
      <c r="R45" s="1593"/>
    </row>
    <row r="46" spans="1:18" s="1516" customFormat="1" ht="13.5" thickBot="1">
      <c r="A46" s="1536" t="s">
        <v>1244</v>
      </c>
      <c r="C46" s="1537">
        <f ca="1">ROUND(C45/10000,0)</f>
        <v>-391</v>
      </c>
      <c r="D46" s="1538" t="str">
        <f>C2</f>
        <v>万元</v>
      </c>
      <c r="I46" s="1539" t="s">
        <v>1245</v>
      </c>
      <c r="J46" s="1540"/>
      <c r="K46" s="1541"/>
      <c r="L46" s="1542">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3197</v>
      </c>
      <c r="K47" s="1548" t="s">
        <v>1251</v>
      </c>
      <c r="L47" s="1549">
        <f ca="1">INDIRECT("'数据-取费表'!d"&amp;$G$1)</f>
        <v>40</v>
      </c>
      <c r="M47" s="1512" t="str">
        <f>IF(ISNUMBER(FIND("住宅",C1)),"住宅","非住宅")</f>
        <v>非住宅</v>
      </c>
      <c r="O47" s="1550" t="s">
        <v>827</v>
      </c>
      <c r="P47" s="1551" t="s">
        <v>1252</v>
      </c>
      <c r="Q47" s="1552">
        <f ca="1">C40+J29</f>
        <v>2034493</v>
      </c>
      <c r="R47" s="1552" t="s">
        <v>1253</v>
      </c>
    </row>
    <row r="48" spans="1:18" s="1516" customFormat="1" ht="28.5" thickBot="1">
      <c r="A48" s="1220" t="s">
        <v>863</v>
      </c>
      <c r="B48" s="306" t="s">
        <v>1125</v>
      </c>
      <c r="C48" s="1491">
        <f ca="1">C49+C53+C55</f>
        <v>0</v>
      </c>
      <c r="D48" s="1222"/>
      <c r="E48" s="1223"/>
      <c r="F48" s="1071"/>
      <c r="G48" s="728"/>
      <c r="H48" s="729"/>
      <c r="I48" s="1553" t="s">
        <v>1254</v>
      </c>
      <c r="J48" s="1554" t="s">
        <v>3198</v>
      </c>
      <c r="K48" s="1555" t="s">
        <v>1255</v>
      </c>
      <c r="L48" s="1556">
        <f ca="1">INDIRECT("'数据-取费表'!f"&amp;$G$1)</f>
        <v>36.85</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1993</v>
      </c>
      <c r="K49" s="1555" t="s">
        <v>1259</v>
      </c>
      <c r="L49" s="1559"/>
      <c r="O49" s="1560" t="s">
        <v>829</v>
      </c>
      <c r="P49" s="1551" t="s">
        <v>1260</v>
      </c>
      <c r="Q49" s="1552">
        <f ca="1">C29</f>
        <v>965214</v>
      </c>
      <c r="R49" s="1552" t="s">
        <v>1253</v>
      </c>
    </row>
    <row r="50" spans="1:18" s="1516" customFormat="1" ht="13.5" thickBot="1">
      <c r="A50" s="1085"/>
      <c r="B50" s="1088"/>
      <c r="C50" s="1089"/>
      <c r="D50" s="1062"/>
      <c r="E50" s="1165" t="s">
        <v>1130</v>
      </c>
      <c r="F50" s="1166">
        <f ca="1">F7</f>
        <v>254.29000000000002</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31</v>
      </c>
      <c r="K51" s="1566" t="s">
        <v>1265</v>
      </c>
      <c r="L51" s="1567">
        <f ca="1">ROUND(-PV(INDIRECT("'数据-取费表'!h"&amp;$G$1),J51,(C39-C13*C76),0),0)</f>
        <v>1079709</v>
      </c>
      <c r="M51" s="1568"/>
      <c r="O51" s="1560" t="s">
        <v>831</v>
      </c>
      <c r="P51" s="1551" t="s">
        <v>1266</v>
      </c>
      <c r="Q51" s="1563">
        <f>J52</f>
        <v>7.5000000000000011E-2</v>
      </c>
      <c r="R51" s="1552"/>
    </row>
    <row r="52" spans="1:18" s="1516" customFormat="1" ht="13.5" thickBot="1">
      <c r="A52" s="1086"/>
      <c r="B52" s="1088"/>
      <c r="C52" s="1089"/>
      <c r="D52" s="1062"/>
      <c r="E52" s="1090" t="s">
        <v>1132</v>
      </c>
      <c r="F52" s="1163"/>
      <c r="I52" s="1569" t="s">
        <v>1267</v>
      </c>
      <c r="J52" s="1570">
        <f>'数据-取费表'!J6+0.5%</f>
        <v>7.5000000000000011E-2</v>
      </c>
      <c r="K52" s="1569" t="s">
        <v>1268</v>
      </c>
      <c r="L52" s="1570">
        <f>'数据-取费表'!H6</f>
        <v>0.05</v>
      </c>
      <c r="O52" s="1560" t="s">
        <v>832</v>
      </c>
      <c r="P52" s="1551" t="s">
        <v>1269</v>
      </c>
      <c r="Q52" s="1552">
        <f ca="1">J53</f>
        <v>31</v>
      </c>
      <c r="R52" s="1552" t="s">
        <v>1270</v>
      </c>
    </row>
    <row r="53" spans="1:18" s="1516" customFormat="1" ht="30.75" customHeight="1" thickBot="1">
      <c r="A53" s="1221" t="s">
        <v>865</v>
      </c>
      <c r="B53" s="329" t="s">
        <v>1133</v>
      </c>
      <c r="C53" s="322">
        <f ca="1">ROUND(IF(F53="押一",C49/12*F11,IF(F53="押二",C49/12*2*F11,IF(F53="押三",C49/12*3*F11,C54*F11))),0)</f>
        <v>0</v>
      </c>
      <c r="D53" s="1498" t="s">
        <v>2617</v>
      </c>
      <c r="E53" s="319" t="s">
        <v>1134</v>
      </c>
      <c r="F53" s="1226"/>
      <c r="I53" s="1571" t="s">
        <v>1271</v>
      </c>
      <c r="J53" s="2334">
        <f ca="1">IF(M47="住宅",IF(D1="——",MAX(J51,L48),MAX(J51,L48-'数据-取费表'!B24)),IF(D1="——",MIN(J51,L48),MIN(J51,L48-'数据-取费表'!B24)))</f>
        <v>31</v>
      </c>
      <c r="K53" s="3506" t="s">
        <v>1272</v>
      </c>
      <c r="L53" s="3507"/>
      <c r="O53" s="1550" t="s">
        <v>833</v>
      </c>
      <c r="P53" s="1551" t="s">
        <v>1273</v>
      </c>
      <c r="Q53" s="1552">
        <f ca="1">Q47+Q48</f>
        <v>2034493</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t="s">
        <v>3525</v>
      </c>
      <c r="O55" s="1543" t="s">
        <v>1246</v>
      </c>
      <c r="P55" s="1544" t="s">
        <v>1247</v>
      </c>
      <c r="Q55" s="1545" t="s">
        <v>1248</v>
      </c>
      <c r="R55" s="1545" t="s">
        <v>1249</v>
      </c>
    </row>
    <row r="56" spans="1:18" s="1516" customFormat="1" ht="36" customHeight="1" thickTop="1" thickBot="1">
      <c r="A56" s="1066">
        <v>2</v>
      </c>
      <c r="B56" s="1067" t="s">
        <v>1138</v>
      </c>
      <c r="C56" s="238">
        <f ca="1">C13</f>
        <v>579128</v>
      </c>
      <c r="D56" s="1579"/>
      <c r="E56" s="1580"/>
      <c r="F56" s="1572"/>
      <c r="I56" s="1581" t="s">
        <v>1278</v>
      </c>
      <c r="J56" s="1582" t="s">
        <v>3190</v>
      </c>
      <c r="K56" s="1553" t="s">
        <v>1279</v>
      </c>
      <c r="L56" s="1556">
        <f ca="1">IF(L48&lt;J51,"——",L48-J51)</f>
        <v>5.8500000000000014</v>
      </c>
      <c r="O56" s="1550" t="s">
        <v>827</v>
      </c>
      <c r="P56" s="1551" t="s">
        <v>1252</v>
      </c>
      <c r="Q56" s="1552">
        <f ca="1">C40+J29</f>
        <v>2034493</v>
      </c>
      <c r="R56" s="1552" t="s">
        <v>1253</v>
      </c>
    </row>
    <row r="57" spans="1:18" s="1516" customFormat="1" ht="24.75" thickBot="1">
      <c r="A57" s="1583"/>
      <c r="B57" s="1059" t="s">
        <v>1202</v>
      </c>
      <c r="C57" s="244">
        <f ca="1">C29</f>
        <v>965214</v>
      </c>
      <c r="D57" s="1584"/>
      <c r="E57" s="1585"/>
      <c r="F57" s="1586"/>
      <c r="I57" s="1587" t="s">
        <v>1280</v>
      </c>
      <c r="J57" s="1588" t="str">
        <f ca="1">IF(OR(M47="住宅",J51&lt;L48,J56="是"),"——",J51-L48)</f>
        <v>——</v>
      </c>
      <c r="K57" s="1553" t="s">
        <v>1329</v>
      </c>
      <c r="L57" s="1556">
        <f ca="1">IF(L48&lt;J51,"——",IF(L55="比较法",L49,IF(L55="基准地价",L50,L51)))</f>
        <v>0</v>
      </c>
      <c r="O57" s="1550" t="s">
        <v>828</v>
      </c>
      <c r="P57" s="1551" t="s">
        <v>1330</v>
      </c>
      <c r="Q57" s="1552">
        <f ca="1">L60</f>
        <v>0</v>
      </c>
      <c r="R57" s="1552" t="s">
        <v>1331</v>
      </c>
    </row>
    <row r="58" spans="1:18" s="1516" customFormat="1" ht="24.75" thickBot="1">
      <c r="A58" s="321" t="s">
        <v>817</v>
      </c>
      <c r="B58" s="1067" t="s">
        <v>1148</v>
      </c>
      <c r="C58" s="322">
        <f ca="1">ROUND(C59+C64+C65+C66,0)</f>
        <v>101251</v>
      </c>
      <c r="D58" s="1069" t="s">
        <v>1149</v>
      </c>
      <c r="E58" s="1070"/>
      <c r="F58" s="1071"/>
      <c r="I58" s="1587" t="s">
        <v>1284</v>
      </c>
      <c r="J58" s="1589" t="e">
        <f ca="1">IF(J55&lt;0.4,0.4,J55)</f>
        <v>#VALUE!</v>
      </c>
      <c r="K58" s="1566" t="s">
        <v>1332</v>
      </c>
      <c r="L58" s="1556">
        <f ca="1">ROUND(POWER(1+L52,L47-L48)*(POWER(1+L52,L48)-1)/(POWER(1+L52,L47)-1),4)</f>
        <v>0.97250000000000003</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81078</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f ca="1">ROUND(IF(D1="在建（套用方法）",M59,IF(D1="土地（套用方法）",N59,POWER(1+L52,L47-J51)*(POWER(1+L52,J51)-1)/(POWER(1+L52,L47)-1))),4)</f>
        <v>0.90869999999999995</v>
      </c>
      <c r="M59" s="1513">
        <f ca="1">ROUND(POWER(1+L52,L47-(J51+'数据-取费表'!B24))*(POWER(1+L52,(J51+'数据-取费表'!B24))-1)/(POWER(1+L52,L47)-1),4)</f>
        <v>0.90869999999999995</v>
      </c>
      <c r="N59" s="1513">
        <f ca="1">ROUND(POWER(1+L52,L47-(J51+'数据-取费表'!B20))*(POWER(1+L52,(J51+'数据-取费表'!B20))-1)/(POWER(1+L52,L47)-1),4)</f>
        <v>0.92679999999999996</v>
      </c>
      <c r="O59" s="1560" t="s">
        <v>830</v>
      </c>
      <c r="P59" s="1551" t="s">
        <v>1288</v>
      </c>
      <c r="Q59" s="1563">
        <f>L52</f>
        <v>0.05</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f ca="1">L58</f>
        <v>0.97250000000000003</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81078</v>
      </c>
      <c r="D61" s="1502" t="s">
        <v>1162</v>
      </c>
      <c r="E61" s="1059" t="s">
        <v>1218</v>
      </c>
      <c r="F61" s="328">
        <f t="shared" si="0"/>
        <v>0.12</v>
      </c>
      <c r="I61" s="1593"/>
      <c r="J61" s="1593"/>
      <c r="K61" s="1593"/>
      <c r="L61" s="1593"/>
      <c r="O61" s="1560" t="s">
        <v>832</v>
      </c>
      <c r="P61" s="1551" t="str">
        <f>K59</f>
        <v>建筑物剩余耐用年限下的土地年期修正系数Kn</v>
      </c>
      <c r="Q61" s="1552">
        <f ca="1">L59</f>
        <v>0.90869999999999995</v>
      </c>
      <c r="R61" s="1552" t="s">
        <v>1293</v>
      </c>
    </row>
    <row r="62" spans="1:18" s="1516" customFormat="1" ht="13.5" thickBot="1">
      <c r="A62" s="1091" t="s">
        <v>1219</v>
      </c>
      <c r="B62" s="1058" t="s">
        <v>1220</v>
      </c>
      <c r="C62" s="25">
        <f ca="1">IF(项目基本情况!B11="自然人","——",ROUND(F62*F63,0))</f>
        <v>0</v>
      </c>
      <c r="D62" s="1074" t="s">
        <v>1221</v>
      </c>
      <c r="E62" s="1059" t="s">
        <v>1222</v>
      </c>
      <c r="F62" s="331">
        <f t="shared" si="0"/>
        <v>5</v>
      </c>
      <c r="I62" s="1594" t="s">
        <v>1294</v>
      </c>
      <c r="J62" s="1595" t="s">
        <v>1295</v>
      </c>
      <c r="K62" s="1595" t="s">
        <v>1296</v>
      </c>
      <c r="L62" s="1595" t="s">
        <v>1297</v>
      </c>
      <c r="M62" s="1596" t="s">
        <v>1298</v>
      </c>
      <c r="O62" s="1550" t="s">
        <v>833</v>
      </c>
      <c r="P62" s="1551" t="s">
        <v>1299</v>
      </c>
      <c r="Q62" s="1552">
        <f ca="1">Q56+Q57</f>
        <v>2034493</v>
      </c>
      <c r="R62" s="1552" t="s">
        <v>834</v>
      </c>
    </row>
    <row r="63" spans="1:18" s="1516" customFormat="1" ht="13.5" thickBot="1">
      <c r="A63" s="332"/>
      <c r="B63" s="1065"/>
      <c r="C63" s="29"/>
      <c r="D63" s="1075"/>
      <c r="E63" s="1059" t="s">
        <v>1223</v>
      </c>
      <c r="F63" s="309">
        <f t="shared" ca="1" si="0"/>
        <v>0</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19304</v>
      </c>
      <c r="D64" s="1073" t="s">
        <v>1226</v>
      </c>
      <c r="E64" s="1059" t="s">
        <v>1218</v>
      </c>
      <c r="F64" s="334">
        <f t="shared" ca="1" si="0"/>
        <v>0.02</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869</v>
      </c>
      <c r="D65" s="1073" t="s">
        <v>1178</v>
      </c>
      <c r="E65" s="1059" t="s">
        <v>1179</v>
      </c>
      <c r="F65" s="336">
        <f t="shared" ca="1" si="0"/>
        <v>1.5E-3</v>
      </c>
      <c r="I65" s="1594" t="s">
        <v>1303</v>
      </c>
      <c r="J65" s="1595">
        <v>40</v>
      </c>
      <c r="K65" s="1595">
        <v>30</v>
      </c>
      <c r="L65" s="1595">
        <v>50</v>
      </c>
      <c r="M65" s="1597">
        <v>0.02</v>
      </c>
      <c r="O65" s="1550" t="s">
        <v>827</v>
      </c>
      <c r="P65" s="1551" t="s">
        <v>1304</v>
      </c>
      <c r="Q65" s="1552">
        <f ca="1">C40+J29</f>
        <v>2034493</v>
      </c>
      <c r="R65" s="1552" t="s">
        <v>1253</v>
      </c>
    </row>
    <row r="66" spans="1:18" s="1516" customFormat="1" ht="16.5" thickBot="1">
      <c r="A66" s="1091" t="s">
        <v>1228</v>
      </c>
      <c r="B66" s="1059" t="s">
        <v>1163</v>
      </c>
      <c r="C66" s="24">
        <f ca="1">ROUND(C48*F66,0)</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-101251</v>
      </c>
      <c r="D67" s="1072" t="s">
        <v>1188</v>
      </c>
      <c r="E67" s="1077"/>
      <c r="F67" s="1078"/>
      <c r="O67" s="1560" t="s">
        <v>829</v>
      </c>
      <c r="P67" s="1551" t="s">
        <v>1286</v>
      </c>
      <c r="Q67" s="1598">
        <f ca="1">L51</f>
        <v>1079709</v>
      </c>
      <c r="R67" s="1552" t="s">
        <v>1306</v>
      </c>
    </row>
    <row r="68" spans="1:18" s="1516" customFormat="1" ht="16.5" thickBot="1">
      <c r="A68" s="1056" t="s">
        <v>819</v>
      </c>
      <c r="B68" s="1057" t="s">
        <v>1209</v>
      </c>
      <c r="C68" s="307">
        <f ca="1">ROUND(C67*(1-((1+F70)/(1+F68))^F69)/(F68-F70),0)</f>
        <v>-1876379</v>
      </c>
      <c r="D68" s="1074" t="s">
        <v>1193</v>
      </c>
      <c r="E68" s="1059" t="s">
        <v>1194</v>
      </c>
      <c r="F68" s="318">
        <f ca="1">F40</f>
        <v>5.5E-2</v>
      </c>
      <c r="O68" s="1560" t="s">
        <v>830</v>
      </c>
      <c r="P68" s="1599" t="s">
        <v>1307</v>
      </c>
      <c r="Q68" s="1552">
        <f ca="1">ROUND(Q69-Q70*Q71,0)</f>
        <v>69244</v>
      </c>
      <c r="R68" s="1552" t="s">
        <v>838</v>
      </c>
    </row>
    <row r="69" spans="1:18" s="1516" customFormat="1" ht="13.5" thickBot="1">
      <c r="A69" s="1060"/>
      <c r="B69" s="1061"/>
      <c r="C69" s="312"/>
      <c r="D69" s="1079" t="s">
        <v>1197</v>
      </c>
      <c r="E69" s="1059" t="s">
        <v>1198</v>
      </c>
      <c r="F69" s="339">
        <f ca="1">F41</f>
        <v>31</v>
      </c>
      <c r="O69" s="1560" t="s">
        <v>835</v>
      </c>
      <c r="P69" s="1599" t="s">
        <v>1308</v>
      </c>
      <c r="Q69" s="1552">
        <f ca="1">C39</f>
        <v>109783</v>
      </c>
      <c r="R69" s="1552" t="s">
        <v>1253</v>
      </c>
    </row>
    <row r="70" spans="1:18" s="1516" customFormat="1" ht="13.5" thickBot="1">
      <c r="A70" s="1063"/>
      <c r="B70" s="1064"/>
      <c r="C70" s="316"/>
      <c r="D70" s="1075"/>
      <c r="E70" s="1059" t="s">
        <v>1201</v>
      </c>
      <c r="F70" s="1163">
        <f ca="1">F42</f>
        <v>0.02</v>
      </c>
      <c r="O70" s="1560" t="s">
        <v>836</v>
      </c>
      <c r="P70" s="1599" t="s">
        <v>1309</v>
      </c>
      <c r="Q70" s="1552">
        <f ca="1">C13</f>
        <v>579128</v>
      </c>
      <c r="R70" s="1552" t="s">
        <v>1253</v>
      </c>
    </row>
    <row r="71" spans="1:18" s="1516" customFormat="1" ht="13.5" thickBot="1">
      <c r="A71" s="1080" t="s">
        <v>820</v>
      </c>
      <c r="B71" s="1081" t="s">
        <v>1211</v>
      </c>
      <c r="C71" s="342">
        <f ca="1">ROUND(C68/F71,0)</f>
        <v>-7379</v>
      </c>
      <c r="D71" s="1082" t="s">
        <v>1212</v>
      </c>
      <c r="E71" s="1083" t="s">
        <v>1213</v>
      </c>
      <c r="F71" s="345">
        <f ca="1">F43</f>
        <v>254.29000000000002</v>
      </c>
      <c r="O71" s="1560" t="s">
        <v>837</v>
      </c>
      <c r="P71" s="1599" t="s">
        <v>1310</v>
      </c>
      <c r="Q71" s="1563">
        <f ca="1">C76</f>
        <v>7.0000000000000007E-2</v>
      </c>
      <c r="R71" s="1552"/>
    </row>
    <row r="72" spans="1:18" s="1516" customFormat="1" ht="13.5" thickBot="1">
      <c r="B72" s="732"/>
      <c r="C72" s="732"/>
      <c r="O72" s="1560" t="s">
        <v>831</v>
      </c>
      <c r="P72" s="1551" t="s">
        <v>1288</v>
      </c>
      <c r="Q72" s="1563">
        <f>L52</f>
        <v>0.05</v>
      </c>
      <c r="R72" s="1552"/>
    </row>
    <row r="73" spans="1:18" ht="16.5" thickBot="1">
      <c r="A73" s="1516"/>
      <c r="B73" s="732"/>
      <c r="C73" s="732"/>
      <c r="D73" s="1516"/>
      <c r="E73" s="1516"/>
      <c r="F73" s="1516"/>
      <c r="O73" s="1560" t="s">
        <v>832</v>
      </c>
      <c r="P73" s="1551" t="s">
        <v>1291</v>
      </c>
      <c r="Q73" s="1552">
        <f ca="1">L58</f>
        <v>0.97250000000000003</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f ca="1">L59</f>
        <v>0.90869999999999995</v>
      </c>
      <c r="R74" s="1552" t="s">
        <v>1293</v>
      </c>
    </row>
    <row r="75" spans="1:18" ht="13.5" thickBot="1">
      <c r="A75" s="1516"/>
      <c r="B75" s="346" t="s">
        <v>1230</v>
      </c>
      <c r="C75" s="347">
        <f ca="1">ROUND(C13*C76,0)</f>
        <v>40539</v>
      </c>
      <c r="D75" s="1516"/>
      <c r="E75" s="1516"/>
      <c r="F75" s="1516"/>
      <c r="K75" s="1534"/>
      <c r="L75" s="1516"/>
      <c r="O75" s="1550" t="s">
        <v>833</v>
      </c>
      <c r="P75" s="1551" t="s">
        <v>1273</v>
      </c>
      <c r="Q75" s="1552">
        <f ca="1">Q65+Q66</f>
        <v>2034493</v>
      </c>
      <c r="R75" s="1552" t="s">
        <v>834</v>
      </c>
    </row>
    <row r="76" spans="1:18">
      <c r="B76" s="348" t="s">
        <v>1231</v>
      </c>
      <c r="C76" s="349">
        <f ca="1">INDIRECT("'数据-取费表'!j"&amp;$G$1)</f>
        <v>7.0000000000000007E-2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0.63100000000000001</v>
      </c>
    </row>
    <row r="80" spans="1:18">
      <c r="B80" s="346" t="s">
        <v>1235</v>
      </c>
      <c r="C80" s="280">
        <f ca="1">ROUND(C75/C39,3)</f>
        <v>0.36899999999999999</v>
      </c>
    </row>
    <row r="81" spans="2:3">
      <c r="B81" s="276" t="s">
        <v>1236</v>
      </c>
      <c r="C81" s="244"/>
    </row>
    <row r="82" spans="2:3">
      <c r="B82" s="279" t="s">
        <v>1237</v>
      </c>
      <c r="C82" s="281">
        <f ca="1">1-C83</f>
        <v>0.71500000000000008</v>
      </c>
    </row>
    <row r="83" spans="2:3">
      <c r="B83" s="279" t="s">
        <v>1238</v>
      </c>
      <c r="C83" s="280">
        <f ca="1">ROUND(C13/C40,3)</f>
        <v>0.28499999999999998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33.87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2582</v>
      </c>
      <c r="C1" s="3514" t="s">
        <v>2583</v>
      </c>
      <c r="D1" s="3515"/>
      <c r="E1" s="3515"/>
      <c r="F1" s="3515"/>
      <c r="G1" s="3515"/>
      <c r="H1" s="3515"/>
      <c r="I1" s="3515"/>
      <c r="J1" s="3515"/>
      <c r="K1" s="3515"/>
      <c r="L1" s="3515"/>
      <c r="M1" s="3515"/>
      <c r="N1" s="3515"/>
      <c r="O1" s="3515"/>
      <c r="P1" s="3515"/>
      <c r="Q1" s="3515"/>
      <c r="R1" s="3515"/>
      <c r="S1" s="3516"/>
      <c r="T1" s="1092" t="s">
        <v>2584</v>
      </c>
    </row>
    <row r="2" spans="1:45" s="662" customFormat="1" ht="39" thickBot="1">
      <c r="A2" s="1093"/>
      <c r="B2" s="658" t="s">
        <v>2585</v>
      </c>
      <c r="C2" s="659" t="str">
        <f t="shared" ref="C2:L2" si="0">C3&amp;"(含)"&amp;"-"&amp;D3</f>
        <v>0(含)-50</v>
      </c>
      <c r="D2" s="660" t="str">
        <f t="shared" si="0"/>
        <v>50(含)-100</v>
      </c>
      <c r="E2" s="660" t="str">
        <f t="shared" si="0"/>
        <v>100(含)-150</v>
      </c>
      <c r="F2" s="660" t="str">
        <f t="shared" si="0"/>
        <v>150(含)-200以上</v>
      </c>
      <c r="G2" s="660" t="str">
        <f t="shared" si="0"/>
        <v>200以上(含)-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28.5" thickTop="1">
      <c r="A3" s="1095"/>
      <c r="B3" s="663"/>
      <c r="C3" s="582">
        <v>0</v>
      </c>
      <c r="D3" s="582">
        <v>50</v>
      </c>
      <c r="E3" s="582">
        <v>100</v>
      </c>
      <c r="F3" s="582">
        <v>150</v>
      </c>
      <c r="G3" s="582" t="s">
        <v>3296</v>
      </c>
      <c r="H3" s="1423"/>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100</v>
      </c>
      <c r="D4" s="493">
        <v>101</v>
      </c>
      <c r="E4" s="493">
        <v>102</v>
      </c>
      <c r="F4" s="493">
        <v>103</v>
      </c>
      <c r="G4" s="493">
        <v>104</v>
      </c>
      <c r="H4" s="1427"/>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13.5" thickTop="1">
      <c r="A5" s="1103"/>
      <c r="B5" s="1454" t="s">
        <v>2586</v>
      </c>
      <c r="C5" s="1104"/>
      <c r="D5" s="1105"/>
      <c r="E5" s="1105"/>
      <c r="F5" s="1430"/>
      <c r="G5" s="1430"/>
      <c r="H5" s="1430"/>
      <c r="I5" s="1430"/>
      <c r="J5" s="1430"/>
      <c r="K5" s="1430"/>
      <c r="L5" s="1431"/>
      <c r="M5" s="1432"/>
      <c r="N5" s="1432"/>
      <c r="O5" s="1430"/>
      <c r="P5" s="1430"/>
      <c r="Q5" s="1430"/>
      <c r="R5" s="1430"/>
      <c r="S5" s="1433"/>
      <c r="T5" s="1107"/>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100</v>
      </c>
      <c r="E6" s="1011">
        <f t="shared" ref="E6:S6" si="7">D6-$T5</f>
        <v>100</v>
      </c>
      <c r="F6" s="1434">
        <f t="shared" si="7"/>
        <v>100</v>
      </c>
      <c r="G6" s="1434">
        <f t="shared" si="7"/>
        <v>100</v>
      </c>
      <c r="H6" s="1434">
        <f t="shared" si="7"/>
        <v>100</v>
      </c>
      <c r="I6" s="1434">
        <f t="shared" si="7"/>
        <v>100</v>
      </c>
      <c r="J6" s="1434">
        <f t="shared" si="7"/>
        <v>100</v>
      </c>
      <c r="K6" s="1434">
        <f t="shared" si="7"/>
        <v>100</v>
      </c>
      <c r="L6" s="1434">
        <f t="shared" si="7"/>
        <v>100</v>
      </c>
      <c r="M6" s="1434">
        <f t="shared" si="7"/>
        <v>100</v>
      </c>
      <c r="N6" s="1434">
        <f t="shared" si="7"/>
        <v>100</v>
      </c>
      <c r="O6" s="1434">
        <f t="shared" si="7"/>
        <v>100</v>
      </c>
      <c r="P6" s="1434">
        <f t="shared" si="7"/>
        <v>100</v>
      </c>
      <c r="Q6" s="1434">
        <f t="shared" si="7"/>
        <v>100</v>
      </c>
      <c r="R6" s="1434">
        <f t="shared" si="7"/>
        <v>100</v>
      </c>
      <c r="S6" s="1434">
        <f t="shared" si="7"/>
        <v>100</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1455" t="s">
        <v>2587</v>
      </c>
      <c r="C7" s="1013"/>
      <c r="D7" s="1007"/>
      <c r="E7" s="1007"/>
      <c r="F7" s="1435"/>
      <c r="G7" s="1435"/>
      <c r="H7" s="1435"/>
      <c r="I7" s="1435"/>
      <c r="J7" s="1435"/>
      <c r="K7" s="1435"/>
      <c r="L7" s="1435"/>
      <c r="M7" s="1436"/>
      <c r="N7" s="1437"/>
      <c r="O7" s="1438"/>
      <c r="P7" s="1439"/>
      <c r="Q7" s="1440"/>
      <c r="R7" s="1441"/>
      <c r="S7" s="1442"/>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hidden="1">
      <c r="A9" s="1103"/>
      <c r="B9" s="1455" t="s">
        <v>2588</v>
      </c>
      <c r="C9" s="1013"/>
      <c r="D9" s="1007"/>
      <c r="E9" s="1007"/>
      <c r="F9" s="1435"/>
      <c r="G9" s="1435"/>
      <c r="H9" s="1435"/>
      <c r="I9" s="1435"/>
      <c r="J9" s="1435"/>
      <c r="K9" s="1435"/>
      <c r="L9" s="1443"/>
      <c r="M9" s="1436"/>
      <c r="N9" s="1437"/>
      <c r="O9" s="1438"/>
      <c r="P9" s="1439"/>
      <c r="Q9" s="1440"/>
      <c r="R9" s="1441"/>
      <c r="S9" s="1442"/>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hidden="1"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hidden="1">
      <c r="A11" s="1103"/>
      <c r="B11" s="1454" t="s">
        <v>2589</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hidden="1"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hidden="1">
      <c r="A13" s="1103"/>
      <c r="B13" s="1454" t="s">
        <v>2590</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hidden="1"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hidden="1">
      <c r="A15" s="1103"/>
      <c r="B15" s="1454" t="s">
        <v>2591</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hidden="1"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2" t="s">
        <v>2592</v>
      </c>
      <c r="B17" s="2313" t="s">
        <v>2593</v>
      </c>
      <c r="C17" s="1119" t="s">
        <v>3221</v>
      </c>
      <c r="D17" s="1120" t="s">
        <v>3240</v>
      </c>
      <c r="E17" s="1120" t="s">
        <v>3297</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v>100</v>
      </c>
      <c r="D18" s="3253">
        <v>65</v>
      </c>
      <c r="E18" s="3253">
        <v>55</v>
      </c>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4" t="s">
        <v>2594</v>
      </c>
      <c r="E19" s="1472"/>
      <c r="F19" s="1472"/>
      <c r="G19" s="1472"/>
      <c r="H19" s="1168"/>
      <c r="I19" s="164"/>
      <c r="J19" s="164"/>
      <c r="K19" s="164"/>
      <c r="L19" s="164"/>
      <c r="M19" s="164"/>
      <c r="N19" s="164"/>
      <c r="O19" s="164"/>
      <c r="P19" s="164"/>
      <c r="Q19" s="164"/>
      <c r="R19" s="724"/>
      <c r="S19" s="134"/>
    </row>
    <row r="20" spans="1:45" ht="16.5" thickBot="1">
      <c r="A20" s="668" t="s">
        <v>2595</v>
      </c>
      <c r="B20" s="300">
        <f ca="1">IF(D20="——",S22,S22-F20)</f>
        <v>12008</v>
      </c>
      <c r="C20" s="164"/>
      <c r="D20" s="2315" t="s">
        <v>70</v>
      </c>
      <c r="E20" s="1473"/>
      <c r="F20" s="1092" t="e">
        <f ca="1">SUMIF(INDIRECT("'"&amp;H20&amp;"'"&amp;"!A:A"),"承租人权益价值",INDIRECT("'"&amp;H20&amp;"'"&amp;"!c:c"))</f>
        <v>#REF!</v>
      </c>
      <c r="G20" s="1092" t="s">
        <v>2596</v>
      </c>
      <c r="H20" s="2316"/>
      <c r="I20" s="164"/>
      <c r="J20" s="164"/>
      <c r="K20" s="164"/>
      <c r="L20" s="164"/>
      <c r="M20" s="164"/>
      <c r="N20" s="164"/>
      <c r="O20" s="164"/>
      <c r="P20" s="164"/>
      <c r="Q20" s="164"/>
      <c r="R20" s="724"/>
      <c r="S20" s="134"/>
    </row>
    <row r="21" spans="1:45" ht="15.75">
      <c r="A21" s="668" t="s">
        <v>2597</v>
      </c>
      <c r="B21" s="300">
        <f ca="1">ROUND(B20*10000/B22,0)</f>
        <v>6526</v>
      </c>
      <c r="C21" s="164"/>
      <c r="D21" s="164"/>
      <c r="E21" s="164"/>
      <c r="F21" s="164"/>
      <c r="G21" s="164"/>
      <c r="H21" s="164"/>
      <c r="I21" s="164"/>
      <c r="J21" s="164"/>
      <c r="K21" s="164"/>
      <c r="L21" s="164"/>
      <c r="M21" s="164"/>
      <c r="N21" s="164"/>
      <c r="O21" s="164"/>
      <c r="P21" s="164"/>
      <c r="Q21" s="164"/>
      <c r="R21" s="724"/>
      <c r="S21" s="134"/>
    </row>
    <row r="22" spans="1:45">
      <c r="A22" s="322" t="s">
        <v>2598</v>
      </c>
      <c r="B22" s="24">
        <f>SUM(B24:B10000)</f>
        <v>18399.600000000006</v>
      </c>
      <c r="C22" s="3511" t="s">
        <v>33</v>
      </c>
      <c r="D22" s="3512"/>
      <c r="E22" s="3512"/>
      <c r="F22" s="3512"/>
      <c r="G22" s="3512"/>
      <c r="H22" s="3512"/>
      <c r="I22" s="3512"/>
      <c r="J22" s="3512"/>
      <c r="K22" s="3512"/>
      <c r="L22" s="3512"/>
      <c r="M22" s="3512"/>
      <c r="N22" s="3512"/>
      <c r="O22" s="3512"/>
      <c r="P22" s="3512"/>
      <c r="Q22" s="3513"/>
      <c r="R22" s="669">
        <f ca="1">ROUND(S22*10000/B22,0)</f>
        <v>6526</v>
      </c>
      <c r="S22" s="24">
        <f ca="1">SUM(S24:S10000)</f>
        <v>12008</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0" t="s">
        <v>2602</v>
      </c>
      <c r="S23" s="11" t="s">
        <v>2603</v>
      </c>
      <c r="T23" s="3241" t="s">
        <v>3298</v>
      </c>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tr">
        <f>Sheet3!C3</f>
        <v>鄂（2019）大冶市不动产权第0016133号</v>
      </c>
      <c r="B24" s="671">
        <f>Sheet3!J3</f>
        <v>254.29000000000002</v>
      </c>
      <c r="C24" s="2985">
        <v>1</v>
      </c>
      <c r="D24" s="2986"/>
      <c r="E24" s="2985">
        <v>1</v>
      </c>
      <c r="F24" s="2986"/>
      <c r="G24" s="2985">
        <v>1</v>
      </c>
      <c r="H24" s="2986"/>
      <c r="I24" s="2985">
        <v>1</v>
      </c>
      <c r="J24" s="2986"/>
      <c r="K24" s="2985">
        <v>1</v>
      </c>
      <c r="L24" s="2986"/>
      <c r="M24" s="2985">
        <v>1</v>
      </c>
      <c r="N24" s="2986"/>
      <c r="O24" s="2985">
        <v>1</v>
      </c>
      <c r="P24" s="2986" t="s">
        <v>3221</v>
      </c>
      <c r="Q24" s="2985">
        <v>1</v>
      </c>
      <c r="R24" s="674">
        <f ca="1">结果表!G20</f>
        <v>8966</v>
      </c>
      <c r="S24" s="672">
        <f t="shared" ref="S24:S54" ca="1" si="11">ROUND(R24*B24/10000,0)</f>
        <v>228</v>
      </c>
      <c r="T24" s="736">
        <f>Sheet3!G3</f>
        <v>1</v>
      </c>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c r="B25" s="671">
        <f>Sheet3!J4</f>
        <v>286.08000000000004</v>
      </c>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t="s">
        <v>3240</v>
      </c>
      <c r="Q25" s="24">
        <f>(SUMIF($17:$17,P25,$18:$18)-SUMIF($17:$17,$P$24,$18:$18)+100)/100</f>
        <v>0.65</v>
      </c>
      <c r="R25" s="669">
        <f ca="1">IF(B25="",0,ROUND($R$24*C25*E25*G25*I25*K25*M25*O25*Q25,0))</f>
        <v>5828</v>
      </c>
      <c r="S25" s="322">
        <f t="shared" ca="1" si="11"/>
        <v>167</v>
      </c>
      <c r="T25" s="736">
        <f>Sheet3!G4</f>
        <v>2</v>
      </c>
      <c r="V25" s="736"/>
      <c r="W25" s="736"/>
      <c r="X25" s="736"/>
    </row>
    <row r="26" spans="1:45">
      <c r="A26" s="155"/>
      <c r="B26" s="671">
        <f>Sheet3!J5</f>
        <v>127.15</v>
      </c>
      <c r="C26" s="24">
        <f t="shared" ref="C26:C89" si="12">IF(B26="",1,(LOOKUP(B26,$3:$3,$4:$4)-LOOKUP($B$24,$3:$3,$4:$4)+100)/100)</f>
        <v>0.99</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t="s">
        <v>3240</v>
      </c>
      <c r="Q26" s="24">
        <f t="shared" ref="Q26:Q89" si="19">(SUMIF($17:$17,P26,$18:$18)-SUMIF($17:$17,$P$24,$18:$18)+100)/100</f>
        <v>0.65</v>
      </c>
      <c r="R26" s="669">
        <f t="shared" ref="R26:R89" ca="1" si="20">IF(B26="",0,ROUND($R$24*C26*E26*G26*I26*K26*M26*O26*Q26,0))</f>
        <v>5770</v>
      </c>
      <c r="S26" s="322">
        <f t="shared" ca="1" si="11"/>
        <v>73</v>
      </c>
      <c r="T26" s="736">
        <f>Sheet3!G5</f>
        <v>2</v>
      </c>
      <c r="V26" s="736"/>
      <c r="W26" s="736"/>
      <c r="X26" s="736"/>
    </row>
    <row r="27" spans="1:45">
      <c r="A27" s="155"/>
      <c r="B27" s="671">
        <f>Sheet3!J6</f>
        <v>317.86</v>
      </c>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t="s">
        <v>3240</v>
      </c>
      <c r="Q27" s="24">
        <f t="shared" si="19"/>
        <v>0.65</v>
      </c>
      <c r="R27" s="669">
        <f t="shared" ca="1" si="20"/>
        <v>5828</v>
      </c>
      <c r="S27" s="322">
        <f t="shared" ca="1" si="11"/>
        <v>185</v>
      </c>
      <c r="T27" s="736">
        <f>Sheet3!G6</f>
        <v>2</v>
      </c>
      <c r="V27" s="736"/>
      <c r="W27" s="736"/>
      <c r="X27" s="736"/>
    </row>
    <row r="28" spans="1:45">
      <c r="A28" s="155"/>
      <c r="B28" s="671">
        <f>Sheet3!J7</f>
        <v>127.15</v>
      </c>
      <c r="C28" s="24">
        <f t="shared" si="12"/>
        <v>0.99</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t="s">
        <v>3240</v>
      </c>
      <c r="Q28" s="24">
        <f t="shared" si="19"/>
        <v>0.65</v>
      </c>
      <c r="R28" s="669">
        <f t="shared" ca="1" si="20"/>
        <v>5770</v>
      </c>
      <c r="S28" s="322">
        <f t="shared" ca="1" si="11"/>
        <v>73</v>
      </c>
      <c r="T28" s="736">
        <f>Sheet3!G7</f>
        <v>2</v>
      </c>
      <c r="V28" s="736"/>
      <c r="W28" s="736"/>
      <c r="X28" s="736"/>
    </row>
    <row r="29" spans="1:45">
      <c r="A29" s="155"/>
      <c r="B29" s="671">
        <f>Sheet3!J8</f>
        <v>138.69999999999999</v>
      </c>
      <c r="C29" s="24">
        <f t="shared" si="12"/>
        <v>0.99</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t="s">
        <v>3297</v>
      </c>
      <c r="Q29" s="24">
        <f t="shared" si="19"/>
        <v>0.55000000000000004</v>
      </c>
      <c r="R29" s="669">
        <f t="shared" ca="1" si="20"/>
        <v>4882</v>
      </c>
      <c r="S29" s="322">
        <f t="shared" ca="1" si="11"/>
        <v>68</v>
      </c>
      <c r="T29" s="736">
        <f>Sheet3!G8</f>
        <v>3</v>
      </c>
      <c r="V29" s="736"/>
      <c r="W29" s="736"/>
      <c r="X29" s="736"/>
    </row>
    <row r="30" spans="1:45">
      <c r="A30" s="155"/>
      <c r="B30" s="671">
        <f>Sheet3!J9</f>
        <v>286.08000000000004</v>
      </c>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t="s">
        <v>3221</v>
      </c>
      <c r="Q30" s="24">
        <f t="shared" si="19"/>
        <v>1</v>
      </c>
      <c r="R30" s="669">
        <f t="shared" ca="1" si="20"/>
        <v>8966</v>
      </c>
      <c r="S30" s="322">
        <f t="shared" ca="1" si="11"/>
        <v>256</v>
      </c>
      <c r="T30" s="736">
        <f>Sheet3!G9</f>
        <v>1</v>
      </c>
      <c r="V30" s="736"/>
      <c r="W30" s="736"/>
      <c r="X30" s="736"/>
    </row>
    <row r="31" spans="1:45">
      <c r="A31" s="155"/>
      <c r="B31" s="671">
        <f>Sheet3!J10</f>
        <v>317.86</v>
      </c>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t="s">
        <v>3221</v>
      </c>
      <c r="Q31" s="24">
        <f t="shared" si="19"/>
        <v>1</v>
      </c>
      <c r="R31" s="669">
        <f t="shared" ca="1" si="20"/>
        <v>8966</v>
      </c>
      <c r="S31" s="322">
        <f t="shared" ca="1" si="11"/>
        <v>285</v>
      </c>
      <c r="T31" s="736">
        <f>Sheet3!G10</f>
        <v>1</v>
      </c>
      <c r="V31" s="736"/>
      <c r="W31" s="736"/>
      <c r="X31" s="736"/>
    </row>
    <row r="32" spans="1:45">
      <c r="A32" s="155"/>
      <c r="B32" s="671">
        <f>Sheet3!J11</f>
        <v>31.79</v>
      </c>
      <c r="C32" s="24">
        <f t="shared" si="12"/>
        <v>0.97</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t="s">
        <v>3221</v>
      </c>
      <c r="Q32" s="24">
        <f t="shared" si="19"/>
        <v>1</v>
      </c>
      <c r="R32" s="669">
        <f t="shared" ca="1" si="20"/>
        <v>8697</v>
      </c>
      <c r="S32" s="322">
        <f t="shared" ca="1" si="11"/>
        <v>28</v>
      </c>
      <c r="T32" s="736">
        <f>Sheet3!G11</f>
        <v>1</v>
      </c>
      <c r="V32" s="736"/>
      <c r="W32" s="736"/>
      <c r="X32" s="736"/>
    </row>
    <row r="33" spans="1:24">
      <c r="A33" s="155"/>
      <c r="B33" s="671">
        <f>Sheet3!J12</f>
        <v>286.08000000000004</v>
      </c>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t="s">
        <v>3240</v>
      </c>
      <c r="Q33" s="24">
        <f t="shared" si="19"/>
        <v>0.65</v>
      </c>
      <c r="R33" s="669">
        <f t="shared" ca="1" si="20"/>
        <v>5828</v>
      </c>
      <c r="S33" s="322">
        <f t="shared" ca="1" si="11"/>
        <v>167</v>
      </c>
      <c r="T33" s="736">
        <f>Sheet3!G12</f>
        <v>2</v>
      </c>
      <c r="V33" s="736"/>
      <c r="W33" s="736"/>
      <c r="X33" s="736"/>
    </row>
    <row r="34" spans="1:24">
      <c r="A34" s="155"/>
      <c r="B34" s="671">
        <f>Sheet3!J13</f>
        <v>127.15</v>
      </c>
      <c r="C34" s="24">
        <f t="shared" si="12"/>
        <v>0.99</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t="s">
        <v>3240</v>
      </c>
      <c r="Q34" s="24">
        <f t="shared" si="19"/>
        <v>0.65</v>
      </c>
      <c r="R34" s="669">
        <f t="shared" ca="1" si="20"/>
        <v>5770</v>
      </c>
      <c r="S34" s="322">
        <f t="shared" ca="1" si="11"/>
        <v>73</v>
      </c>
      <c r="T34" s="736">
        <f>Sheet3!G13</f>
        <v>2</v>
      </c>
      <c r="V34" s="736"/>
      <c r="W34" s="736"/>
      <c r="X34" s="736"/>
    </row>
    <row r="35" spans="1:24">
      <c r="A35" s="155"/>
      <c r="B35" s="671">
        <f>Sheet3!J14</f>
        <v>317.86</v>
      </c>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t="s">
        <v>3240</v>
      </c>
      <c r="Q35" s="24">
        <f t="shared" si="19"/>
        <v>0.65</v>
      </c>
      <c r="R35" s="669">
        <f t="shared" ca="1" si="20"/>
        <v>5828</v>
      </c>
      <c r="S35" s="322">
        <f t="shared" ca="1" si="11"/>
        <v>185</v>
      </c>
      <c r="T35" s="736">
        <f>Sheet3!G14</f>
        <v>2</v>
      </c>
      <c r="V35" s="736"/>
      <c r="W35" s="736"/>
      <c r="X35" s="736"/>
    </row>
    <row r="36" spans="1:24">
      <c r="A36" s="155"/>
      <c r="B36" s="671">
        <f>Sheet3!J15</f>
        <v>127.15</v>
      </c>
      <c r="C36" s="24">
        <f t="shared" si="12"/>
        <v>0.99</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t="s">
        <v>3240</v>
      </c>
      <c r="Q36" s="24">
        <f t="shared" si="19"/>
        <v>0.65</v>
      </c>
      <c r="R36" s="669">
        <f t="shared" ca="1" si="20"/>
        <v>5770</v>
      </c>
      <c r="S36" s="322">
        <f t="shared" ca="1" si="11"/>
        <v>73</v>
      </c>
      <c r="T36" s="736">
        <f>Sheet3!G15</f>
        <v>2</v>
      </c>
      <c r="V36" s="736"/>
      <c r="W36" s="736"/>
      <c r="X36" s="736"/>
    </row>
    <row r="37" spans="1:24">
      <c r="A37" s="155"/>
      <c r="B37" s="671">
        <f>Sheet3!J16</f>
        <v>138.69999999999999</v>
      </c>
      <c r="C37" s="24">
        <f t="shared" si="12"/>
        <v>0.99</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t="s">
        <v>3297</v>
      </c>
      <c r="Q37" s="24">
        <f t="shared" si="19"/>
        <v>0.55000000000000004</v>
      </c>
      <c r="R37" s="669">
        <f t="shared" ca="1" si="20"/>
        <v>4882</v>
      </c>
      <c r="S37" s="322">
        <f t="shared" ca="1" si="11"/>
        <v>68</v>
      </c>
      <c r="T37" s="736">
        <f>Sheet3!G16</f>
        <v>3</v>
      </c>
      <c r="V37" s="736"/>
      <c r="W37" s="736"/>
      <c r="X37" s="736"/>
    </row>
    <row r="38" spans="1:24">
      <c r="A38" s="155"/>
      <c r="B38" s="671">
        <f>Sheet3!J17</f>
        <v>345.8</v>
      </c>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t="s">
        <v>3240</v>
      </c>
      <c r="Q38" s="24">
        <f t="shared" si="19"/>
        <v>0.65</v>
      </c>
      <c r="R38" s="669">
        <f t="shared" ca="1" si="20"/>
        <v>5828</v>
      </c>
      <c r="S38" s="322">
        <f t="shared" ca="1" si="11"/>
        <v>202</v>
      </c>
      <c r="T38" s="736">
        <f>Sheet3!G17</f>
        <v>2</v>
      </c>
      <c r="V38" s="736"/>
      <c r="W38" s="736"/>
      <c r="X38" s="736"/>
    </row>
    <row r="39" spans="1:24">
      <c r="A39" s="155"/>
      <c r="B39" s="671">
        <f>Sheet3!J18</f>
        <v>127.15</v>
      </c>
      <c r="C39" s="24">
        <f t="shared" si="12"/>
        <v>0.99</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t="s">
        <v>3240</v>
      </c>
      <c r="Q39" s="24">
        <f t="shared" si="19"/>
        <v>0.65</v>
      </c>
      <c r="R39" s="669">
        <f t="shared" ca="1" si="20"/>
        <v>5770</v>
      </c>
      <c r="S39" s="322">
        <f t="shared" ca="1" si="11"/>
        <v>73</v>
      </c>
      <c r="T39" s="736">
        <f>Sheet3!G18</f>
        <v>2</v>
      </c>
      <c r="V39" s="736"/>
      <c r="W39" s="736"/>
      <c r="X39" s="736"/>
    </row>
    <row r="40" spans="1:24">
      <c r="A40" s="155"/>
      <c r="B40" s="671">
        <f>Sheet3!J19</f>
        <v>345.8</v>
      </c>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t="s">
        <v>3240</v>
      </c>
      <c r="Q40" s="24">
        <f t="shared" si="19"/>
        <v>0.65</v>
      </c>
      <c r="R40" s="669">
        <f t="shared" ca="1" si="20"/>
        <v>5828</v>
      </c>
      <c r="S40" s="322">
        <f t="shared" ca="1" si="11"/>
        <v>202</v>
      </c>
      <c r="T40" s="736">
        <f>Sheet3!G19</f>
        <v>2</v>
      </c>
      <c r="V40" s="736"/>
      <c r="W40" s="736"/>
      <c r="X40" s="736"/>
    </row>
    <row r="41" spans="1:24">
      <c r="A41" s="155"/>
      <c r="B41" s="671">
        <f>Sheet3!J20</f>
        <v>337.13</v>
      </c>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t="s">
        <v>3297</v>
      </c>
      <c r="Q41" s="24">
        <f t="shared" si="19"/>
        <v>0.55000000000000004</v>
      </c>
      <c r="R41" s="669">
        <f t="shared" ca="1" si="20"/>
        <v>4931</v>
      </c>
      <c r="S41" s="322">
        <f t="shared" ca="1" si="11"/>
        <v>166</v>
      </c>
      <c r="T41" s="736">
        <f>Sheet3!G20</f>
        <v>3</v>
      </c>
      <c r="V41" s="736"/>
      <c r="W41" s="736"/>
      <c r="X41" s="736"/>
    </row>
    <row r="42" spans="1:24">
      <c r="A42" s="155"/>
      <c r="B42" s="671">
        <f>Sheet3!J21</f>
        <v>337.13</v>
      </c>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t="s">
        <v>3297</v>
      </c>
      <c r="Q42" s="24">
        <f t="shared" si="19"/>
        <v>0.55000000000000004</v>
      </c>
      <c r="R42" s="669">
        <f t="shared" ca="1" si="20"/>
        <v>4931</v>
      </c>
      <c r="S42" s="322">
        <f t="shared" ca="1" si="11"/>
        <v>166</v>
      </c>
      <c r="T42" s="736">
        <f>Sheet3!G21</f>
        <v>3</v>
      </c>
      <c r="V42" s="736"/>
      <c r="W42" s="736"/>
      <c r="X42" s="736"/>
    </row>
    <row r="43" spans="1:24">
      <c r="A43" s="155"/>
      <c r="B43" s="671">
        <f>Sheet3!J22</f>
        <v>345.8</v>
      </c>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t="s">
        <v>3221</v>
      </c>
      <c r="Q43" s="24">
        <f t="shared" si="19"/>
        <v>1</v>
      </c>
      <c r="R43" s="669">
        <f t="shared" ca="1" si="20"/>
        <v>8966</v>
      </c>
      <c r="S43" s="322">
        <f t="shared" ca="1" si="11"/>
        <v>310</v>
      </c>
      <c r="T43" s="736">
        <f>Sheet3!G22</f>
        <v>1</v>
      </c>
      <c r="V43" s="736"/>
      <c r="W43" s="736"/>
      <c r="X43" s="736"/>
    </row>
    <row r="44" spans="1:24">
      <c r="A44" s="155"/>
      <c r="B44" s="671">
        <f>Sheet3!J23</f>
        <v>345.8</v>
      </c>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t="s">
        <v>3221</v>
      </c>
      <c r="Q44" s="24">
        <f t="shared" si="19"/>
        <v>1</v>
      </c>
      <c r="R44" s="669">
        <f t="shared" ca="1" si="20"/>
        <v>8966</v>
      </c>
      <c r="S44" s="322">
        <f t="shared" ca="1" si="11"/>
        <v>310</v>
      </c>
      <c r="T44" s="736">
        <f>Sheet3!G23</f>
        <v>1</v>
      </c>
      <c r="V44" s="736"/>
      <c r="W44" s="736"/>
      <c r="X44" s="736"/>
    </row>
    <row r="45" spans="1:24">
      <c r="A45" s="155"/>
      <c r="B45" s="671">
        <f>Sheet3!J24</f>
        <v>31.79</v>
      </c>
      <c r="C45" s="24">
        <f t="shared" si="12"/>
        <v>0.97</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t="s">
        <v>3221</v>
      </c>
      <c r="Q45" s="24">
        <f t="shared" si="19"/>
        <v>1</v>
      </c>
      <c r="R45" s="669">
        <f t="shared" ca="1" si="20"/>
        <v>8697</v>
      </c>
      <c r="S45" s="322">
        <f t="shared" ca="1" si="11"/>
        <v>28</v>
      </c>
      <c r="T45" s="736">
        <f>Sheet3!G24</f>
        <v>1</v>
      </c>
      <c r="V45" s="736"/>
      <c r="W45" s="736"/>
      <c r="X45" s="736"/>
    </row>
    <row r="46" spans="1:24">
      <c r="A46" s="155"/>
      <c r="B46" s="671">
        <f>Sheet3!J25</f>
        <v>345.8</v>
      </c>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t="s">
        <v>3240</v>
      </c>
      <c r="Q46" s="24">
        <f t="shared" si="19"/>
        <v>0.65</v>
      </c>
      <c r="R46" s="669">
        <f t="shared" ca="1" si="20"/>
        <v>5828</v>
      </c>
      <c r="S46" s="322">
        <f t="shared" ca="1" si="11"/>
        <v>202</v>
      </c>
      <c r="T46" s="736">
        <f>Sheet3!G25</f>
        <v>2</v>
      </c>
      <c r="V46" s="736"/>
      <c r="W46" s="736"/>
      <c r="X46" s="736"/>
    </row>
    <row r="47" spans="1:24">
      <c r="A47" s="155"/>
      <c r="B47" s="671">
        <f>Sheet3!J26</f>
        <v>218.64999999999998</v>
      </c>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t="s">
        <v>3240</v>
      </c>
      <c r="Q47" s="24">
        <f t="shared" si="19"/>
        <v>0.65</v>
      </c>
      <c r="R47" s="669">
        <f t="shared" ca="1" si="20"/>
        <v>5828</v>
      </c>
      <c r="S47" s="322">
        <f t="shared" ca="1" si="11"/>
        <v>127</v>
      </c>
      <c r="T47" s="736">
        <f>Sheet3!G26</f>
        <v>2</v>
      </c>
      <c r="V47" s="736"/>
      <c r="W47" s="736"/>
      <c r="X47" s="736"/>
    </row>
    <row r="48" spans="1:24">
      <c r="A48" s="155"/>
      <c r="B48" s="671">
        <f>Sheet3!J27</f>
        <v>95.36</v>
      </c>
      <c r="C48" s="24">
        <f t="shared" si="12"/>
        <v>0.98</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t="s">
        <v>3240</v>
      </c>
      <c r="Q48" s="24">
        <f t="shared" si="19"/>
        <v>0.65</v>
      </c>
      <c r="R48" s="669">
        <f t="shared" ca="1" si="20"/>
        <v>5711</v>
      </c>
      <c r="S48" s="322">
        <f t="shared" ca="1" si="11"/>
        <v>54</v>
      </c>
      <c r="T48" s="736">
        <f>Sheet3!G27</f>
        <v>2</v>
      </c>
      <c r="V48" s="736"/>
      <c r="W48" s="736"/>
      <c r="X48" s="736"/>
    </row>
    <row r="49" spans="1:24">
      <c r="A49" s="155"/>
      <c r="B49" s="671">
        <f>Sheet3!J28</f>
        <v>127.15</v>
      </c>
      <c r="C49" s="24">
        <f t="shared" si="12"/>
        <v>0.99</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t="s">
        <v>3240</v>
      </c>
      <c r="Q49" s="24">
        <f t="shared" si="19"/>
        <v>0.65</v>
      </c>
      <c r="R49" s="669">
        <f t="shared" ca="1" si="20"/>
        <v>5770</v>
      </c>
      <c r="S49" s="322">
        <f t="shared" ca="1" si="11"/>
        <v>73</v>
      </c>
      <c r="T49" s="736">
        <f>Sheet3!G28</f>
        <v>2</v>
      </c>
      <c r="V49" s="736"/>
      <c r="W49" s="736"/>
      <c r="X49" s="736"/>
    </row>
    <row r="50" spans="1:24">
      <c r="A50" s="155"/>
      <c r="B50" s="671">
        <f>Sheet3!J29</f>
        <v>337.13</v>
      </c>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t="s">
        <v>3297</v>
      </c>
      <c r="Q50" s="24">
        <f t="shared" si="19"/>
        <v>0.55000000000000004</v>
      </c>
      <c r="R50" s="669">
        <f t="shared" ca="1" si="20"/>
        <v>4931</v>
      </c>
      <c r="S50" s="322">
        <f t="shared" ca="1" si="11"/>
        <v>166</v>
      </c>
      <c r="T50" s="736">
        <f>Sheet3!G29</f>
        <v>3</v>
      </c>
      <c r="V50" s="736"/>
      <c r="W50" s="736"/>
      <c r="X50" s="736"/>
    </row>
    <row r="51" spans="1:24">
      <c r="A51" s="155"/>
      <c r="B51" s="671">
        <f>Sheet3!J30</f>
        <v>337.13</v>
      </c>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t="s">
        <v>3297</v>
      </c>
      <c r="Q51" s="24">
        <f t="shared" si="19"/>
        <v>0.55000000000000004</v>
      </c>
      <c r="R51" s="669">
        <f t="shared" ca="1" si="20"/>
        <v>4931</v>
      </c>
      <c r="S51" s="322">
        <f t="shared" ca="1" si="11"/>
        <v>166</v>
      </c>
      <c r="T51" s="736">
        <f>Sheet3!G30</f>
        <v>3</v>
      </c>
      <c r="V51" s="736"/>
      <c r="W51" s="736"/>
      <c r="X51" s="736"/>
    </row>
    <row r="52" spans="1:24">
      <c r="A52" s="155"/>
      <c r="B52" s="671">
        <f>Sheet3!J31</f>
        <v>286.08000000000004</v>
      </c>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t="s">
        <v>3240</v>
      </c>
      <c r="Q52" s="24">
        <f t="shared" si="19"/>
        <v>0.65</v>
      </c>
      <c r="R52" s="669">
        <f t="shared" ca="1" si="20"/>
        <v>5828</v>
      </c>
      <c r="S52" s="322">
        <f t="shared" ca="1" si="11"/>
        <v>167</v>
      </c>
      <c r="T52" s="736">
        <f>Sheet3!G31</f>
        <v>2</v>
      </c>
      <c r="V52" s="736"/>
      <c r="W52" s="736"/>
      <c r="X52" s="736"/>
    </row>
    <row r="53" spans="1:24">
      <c r="A53" s="155"/>
      <c r="B53" s="671">
        <f>Sheet3!J32</f>
        <v>317.86</v>
      </c>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t="s">
        <v>3240</v>
      </c>
      <c r="Q53" s="24">
        <f t="shared" si="19"/>
        <v>0.65</v>
      </c>
      <c r="R53" s="669">
        <f t="shared" ca="1" si="20"/>
        <v>5828</v>
      </c>
      <c r="S53" s="322">
        <f t="shared" ca="1" si="11"/>
        <v>185</v>
      </c>
      <c r="T53" s="736">
        <f>Sheet3!G32</f>
        <v>2</v>
      </c>
      <c r="V53" s="736"/>
      <c r="W53" s="736"/>
      <c r="X53" s="736"/>
    </row>
    <row r="54" spans="1:24">
      <c r="A54" s="155"/>
      <c r="B54" s="671">
        <f>Sheet3!J33</f>
        <v>95.36</v>
      </c>
      <c r="C54" s="24">
        <f t="shared" si="12"/>
        <v>0.98</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t="s">
        <v>3240</v>
      </c>
      <c r="Q54" s="24">
        <f t="shared" si="19"/>
        <v>0.65</v>
      </c>
      <c r="R54" s="669">
        <f t="shared" ca="1" si="20"/>
        <v>5711</v>
      </c>
      <c r="S54" s="322">
        <f t="shared" ca="1" si="11"/>
        <v>54</v>
      </c>
      <c r="T54" s="736">
        <f>Sheet3!G33</f>
        <v>2</v>
      </c>
      <c r="V54" s="736"/>
      <c r="W54" s="736"/>
      <c r="X54" s="736"/>
    </row>
    <row r="55" spans="1:24">
      <c r="A55" s="155"/>
      <c r="B55" s="671">
        <f>Sheet3!J34</f>
        <v>127.15</v>
      </c>
      <c r="C55" s="24">
        <f t="shared" si="12"/>
        <v>0.99</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t="s">
        <v>3240</v>
      </c>
      <c r="Q55" s="24">
        <f t="shared" si="19"/>
        <v>0.65</v>
      </c>
      <c r="R55" s="669">
        <f t="shared" ca="1" si="20"/>
        <v>5770</v>
      </c>
      <c r="S55" s="322">
        <f t="shared" ref="S55:S77" ca="1" si="21">ROUND(R55*B55/10000,0)</f>
        <v>73</v>
      </c>
      <c r="T55" s="736">
        <f>Sheet3!G34</f>
        <v>2</v>
      </c>
      <c r="V55" s="736"/>
      <c r="W55" s="736"/>
      <c r="X55" s="736"/>
    </row>
    <row r="56" spans="1:24">
      <c r="A56" s="155"/>
      <c r="B56" s="671">
        <f>Sheet3!J35</f>
        <v>63.570000000000007</v>
      </c>
      <c r="C56" s="24">
        <f t="shared" si="12"/>
        <v>0.98</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t="s">
        <v>3221</v>
      </c>
      <c r="Q56" s="24">
        <f t="shared" si="19"/>
        <v>1</v>
      </c>
      <c r="R56" s="669">
        <f t="shared" ca="1" si="20"/>
        <v>8787</v>
      </c>
      <c r="S56" s="322">
        <f t="shared" ca="1" si="21"/>
        <v>56</v>
      </c>
      <c r="T56" s="736">
        <f>Sheet3!G35</f>
        <v>1</v>
      </c>
      <c r="V56" s="736"/>
      <c r="W56" s="736"/>
      <c r="X56" s="736"/>
    </row>
    <row r="57" spans="1:24">
      <c r="A57" s="155"/>
      <c r="B57" s="671">
        <f>Sheet3!J36</f>
        <v>286.08000000000004</v>
      </c>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t="s">
        <v>3221</v>
      </c>
      <c r="Q57" s="24">
        <f t="shared" si="19"/>
        <v>1</v>
      </c>
      <c r="R57" s="669">
        <f t="shared" ca="1" si="20"/>
        <v>8966</v>
      </c>
      <c r="S57" s="322">
        <f t="shared" ca="1" si="21"/>
        <v>256</v>
      </c>
      <c r="T57" s="736">
        <f>Sheet3!G36</f>
        <v>1</v>
      </c>
      <c r="V57" s="736"/>
      <c r="W57" s="736"/>
      <c r="X57" s="736"/>
    </row>
    <row r="58" spans="1:24">
      <c r="A58" s="155"/>
      <c r="B58" s="671">
        <f>Sheet3!J37</f>
        <v>317.86</v>
      </c>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t="s">
        <v>3221</v>
      </c>
      <c r="Q58" s="24">
        <f t="shared" si="19"/>
        <v>1</v>
      </c>
      <c r="R58" s="669">
        <f t="shared" ca="1" si="20"/>
        <v>8966</v>
      </c>
      <c r="S58" s="322">
        <f t="shared" ca="1" si="21"/>
        <v>285</v>
      </c>
      <c r="T58" s="736">
        <f>Sheet3!G37</f>
        <v>1</v>
      </c>
      <c r="V58" s="736"/>
      <c r="W58" s="736"/>
      <c r="X58" s="736"/>
    </row>
    <row r="59" spans="1:24">
      <c r="A59" s="155"/>
      <c r="B59" s="671">
        <f>Sheet3!J38</f>
        <v>286.08000000000004</v>
      </c>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t="s">
        <v>3240</v>
      </c>
      <c r="Q59" s="24">
        <f t="shared" si="19"/>
        <v>0.65</v>
      </c>
      <c r="R59" s="669">
        <f t="shared" ca="1" si="20"/>
        <v>5828</v>
      </c>
      <c r="S59" s="322">
        <f t="shared" ca="1" si="21"/>
        <v>167</v>
      </c>
      <c r="T59" s="736">
        <f>Sheet3!G38</f>
        <v>2</v>
      </c>
      <c r="V59" s="736"/>
      <c r="W59" s="736"/>
      <c r="X59" s="736"/>
    </row>
    <row r="60" spans="1:24">
      <c r="A60" s="155"/>
      <c r="B60" s="671">
        <f>Sheet3!J39</f>
        <v>127.15</v>
      </c>
      <c r="C60" s="24">
        <f t="shared" si="12"/>
        <v>0.99</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t="s">
        <v>3240</v>
      </c>
      <c r="Q60" s="24">
        <f t="shared" si="19"/>
        <v>0.65</v>
      </c>
      <c r="R60" s="669">
        <f t="shared" ca="1" si="20"/>
        <v>5770</v>
      </c>
      <c r="S60" s="322">
        <f t="shared" ca="1" si="21"/>
        <v>73</v>
      </c>
      <c r="T60" s="736">
        <f>Sheet3!G39</f>
        <v>2</v>
      </c>
      <c r="V60" s="736"/>
      <c r="W60" s="736"/>
      <c r="X60" s="736"/>
    </row>
    <row r="61" spans="1:24">
      <c r="A61" s="155"/>
      <c r="B61" s="671">
        <f>Sheet3!J40</f>
        <v>317.86</v>
      </c>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t="s">
        <v>3240</v>
      </c>
      <c r="Q61" s="24">
        <f t="shared" si="19"/>
        <v>0.65</v>
      </c>
      <c r="R61" s="669">
        <f t="shared" ca="1" si="20"/>
        <v>5828</v>
      </c>
      <c r="S61" s="322">
        <f t="shared" ca="1" si="21"/>
        <v>185</v>
      </c>
      <c r="T61" s="736">
        <f>Sheet3!G40</f>
        <v>2</v>
      </c>
      <c r="V61" s="736"/>
      <c r="W61" s="736"/>
      <c r="X61" s="736"/>
    </row>
    <row r="62" spans="1:24">
      <c r="A62" s="155"/>
      <c r="B62" s="671">
        <f>Sheet3!J41</f>
        <v>127.15</v>
      </c>
      <c r="C62" s="24">
        <f t="shared" si="12"/>
        <v>0.99</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t="s">
        <v>3240</v>
      </c>
      <c r="Q62" s="24">
        <f t="shared" si="19"/>
        <v>0.65</v>
      </c>
      <c r="R62" s="669">
        <f t="shared" ca="1" si="20"/>
        <v>5770</v>
      </c>
      <c r="S62" s="322">
        <f t="shared" ca="1" si="21"/>
        <v>73</v>
      </c>
      <c r="T62" s="736">
        <f>Sheet3!G41</f>
        <v>2</v>
      </c>
      <c r="V62" s="736"/>
      <c r="W62" s="736"/>
      <c r="X62" s="736"/>
    </row>
    <row r="63" spans="1:24">
      <c r="A63" s="155"/>
      <c r="B63" s="671">
        <f>Sheet3!J42</f>
        <v>317.86</v>
      </c>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t="s">
        <v>3240</v>
      </c>
      <c r="Q63" s="24">
        <f t="shared" si="19"/>
        <v>0.65</v>
      </c>
      <c r="R63" s="669">
        <f t="shared" ca="1" si="20"/>
        <v>5828</v>
      </c>
      <c r="S63" s="322">
        <f t="shared" ca="1" si="21"/>
        <v>185</v>
      </c>
      <c r="T63" s="736">
        <f>Sheet3!G42</f>
        <v>2</v>
      </c>
      <c r="V63" s="736"/>
      <c r="W63" s="736"/>
      <c r="X63" s="736"/>
    </row>
    <row r="64" spans="1:24">
      <c r="A64" s="155"/>
      <c r="B64" s="671">
        <f>Sheet3!J43</f>
        <v>127.15</v>
      </c>
      <c r="C64" s="24">
        <f t="shared" si="12"/>
        <v>0.99</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t="s">
        <v>3240</v>
      </c>
      <c r="Q64" s="24">
        <f t="shared" si="19"/>
        <v>0.65</v>
      </c>
      <c r="R64" s="669">
        <f t="shared" ca="1" si="20"/>
        <v>5770</v>
      </c>
      <c r="S64" s="322">
        <f t="shared" ca="1" si="21"/>
        <v>73</v>
      </c>
      <c r="T64" s="736">
        <f>Sheet3!G43</f>
        <v>2</v>
      </c>
      <c r="V64" s="736"/>
      <c r="W64" s="736"/>
      <c r="X64" s="736"/>
    </row>
    <row r="65" spans="1:24">
      <c r="A65" s="155"/>
      <c r="B65" s="671">
        <f>Sheet3!J44</f>
        <v>286.08000000000004</v>
      </c>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t="s">
        <v>3240</v>
      </c>
      <c r="Q65" s="24">
        <f t="shared" si="19"/>
        <v>0.65</v>
      </c>
      <c r="R65" s="669">
        <f t="shared" ca="1" si="20"/>
        <v>5828</v>
      </c>
      <c r="S65" s="322">
        <f t="shared" ca="1" si="21"/>
        <v>167</v>
      </c>
      <c r="T65" s="736">
        <f>Sheet3!G44</f>
        <v>2</v>
      </c>
      <c r="V65" s="736"/>
      <c r="W65" s="736"/>
      <c r="X65" s="736"/>
    </row>
    <row r="66" spans="1:24">
      <c r="A66" s="155"/>
      <c r="B66" s="671">
        <f>Sheet3!J45</f>
        <v>95.36</v>
      </c>
      <c r="C66" s="24">
        <f t="shared" si="12"/>
        <v>0.98</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t="s">
        <v>3240</v>
      </c>
      <c r="Q66" s="24">
        <f t="shared" si="19"/>
        <v>0.65</v>
      </c>
      <c r="R66" s="669">
        <f t="shared" ca="1" si="20"/>
        <v>5711</v>
      </c>
      <c r="S66" s="322">
        <f t="shared" ca="1" si="21"/>
        <v>54</v>
      </c>
      <c r="T66" s="736">
        <f>Sheet3!G45</f>
        <v>2</v>
      </c>
      <c r="V66" s="736"/>
      <c r="W66" s="736"/>
      <c r="X66" s="736"/>
    </row>
    <row r="67" spans="1:24">
      <c r="A67" s="155"/>
      <c r="B67" s="671">
        <f>Sheet3!J46</f>
        <v>317.86</v>
      </c>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t="s">
        <v>3221</v>
      </c>
      <c r="Q67" s="24">
        <f t="shared" si="19"/>
        <v>1</v>
      </c>
      <c r="R67" s="669">
        <f t="shared" ca="1" si="20"/>
        <v>8966</v>
      </c>
      <c r="S67" s="322">
        <f t="shared" ca="1" si="21"/>
        <v>285</v>
      </c>
      <c r="T67" s="736">
        <f>Sheet3!G46</f>
        <v>1</v>
      </c>
      <c r="V67" s="736"/>
      <c r="W67" s="736"/>
      <c r="X67" s="736"/>
    </row>
    <row r="68" spans="1:24">
      <c r="A68" s="155"/>
      <c r="B68" s="671">
        <f>Sheet3!J47</f>
        <v>286.08000000000004</v>
      </c>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t="s">
        <v>3221</v>
      </c>
      <c r="Q68" s="24">
        <f t="shared" si="19"/>
        <v>1</v>
      </c>
      <c r="R68" s="669">
        <f t="shared" ca="1" si="20"/>
        <v>8966</v>
      </c>
      <c r="S68" s="322">
        <f t="shared" ca="1" si="21"/>
        <v>256</v>
      </c>
      <c r="T68" s="736">
        <f>Sheet3!G47</f>
        <v>1</v>
      </c>
      <c r="V68" s="736"/>
      <c r="W68" s="736"/>
      <c r="X68" s="736"/>
    </row>
    <row r="69" spans="1:24">
      <c r="A69" s="155"/>
      <c r="B69" s="671">
        <f>Sheet3!J48</f>
        <v>127.15</v>
      </c>
      <c r="C69" s="24">
        <f t="shared" si="12"/>
        <v>0.99</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t="s">
        <v>3240</v>
      </c>
      <c r="Q69" s="24">
        <f t="shared" si="19"/>
        <v>0.65</v>
      </c>
      <c r="R69" s="669">
        <f t="shared" ca="1" si="20"/>
        <v>5770</v>
      </c>
      <c r="S69" s="322">
        <f t="shared" ca="1" si="21"/>
        <v>73</v>
      </c>
      <c r="T69" s="736">
        <f>Sheet3!G48</f>
        <v>2</v>
      </c>
      <c r="V69" s="736"/>
      <c r="W69" s="736"/>
      <c r="X69" s="736"/>
    </row>
    <row r="70" spans="1:24">
      <c r="A70" s="155"/>
      <c r="B70" s="671">
        <f>Sheet3!J49</f>
        <v>317.86</v>
      </c>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t="s">
        <v>3240</v>
      </c>
      <c r="Q70" s="24">
        <f t="shared" si="19"/>
        <v>0.65</v>
      </c>
      <c r="R70" s="669">
        <f t="shared" ca="1" si="20"/>
        <v>5828</v>
      </c>
      <c r="S70" s="322">
        <f t="shared" ca="1" si="21"/>
        <v>185</v>
      </c>
      <c r="T70" s="736">
        <f>Sheet3!G49</f>
        <v>2</v>
      </c>
      <c r="V70" s="736"/>
      <c r="W70" s="736"/>
      <c r="X70" s="736"/>
    </row>
    <row r="71" spans="1:24">
      <c r="A71" s="155"/>
      <c r="B71" s="671">
        <f>Sheet3!J50</f>
        <v>286.08000000000004</v>
      </c>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t="s">
        <v>3240</v>
      </c>
      <c r="Q71" s="24">
        <f t="shared" si="19"/>
        <v>0.65</v>
      </c>
      <c r="R71" s="669">
        <f t="shared" ca="1" si="20"/>
        <v>5828</v>
      </c>
      <c r="S71" s="322">
        <f t="shared" ca="1" si="21"/>
        <v>167</v>
      </c>
      <c r="T71" s="736">
        <f>Sheet3!G50</f>
        <v>2</v>
      </c>
      <c r="V71" s="736"/>
      <c r="W71" s="736"/>
      <c r="X71" s="736"/>
    </row>
    <row r="72" spans="1:24">
      <c r="A72" s="155"/>
      <c r="B72" s="671">
        <f>Sheet3!J51</f>
        <v>127.15</v>
      </c>
      <c r="C72" s="24">
        <f t="shared" si="12"/>
        <v>0.99</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t="s">
        <v>3240</v>
      </c>
      <c r="Q72" s="24">
        <f t="shared" si="19"/>
        <v>0.65</v>
      </c>
      <c r="R72" s="669">
        <f t="shared" ca="1" si="20"/>
        <v>5770</v>
      </c>
      <c r="S72" s="322">
        <f t="shared" ca="1" si="21"/>
        <v>73</v>
      </c>
      <c r="T72" s="736">
        <f>Sheet3!G51</f>
        <v>2</v>
      </c>
      <c r="V72" s="736"/>
      <c r="W72" s="736"/>
      <c r="X72" s="736"/>
    </row>
    <row r="73" spans="1:24">
      <c r="A73" s="155"/>
      <c r="B73" s="671">
        <f>Sheet3!J52</f>
        <v>190.72</v>
      </c>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t="s">
        <v>3221</v>
      </c>
      <c r="Q73" s="24">
        <f t="shared" si="19"/>
        <v>1</v>
      </c>
      <c r="R73" s="669">
        <f t="shared" ca="1" si="20"/>
        <v>8966</v>
      </c>
      <c r="S73" s="322">
        <f t="shared" ca="1" si="21"/>
        <v>171</v>
      </c>
      <c r="T73" s="736">
        <f>Sheet3!G52</f>
        <v>1</v>
      </c>
      <c r="V73" s="736"/>
      <c r="W73" s="736"/>
      <c r="X73" s="736"/>
    </row>
    <row r="74" spans="1:24">
      <c r="A74" s="155"/>
      <c r="B74" s="671">
        <f>Sheet3!J53</f>
        <v>31.79</v>
      </c>
      <c r="C74" s="24">
        <f t="shared" si="12"/>
        <v>0.97</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t="s">
        <v>3221</v>
      </c>
      <c r="Q74" s="24">
        <f t="shared" si="19"/>
        <v>1</v>
      </c>
      <c r="R74" s="669">
        <f t="shared" ca="1" si="20"/>
        <v>8697</v>
      </c>
      <c r="S74" s="322">
        <f t="shared" ca="1" si="21"/>
        <v>28</v>
      </c>
      <c r="T74" s="736">
        <f>Sheet3!G53</f>
        <v>1</v>
      </c>
      <c r="V74" s="736"/>
      <c r="W74" s="736"/>
      <c r="X74" s="736"/>
    </row>
    <row r="75" spans="1:24">
      <c r="A75" s="155"/>
      <c r="B75" s="671">
        <f>Sheet3!J54</f>
        <v>345.8</v>
      </c>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t="s">
        <v>3240</v>
      </c>
      <c r="Q75" s="24">
        <f t="shared" si="19"/>
        <v>0.65</v>
      </c>
      <c r="R75" s="669">
        <f t="shared" ca="1" si="20"/>
        <v>5828</v>
      </c>
      <c r="S75" s="322">
        <f t="shared" ca="1" si="21"/>
        <v>202</v>
      </c>
      <c r="T75" s="736">
        <f>Sheet3!G54</f>
        <v>2</v>
      </c>
      <c r="V75" s="736"/>
      <c r="W75" s="736"/>
      <c r="X75" s="736"/>
    </row>
    <row r="76" spans="1:24">
      <c r="A76" s="155"/>
      <c r="B76" s="671">
        <f>Sheet3!J55</f>
        <v>345.8</v>
      </c>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t="s">
        <v>3240</v>
      </c>
      <c r="Q76" s="24">
        <f t="shared" si="19"/>
        <v>0.65</v>
      </c>
      <c r="R76" s="669">
        <f t="shared" ca="1" si="20"/>
        <v>5828</v>
      </c>
      <c r="S76" s="322">
        <f t="shared" ca="1" si="21"/>
        <v>202</v>
      </c>
      <c r="T76" s="736">
        <f>Sheet3!G55</f>
        <v>2</v>
      </c>
      <c r="V76" s="736"/>
      <c r="W76" s="736"/>
      <c r="X76" s="736"/>
    </row>
    <row r="77" spans="1:24">
      <c r="A77" s="155"/>
      <c r="B77" s="671">
        <f>Sheet3!J56</f>
        <v>127.15</v>
      </c>
      <c r="C77" s="24">
        <f t="shared" si="12"/>
        <v>0.99</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t="s">
        <v>3240</v>
      </c>
      <c r="Q77" s="24">
        <f t="shared" si="19"/>
        <v>0.65</v>
      </c>
      <c r="R77" s="669">
        <f t="shared" ca="1" si="20"/>
        <v>5770</v>
      </c>
      <c r="S77" s="322">
        <f t="shared" ca="1" si="21"/>
        <v>73</v>
      </c>
      <c r="T77" s="736">
        <f>Sheet3!G56</f>
        <v>2</v>
      </c>
      <c r="V77" s="736"/>
      <c r="W77" s="736"/>
      <c r="X77" s="736"/>
    </row>
    <row r="78" spans="1:24">
      <c r="A78" s="155"/>
      <c r="B78" s="671">
        <f>Sheet3!J57</f>
        <v>337.13</v>
      </c>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t="s">
        <v>3297</v>
      </c>
      <c r="Q78" s="24">
        <f t="shared" si="19"/>
        <v>0.55000000000000004</v>
      </c>
      <c r="R78" s="669">
        <f t="shared" ca="1" si="20"/>
        <v>4931</v>
      </c>
      <c r="S78" s="322">
        <f t="shared" ref="S78:S122" ca="1" si="22">ROUND(R78*B78/10000,0)</f>
        <v>166</v>
      </c>
      <c r="T78" s="736">
        <f>Sheet3!G57</f>
        <v>3</v>
      </c>
      <c r="V78" s="736"/>
      <c r="W78" s="736"/>
      <c r="X78" s="736"/>
    </row>
    <row r="79" spans="1:24">
      <c r="A79" s="155"/>
      <c r="B79" s="671">
        <f>Sheet3!J58</f>
        <v>337.13</v>
      </c>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t="s">
        <v>3297</v>
      </c>
      <c r="Q79" s="24">
        <f t="shared" si="19"/>
        <v>0.55000000000000004</v>
      </c>
      <c r="R79" s="669">
        <f t="shared" ca="1" si="20"/>
        <v>4931</v>
      </c>
      <c r="S79" s="322">
        <f t="shared" ca="1" si="22"/>
        <v>166</v>
      </c>
      <c r="T79" s="736">
        <f>Sheet3!G58</f>
        <v>3</v>
      </c>
      <c r="V79" s="736"/>
      <c r="W79" s="736"/>
      <c r="X79" s="736"/>
    </row>
    <row r="80" spans="1:24">
      <c r="A80" s="155"/>
      <c r="B80" s="671">
        <f>Sheet3!J59</f>
        <v>345.8</v>
      </c>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t="s">
        <v>3221</v>
      </c>
      <c r="Q80" s="24">
        <f t="shared" si="19"/>
        <v>1</v>
      </c>
      <c r="R80" s="669">
        <f t="shared" ca="1" si="20"/>
        <v>8966</v>
      </c>
      <c r="S80" s="322">
        <f t="shared" ca="1" si="22"/>
        <v>310</v>
      </c>
      <c r="T80" s="736">
        <f>Sheet3!G59</f>
        <v>1</v>
      </c>
      <c r="V80" s="736"/>
      <c r="W80" s="736"/>
      <c r="X80" s="736"/>
    </row>
    <row r="81" spans="1:24">
      <c r="A81" s="155"/>
      <c r="B81" s="671">
        <f>Sheet3!J60</f>
        <v>345.8</v>
      </c>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t="s">
        <v>3221</v>
      </c>
      <c r="Q81" s="24">
        <f t="shared" si="19"/>
        <v>1</v>
      </c>
      <c r="R81" s="669">
        <f t="shared" ca="1" si="20"/>
        <v>8966</v>
      </c>
      <c r="S81" s="322">
        <f t="shared" ca="1" si="22"/>
        <v>310</v>
      </c>
      <c r="T81" s="736">
        <f>Sheet3!G60</f>
        <v>1</v>
      </c>
      <c r="V81" s="736"/>
      <c r="W81" s="736"/>
      <c r="X81" s="736"/>
    </row>
    <row r="82" spans="1:24">
      <c r="A82" s="155"/>
      <c r="B82" s="671">
        <f>Sheet3!J61</f>
        <v>345.8</v>
      </c>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t="s">
        <v>3240</v>
      </c>
      <c r="Q82" s="24">
        <f t="shared" si="19"/>
        <v>0.65</v>
      </c>
      <c r="R82" s="669">
        <f t="shared" ca="1" si="20"/>
        <v>5828</v>
      </c>
      <c r="S82" s="322">
        <f t="shared" ca="1" si="22"/>
        <v>202</v>
      </c>
      <c r="T82" s="736">
        <f>Sheet3!G61</f>
        <v>2</v>
      </c>
      <c r="V82" s="736"/>
      <c r="W82" s="736"/>
      <c r="X82" s="736"/>
    </row>
    <row r="83" spans="1:24">
      <c r="A83" s="155"/>
      <c r="B83" s="671">
        <f>Sheet3!J62</f>
        <v>314.01</v>
      </c>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t="s">
        <v>3240</v>
      </c>
      <c r="Q83" s="24">
        <f t="shared" si="19"/>
        <v>0.65</v>
      </c>
      <c r="R83" s="669">
        <f t="shared" ca="1" si="20"/>
        <v>5828</v>
      </c>
      <c r="S83" s="322">
        <f t="shared" ca="1" si="22"/>
        <v>183</v>
      </c>
      <c r="T83" s="736">
        <f>Sheet3!G62</f>
        <v>2</v>
      </c>
      <c r="V83" s="736"/>
      <c r="W83" s="736"/>
      <c r="X83" s="736"/>
    </row>
    <row r="84" spans="1:24">
      <c r="A84" s="155"/>
      <c r="B84" s="671">
        <f>Sheet3!J63</f>
        <v>127.15</v>
      </c>
      <c r="C84" s="24">
        <f t="shared" si="12"/>
        <v>0.99</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t="s">
        <v>3240</v>
      </c>
      <c r="Q84" s="24">
        <f t="shared" si="19"/>
        <v>0.65</v>
      </c>
      <c r="R84" s="669">
        <f t="shared" ca="1" si="20"/>
        <v>5770</v>
      </c>
      <c r="S84" s="322">
        <f t="shared" ca="1" si="22"/>
        <v>73</v>
      </c>
      <c r="T84" s="736">
        <f>Sheet3!G63</f>
        <v>2</v>
      </c>
      <c r="V84" s="736"/>
      <c r="W84" s="736"/>
      <c r="X84" s="736"/>
    </row>
    <row r="85" spans="1:24">
      <c r="A85" s="155"/>
      <c r="B85" s="671">
        <f>Sheet3!J64</f>
        <v>337.13</v>
      </c>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t="s">
        <v>3297</v>
      </c>
      <c r="Q85" s="24">
        <f t="shared" si="19"/>
        <v>0.55000000000000004</v>
      </c>
      <c r="R85" s="669">
        <f t="shared" ca="1" si="20"/>
        <v>4931</v>
      </c>
      <c r="S85" s="322">
        <f t="shared" ca="1" si="22"/>
        <v>166</v>
      </c>
      <c r="T85" s="736">
        <f>Sheet3!G64</f>
        <v>3</v>
      </c>
      <c r="V85" s="736"/>
      <c r="W85" s="736"/>
      <c r="X85" s="736"/>
    </row>
    <row r="86" spans="1:24">
      <c r="A86" s="155"/>
      <c r="B86" s="671">
        <f>Sheet3!J65</f>
        <v>337.13</v>
      </c>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t="s">
        <v>3297</v>
      </c>
      <c r="Q86" s="24">
        <f t="shared" si="19"/>
        <v>0.55000000000000004</v>
      </c>
      <c r="R86" s="669">
        <f t="shared" ca="1" si="20"/>
        <v>4931</v>
      </c>
      <c r="S86" s="322">
        <f t="shared" ca="1" si="22"/>
        <v>166</v>
      </c>
      <c r="T86" s="736">
        <f>Sheet3!G65</f>
        <v>3</v>
      </c>
      <c r="V86" s="736"/>
      <c r="W86" s="736"/>
      <c r="X86" s="736"/>
    </row>
    <row r="87" spans="1:24">
      <c r="A87" s="155"/>
      <c r="B87" s="671">
        <f>Sheet3!J66</f>
        <v>95.36</v>
      </c>
      <c r="C87" s="24">
        <f t="shared" si="12"/>
        <v>0.98</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t="s">
        <v>3221</v>
      </c>
      <c r="Q87" s="24">
        <f t="shared" si="19"/>
        <v>1</v>
      </c>
      <c r="R87" s="669">
        <f t="shared" ca="1" si="20"/>
        <v>8787</v>
      </c>
      <c r="S87" s="322">
        <f t="shared" ca="1" si="22"/>
        <v>84</v>
      </c>
      <c r="T87" s="736">
        <f>Sheet3!G66</f>
        <v>1</v>
      </c>
      <c r="V87" s="736"/>
      <c r="W87" s="736"/>
      <c r="X87" s="736"/>
    </row>
    <row r="88" spans="1:24">
      <c r="A88" s="155"/>
      <c r="B88" s="671">
        <f>Sheet3!J67</f>
        <v>222.5</v>
      </c>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t="s">
        <v>3221</v>
      </c>
      <c r="Q88" s="24">
        <f t="shared" si="19"/>
        <v>1</v>
      </c>
      <c r="R88" s="669">
        <f t="shared" ca="1" si="20"/>
        <v>8966</v>
      </c>
      <c r="S88" s="322">
        <f t="shared" ca="1" si="22"/>
        <v>199</v>
      </c>
      <c r="T88" s="736">
        <f>Sheet3!G67</f>
        <v>1</v>
      </c>
      <c r="V88" s="736"/>
      <c r="W88" s="736"/>
      <c r="X88" s="736"/>
    </row>
    <row r="89" spans="1:24">
      <c r="A89" s="155"/>
      <c r="B89" s="671">
        <f>Sheet3!J68</f>
        <v>190.72</v>
      </c>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t="s">
        <v>3221</v>
      </c>
      <c r="Q89" s="24">
        <f t="shared" si="19"/>
        <v>1</v>
      </c>
      <c r="R89" s="669">
        <f t="shared" ca="1" si="20"/>
        <v>8966</v>
      </c>
      <c r="S89" s="322">
        <f t="shared" ca="1" si="22"/>
        <v>171</v>
      </c>
      <c r="T89" s="736">
        <f>Sheet3!G68</f>
        <v>1</v>
      </c>
      <c r="V89" s="736"/>
      <c r="W89" s="736"/>
      <c r="X89" s="736"/>
    </row>
    <row r="90" spans="1:24">
      <c r="A90" s="155"/>
      <c r="B90" s="671">
        <f>Sheet3!J69</f>
        <v>31.79</v>
      </c>
      <c r="C90" s="24">
        <f t="shared" ref="C90:C153" si="23">IF(B90="",1,(LOOKUP(B90,$3:$3,$4:$4)-LOOKUP($B$24,$3:$3,$4:$4)+100)/100)</f>
        <v>0.97</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t="s">
        <v>3221</v>
      </c>
      <c r="Q90" s="24">
        <f t="shared" ref="Q90:Q153" si="30">(SUMIF($17:$17,P90,$18:$18)-SUMIF($17:$17,$P$24,$18:$18)+100)/100</f>
        <v>1</v>
      </c>
      <c r="R90" s="669">
        <f t="shared" ref="R90:R153" ca="1" si="31">IF(B90="",0,ROUND($R$24*C90*E90*G90*I90*K90*M90*O90*Q90,0))</f>
        <v>8697</v>
      </c>
      <c r="S90" s="322">
        <f t="shared" ca="1" si="22"/>
        <v>28</v>
      </c>
      <c r="T90" s="736">
        <f>Sheet3!G69</f>
        <v>1</v>
      </c>
      <c r="V90" s="736"/>
      <c r="W90" s="736"/>
      <c r="X90" s="736"/>
    </row>
    <row r="91" spans="1:24">
      <c r="A91" s="155"/>
      <c r="B91" s="671">
        <f>Sheet3!J70</f>
        <v>127.15</v>
      </c>
      <c r="C91" s="24">
        <f t="shared" si="23"/>
        <v>0.99</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t="s">
        <v>3240</v>
      </c>
      <c r="Q91" s="24">
        <f t="shared" si="30"/>
        <v>0.65</v>
      </c>
      <c r="R91" s="669">
        <f t="shared" ca="1" si="31"/>
        <v>5770</v>
      </c>
      <c r="S91" s="322">
        <f t="shared" ca="1" si="22"/>
        <v>73</v>
      </c>
      <c r="T91" s="736">
        <f>Sheet3!G70</f>
        <v>2</v>
      </c>
      <c r="V91" s="736"/>
      <c r="W91" s="736"/>
      <c r="X91" s="736"/>
    </row>
    <row r="92" spans="1:24">
      <c r="A92" s="155"/>
      <c r="B92" s="671">
        <f>Sheet3!J71</f>
        <v>317.86</v>
      </c>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t="s">
        <v>3240</v>
      </c>
      <c r="Q92" s="24">
        <f t="shared" si="30"/>
        <v>0.65</v>
      </c>
      <c r="R92" s="669">
        <f t="shared" ca="1" si="31"/>
        <v>5828</v>
      </c>
      <c r="S92" s="322">
        <f t="shared" ca="1" si="22"/>
        <v>185</v>
      </c>
      <c r="T92" s="736">
        <f>Sheet3!G71</f>
        <v>2</v>
      </c>
      <c r="V92" s="736"/>
      <c r="W92" s="736"/>
      <c r="X92" s="736"/>
    </row>
    <row r="93" spans="1:24">
      <c r="A93" s="155"/>
      <c r="B93" s="671">
        <f>Sheet3!J72</f>
        <v>286.08000000000004</v>
      </c>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t="s">
        <v>3240</v>
      </c>
      <c r="Q93" s="24">
        <f t="shared" si="30"/>
        <v>0.65</v>
      </c>
      <c r="R93" s="669">
        <f t="shared" ca="1" si="31"/>
        <v>5828</v>
      </c>
      <c r="S93" s="322">
        <f t="shared" ca="1" si="22"/>
        <v>167</v>
      </c>
      <c r="T93" s="736">
        <f>Sheet3!G72</f>
        <v>2</v>
      </c>
      <c r="V93" s="736"/>
      <c r="W93" s="736"/>
      <c r="X93" s="736"/>
    </row>
    <row r="94" spans="1:24">
      <c r="A94" s="155"/>
      <c r="B94" s="671">
        <f>Sheet3!J73</f>
        <v>127.15</v>
      </c>
      <c r="C94" s="24">
        <f t="shared" si="23"/>
        <v>0.99</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t="s">
        <v>3240</v>
      </c>
      <c r="Q94" s="24">
        <f t="shared" si="30"/>
        <v>0.65</v>
      </c>
      <c r="R94" s="669">
        <f t="shared" ca="1" si="31"/>
        <v>5770</v>
      </c>
      <c r="S94" s="322">
        <f t="shared" ca="1" si="22"/>
        <v>73</v>
      </c>
      <c r="T94" s="736">
        <f>Sheet3!G73</f>
        <v>2</v>
      </c>
      <c r="V94" s="736"/>
      <c r="W94" s="736"/>
      <c r="X94" s="736"/>
    </row>
    <row r="95" spans="1:24">
      <c r="A95" s="155"/>
      <c r="B95" s="671">
        <f>Sheet3!J74</f>
        <v>138.69999999999999</v>
      </c>
      <c r="C95" s="24">
        <f t="shared" si="23"/>
        <v>0.99</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t="s">
        <v>3297</v>
      </c>
      <c r="Q95" s="24">
        <f t="shared" si="30"/>
        <v>0.55000000000000004</v>
      </c>
      <c r="R95" s="669">
        <f t="shared" ca="1" si="31"/>
        <v>4882</v>
      </c>
      <c r="S95" s="322">
        <f t="shared" ca="1" si="22"/>
        <v>68</v>
      </c>
      <c r="T95" s="736">
        <f>Sheet3!G74</f>
        <v>3</v>
      </c>
      <c r="V95" s="736"/>
      <c r="W95" s="736"/>
      <c r="X95" s="736"/>
    </row>
    <row r="96" spans="1:24">
      <c r="A96" s="155"/>
      <c r="B96" s="671">
        <f>Sheet3!J75</f>
        <v>95.36</v>
      </c>
      <c r="C96" s="24">
        <f t="shared" si="23"/>
        <v>0.98</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t="s">
        <v>3221</v>
      </c>
      <c r="Q96" s="24">
        <f t="shared" si="30"/>
        <v>1</v>
      </c>
      <c r="R96" s="669">
        <f t="shared" ca="1" si="31"/>
        <v>8787</v>
      </c>
      <c r="S96" s="322">
        <f t="shared" ca="1" si="22"/>
        <v>84</v>
      </c>
      <c r="T96" s="736">
        <f>Sheet3!G75</f>
        <v>1</v>
      </c>
      <c r="V96" s="736"/>
      <c r="W96" s="736"/>
      <c r="X96" s="736"/>
    </row>
    <row r="97" spans="1:24">
      <c r="A97" s="155"/>
      <c r="B97" s="671">
        <f>Sheet3!J76</f>
        <v>317.86</v>
      </c>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t="s">
        <v>3221</v>
      </c>
      <c r="Q97" s="24">
        <f t="shared" si="30"/>
        <v>1</v>
      </c>
      <c r="R97" s="669">
        <f t="shared" ca="1" si="31"/>
        <v>8966</v>
      </c>
      <c r="S97" s="322">
        <f t="shared" ca="1" si="22"/>
        <v>285</v>
      </c>
      <c r="T97" s="736">
        <f>Sheet3!G76</f>
        <v>1</v>
      </c>
      <c r="V97" s="736"/>
      <c r="W97" s="736"/>
      <c r="X97" s="736"/>
    </row>
    <row r="98" spans="1:24">
      <c r="A98" s="155"/>
      <c r="B98" s="671">
        <f>Sheet3!J77</f>
        <v>254.29000000000002</v>
      </c>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t="s">
        <v>3221</v>
      </c>
      <c r="Q98" s="24">
        <f t="shared" si="30"/>
        <v>1</v>
      </c>
      <c r="R98" s="669">
        <f t="shared" ca="1" si="31"/>
        <v>8966</v>
      </c>
      <c r="S98" s="322">
        <f t="shared" ca="1" si="22"/>
        <v>228</v>
      </c>
      <c r="T98" s="736">
        <f>Sheet3!G77</f>
        <v>1</v>
      </c>
      <c r="V98" s="736"/>
      <c r="W98" s="736"/>
      <c r="X98" s="736"/>
    </row>
    <row r="99" spans="1:24">
      <c r="A99" s="155"/>
      <c r="B99" s="671">
        <f>Sheet3!J78</f>
        <v>127.15</v>
      </c>
      <c r="C99" s="24">
        <f t="shared" si="23"/>
        <v>0.99</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t="s">
        <v>3221</v>
      </c>
      <c r="Q99" s="24">
        <f t="shared" si="30"/>
        <v>1</v>
      </c>
      <c r="R99" s="669">
        <f t="shared" ca="1" si="31"/>
        <v>8876</v>
      </c>
      <c r="S99" s="322">
        <f t="shared" ca="1" si="22"/>
        <v>113</v>
      </c>
      <c r="T99" s="736">
        <f>Sheet3!G78</f>
        <v>1</v>
      </c>
      <c r="V99" s="736"/>
      <c r="W99" s="736"/>
      <c r="X99" s="736"/>
    </row>
    <row r="100" spans="1:24">
      <c r="A100" s="155"/>
      <c r="B100" s="671">
        <f>Sheet3!J79</f>
        <v>127.15</v>
      </c>
      <c r="C100" s="24">
        <f t="shared" si="23"/>
        <v>0.99</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t="s">
        <v>3240</v>
      </c>
      <c r="Q100" s="24">
        <f t="shared" si="30"/>
        <v>0.65</v>
      </c>
      <c r="R100" s="669">
        <f t="shared" ca="1" si="31"/>
        <v>5770</v>
      </c>
      <c r="S100" s="322">
        <f t="shared" ca="1" si="22"/>
        <v>73</v>
      </c>
      <c r="T100" s="736">
        <f>Sheet3!G79</f>
        <v>2</v>
      </c>
      <c r="V100" s="736"/>
      <c r="W100" s="736"/>
      <c r="X100" s="736"/>
    </row>
    <row r="101" spans="1:24">
      <c r="A101" s="155"/>
      <c r="B101" s="671">
        <f>Sheet3!J80</f>
        <v>317.86</v>
      </c>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t="s">
        <v>3240</v>
      </c>
      <c r="Q101" s="24">
        <f t="shared" si="30"/>
        <v>0.65</v>
      </c>
      <c r="R101" s="669">
        <f t="shared" ca="1" si="31"/>
        <v>5828</v>
      </c>
      <c r="S101" s="322">
        <f t="shared" ca="1" si="22"/>
        <v>185</v>
      </c>
      <c r="T101" s="736">
        <f>Sheet3!G80</f>
        <v>2</v>
      </c>
      <c r="V101" s="736"/>
      <c r="W101" s="736"/>
      <c r="X101" s="736"/>
    </row>
    <row r="102" spans="1:24">
      <c r="A102" s="155"/>
      <c r="B102" s="671">
        <f>Sheet3!J81</f>
        <v>286.08000000000004</v>
      </c>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t="s">
        <v>3240</v>
      </c>
      <c r="Q102" s="24">
        <f t="shared" si="30"/>
        <v>0.65</v>
      </c>
      <c r="R102" s="669">
        <f t="shared" ca="1" si="31"/>
        <v>5828</v>
      </c>
      <c r="S102" s="322">
        <f t="shared" ca="1" si="22"/>
        <v>167</v>
      </c>
      <c r="T102" s="736">
        <f>Sheet3!G81</f>
        <v>2</v>
      </c>
      <c r="V102" s="736"/>
      <c r="W102" s="736"/>
      <c r="X102" s="736"/>
    </row>
    <row r="103" spans="1:24">
      <c r="A103" s="155"/>
      <c r="B103" s="671">
        <f>Sheet3!J82</f>
        <v>127.15</v>
      </c>
      <c r="C103" s="24">
        <f t="shared" si="23"/>
        <v>0.99</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t="s">
        <v>3240</v>
      </c>
      <c r="Q103" s="24">
        <f t="shared" si="30"/>
        <v>0.65</v>
      </c>
      <c r="R103" s="669">
        <f t="shared" ca="1" si="31"/>
        <v>5770</v>
      </c>
      <c r="S103" s="322">
        <f t="shared" ca="1" si="22"/>
        <v>73</v>
      </c>
      <c r="T103" s="736">
        <f>Sheet3!G82</f>
        <v>2</v>
      </c>
      <c r="V103" s="736"/>
      <c r="W103" s="736"/>
      <c r="X103" s="736"/>
    </row>
    <row r="104" spans="1:24">
      <c r="A104" s="155"/>
      <c r="B104" s="671">
        <f>Sheet3!J83</f>
        <v>138.69999999999999</v>
      </c>
      <c r="C104" s="24">
        <f t="shared" si="23"/>
        <v>0.99</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t="s">
        <v>3297</v>
      </c>
      <c r="Q104" s="24">
        <f t="shared" si="30"/>
        <v>0.55000000000000004</v>
      </c>
      <c r="R104" s="669">
        <f t="shared" ca="1" si="31"/>
        <v>4882</v>
      </c>
      <c r="S104" s="322">
        <f t="shared" ca="1" si="22"/>
        <v>68</v>
      </c>
      <c r="T104" s="736">
        <f>Sheet3!G83</f>
        <v>3</v>
      </c>
      <c r="V104" s="736"/>
      <c r="W104" s="736"/>
      <c r="X104" s="736"/>
    </row>
    <row r="105" spans="1:24">
      <c r="A105" s="155"/>
      <c r="B105" s="671"/>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0</v>
      </c>
      <c r="R105" s="669">
        <f t="shared" si="31"/>
        <v>0</v>
      </c>
      <c r="S105" s="322">
        <f t="shared" si="22"/>
        <v>0</v>
      </c>
      <c r="T105" s="736"/>
    </row>
    <row r="106" spans="1:24">
      <c r="A106" s="155"/>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0</v>
      </c>
      <c r="R106" s="669">
        <f t="shared" si="31"/>
        <v>0</v>
      </c>
      <c r="S106" s="322">
        <f t="shared" si="22"/>
        <v>0</v>
      </c>
      <c r="T106" s="736"/>
    </row>
    <row r="107" spans="1:24">
      <c r="A107" s="155"/>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0</v>
      </c>
      <c r="R107" s="669">
        <f t="shared" si="31"/>
        <v>0</v>
      </c>
      <c r="S107" s="322">
        <f t="shared" si="22"/>
        <v>0</v>
      </c>
    </row>
    <row r="108" spans="1:24">
      <c r="A108" s="155"/>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0</v>
      </c>
      <c r="R108" s="669">
        <f t="shared" si="31"/>
        <v>0</v>
      </c>
      <c r="S108" s="322">
        <f t="shared" si="22"/>
        <v>0</v>
      </c>
    </row>
    <row r="109" spans="1:24">
      <c r="A109" s="155"/>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0</v>
      </c>
      <c r="R109" s="669">
        <f t="shared" si="31"/>
        <v>0</v>
      </c>
      <c r="S109" s="322">
        <f t="shared" si="22"/>
        <v>0</v>
      </c>
    </row>
    <row r="110" spans="1:24">
      <c r="A110" s="155"/>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0</v>
      </c>
      <c r="R110" s="669">
        <f t="shared" si="31"/>
        <v>0</v>
      </c>
      <c r="S110" s="322">
        <f t="shared" si="22"/>
        <v>0</v>
      </c>
    </row>
    <row r="111" spans="1:24">
      <c r="A111" s="155"/>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0</v>
      </c>
      <c r="R111" s="669">
        <f t="shared" si="31"/>
        <v>0</v>
      </c>
      <c r="S111" s="322">
        <f t="shared" si="22"/>
        <v>0</v>
      </c>
    </row>
    <row r="112" spans="1:24">
      <c r="A112" s="155"/>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0</v>
      </c>
      <c r="R112" s="669">
        <f t="shared" si="31"/>
        <v>0</v>
      </c>
      <c r="S112" s="322">
        <f t="shared" si="22"/>
        <v>0</v>
      </c>
    </row>
    <row r="113" spans="1:19">
      <c r="A113" s="155"/>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0</v>
      </c>
      <c r="R113" s="669">
        <f t="shared" si="31"/>
        <v>0</v>
      </c>
      <c r="S113" s="322">
        <f t="shared" si="22"/>
        <v>0</v>
      </c>
    </row>
    <row r="114" spans="1:19">
      <c r="A114" s="155"/>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0</v>
      </c>
      <c r="R114" s="669">
        <f t="shared" si="31"/>
        <v>0</v>
      </c>
      <c r="S114" s="322">
        <f t="shared" si="22"/>
        <v>0</v>
      </c>
    </row>
    <row r="115" spans="1:19">
      <c r="A115" s="155"/>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0</v>
      </c>
      <c r="R115" s="669">
        <f t="shared" si="31"/>
        <v>0</v>
      </c>
      <c r="S115" s="322">
        <f t="shared" si="22"/>
        <v>0</v>
      </c>
    </row>
    <row r="116" spans="1:19">
      <c r="A116" s="155"/>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0</v>
      </c>
      <c r="R116" s="669">
        <f t="shared" si="31"/>
        <v>0</v>
      </c>
      <c r="S116" s="322">
        <f t="shared" si="22"/>
        <v>0</v>
      </c>
    </row>
    <row r="117" spans="1:19">
      <c r="A117" s="155"/>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0</v>
      </c>
      <c r="R117" s="669">
        <f t="shared" si="31"/>
        <v>0</v>
      </c>
      <c r="S117" s="322">
        <f t="shared" si="22"/>
        <v>0</v>
      </c>
    </row>
    <row r="118" spans="1:19">
      <c r="A118" s="155"/>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0</v>
      </c>
      <c r="R118" s="669">
        <f t="shared" si="31"/>
        <v>0</v>
      </c>
      <c r="S118" s="322">
        <f t="shared" si="22"/>
        <v>0</v>
      </c>
    </row>
    <row r="119" spans="1:19">
      <c r="A119" s="155"/>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0</v>
      </c>
      <c r="R119" s="669">
        <f t="shared" si="31"/>
        <v>0</v>
      </c>
      <c r="S119" s="322">
        <f t="shared" si="22"/>
        <v>0</v>
      </c>
    </row>
    <row r="120" spans="1:19">
      <c r="A120" s="155"/>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0</v>
      </c>
      <c r="R120" s="669">
        <f t="shared" si="31"/>
        <v>0</v>
      </c>
      <c r="S120" s="322">
        <f t="shared" si="22"/>
        <v>0</v>
      </c>
    </row>
    <row r="121" spans="1:19">
      <c r="A121" s="155"/>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0</v>
      </c>
      <c r="R121" s="669">
        <f t="shared" si="31"/>
        <v>0</v>
      </c>
      <c r="S121" s="322">
        <f t="shared" si="22"/>
        <v>0</v>
      </c>
    </row>
    <row r="122" spans="1:19">
      <c r="A122" s="155"/>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0</v>
      </c>
      <c r="R122" s="669">
        <f t="shared" si="31"/>
        <v>0</v>
      </c>
      <c r="S122" s="322">
        <f t="shared" si="22"/>
        <v>0</v>
      </c>
    </row>
    <row r="123" spans="1:19">
      <c r="A123" s="155"/>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0</v>
      </c>
      <c r="R123" s="669">
        <f t="shared" si="31"/>
        <v>0</v>
      </c>
      <c r="S123" s="322">
        <f t="shared" ref="S123:S186" si="32">ROUND(R123*B123/10000,0)</f>
        <v>0</v>
      </c>
    </row>
    <row r="124" spans="1:19">
      <c r="A124" s="155"/>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0</v>
      </c>
      <c r="R124" s="669">
        <f t="shared" si="31"/>
        <v>0</v>
      </c>
      <c r="S124" s="322">
        <f t="shared" si="32"/>
        <v>0</v>
      </c>
    </row>
    <row r="125" spans="1:19">
      <c r="A125" s="155"/>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0</v>
      </c>
      <c r="R125" s="669">
        <f t="shared" si="31"/>
        <v>0</v>
      </c>
      <c r="S125" s="322">
        <f t="shared" si="32"/>
        <v>0</v>
      </c>
    </row>
    <row r="126" spans="1:19">
      <c r="A126" s="155"/>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0</v>
      </c>
      <c r="R126" s="669">
        <f t="shared" si="31"/>
        <v>0</v>
      </c>
      <c r="S126" s="322">
        <f t="shared" si="32"/>
        <v>0</v>
      </c>
    </row>
    <row r="127" spans="1:19">
      <c r="A127" s="155"/>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0</v>
      </c>
      <c r="R127" s="669">
        <f t="shared" si="31"/>
        <v>0</v>
      </c>
      <c r="S127" s="322">
        <f t="shared" si="32"/>
        <v>0</v>
      </c>
    </row>
    <row r="128" spans="1:19">
      <c r="A128" s="155"/>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0</v>
      </c>
      <c r="R128" s="669">
        <f t="shared" si="31"/>
        <v>0</v>
      </c>
      <c r="S128" s="322">
        <f t="shared" si="32"/>
        <v>0</v>
      </c>
    </row>
    <row r="129" spans="1:19">
      <c r="A129" s="155"/>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0</v>
      </c>
      <c r="R129" s="669">
        <f t="shared" si="31"/>
        <v>0</v>
      </c>
      <c r="S129" s="322">
        <f t="shared" si="32"/>
        <v>0</v>
      </c>
    </row>
    <row r="130" spans="1:19">
      <c r="A130" s="155"/>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0</v>
      </c>
      <c r="R130" s="669">
        <f t="shared" si="31"/>
        <v>0</v>
      </c>
      <c r="S130" s="322">
        <f t="shared" si="32"/>
        <v>0</v>
      </c>
    </row>
    <row r="131" spans="1:19">
      <c r="A131" s="155"/>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0</v>
      </c>
      <c r="R131" s="669">
        <f t="shared" si="31"/>
        <v>0</v>
      </c>
      <c r="S131" s="322">
        <f t="shared" si="32"/>
        <v>0</v>
      </c>
    </row>
    <row r="132" spans="1:19">
      <c r="A132" s="155"/>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0</v>
      </c>
      <c r="R132" s="669">
        <f t="shared" si="31"/>
        <v>0</v>
      </c>
      <c r="S132" s="322">
        <f t="shared" si="32"/>
        <v>0</v>
      </c>
    </row>
    <row r="133" spans="1:19">
      <c r="A133" s="155"/>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0</v>
      </c>
      <c r="R133" s="669">
        <f t="shared" si="31"/>
        <v>0</v>
      </c>
      <c r="S133" s="322">
        <f t="shared" si="32"/>
        <v>0</v>
      </c>
    </row>
    <row r="134" spans="1:19">
      <c r="A134" s="155"/>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0</v>
      </c>
      <c r="R134" s="669">
        <f t="shared" si="31"/>
        <v>0</v>
      </c>
      <c r="S134" s="322">
        <f t="shared" si="32"/>
        <v>0</v>
      </c>
    </row>
    <row r="135" spans="1:19">
      <c r="A135" s="155"/>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0</v>
      </c>
      <c r="R135" s="669">
        <f t="shared" si="31"/>
        <v>0</v>
      </c>
      <c r="S135" s="322">
        <f t="shared" si="32"/>
        <v>0</v>
      </c>
    </row>
    <row r="136" spans="1:19">
      <c r="A136" s="155"/>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0</v>
      </c>
      <c r="R136" s="669">
        <f t="shared" si="31"/>
        <v>0</v>
      </c>
      <c r="S136" s="322">
        <f t="shared" si="32"/>
        <v>0</v>
      </c>
    </row>
    <row r="137" spans="1:19">
      <c r="A137" s="155"/>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0</v>
      </c>
      <c r="R137" s="669">
        <f t="shared" si="31"/>
        <v>0</v>
      </c>
      <c r="S137" s="322">
        <f t="shared" si="32"/>
        <v>0</v>
      </c>
    </row>
    <row r="138" spans="1:19">
      <c r="A138" s="155"/>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0</v>
      </c>
      <c r="R138" s="669">
        <f t="shared" si="31"/>
        <v>0</v>
      </c>
      <c r="S138" s="322">
        <f t="shared" si="32"/>
        <v>0</v>
      </c>
    </row>
    <row r="139" spans="1:19">
      <c r="A139" s="155"/>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0</v>
      </c>
      <c r="R139" s="669">
        <f t="shared" si="31"/>
        <v>0</v>
      </c>
      <c r="S139" s="322">
        <f t="shared" si="32"/>
        <v>0</v>
      </c>
    </row>
    <row r="140" spans="1:19">
      <c r="A140" s="155"/>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0</v>
      </c>
      <c r="R140" s="669">
        <f t="shared" si="31"/>
        <v>0</v>
      </c>
      <c r="S140" s="322">
        <f t="shared" si="32"/>
        <v>0</v>
      </c>
    </row>
    <row r="141" spans="1:19">
      <c r="A141" s="155"/>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0</v>
      </c>
      <c r="R141" s="669">
        <f t="shared" si="31"/>
        <v>0</v>
      </c>
      <c r="S141" s="322">
        <f t="shared" si="32"/>
        <v>0</v>
      </c>
    </row>
    <row r="142" spans="1:19">
      <c r="A142" s="155"/>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0</v>
      </c>
      <c r="R142" s="669">
        <f t="shared" si="31"/>
        <v>0</v>
      </c>
      <c r="S142" s="322">
        <f t="shared" si="32"/>
        <v>0</v>
      </c>
    </row>
    <row r="143" spans="1:19">
      <c r="A143" s="155"/>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0</v>
      </c>
      <c r="R143" s="669">
        <f t="shared" si="31"/>
        <v>0</v>
      </c>
      <c r="S143" s="322">
        <f t="shared" si="32"/>
        <v>0</v>
      </c>
    </row>
    <row r="144" spans="1:19">
      <c r="A144" s="155"/>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0</v>
      </c>
      <c r="R144" s="669">
        <f t="shared" si="31"/>
        <v>0</v>
      </c>
      <c r="S144" s="322">
        <f t="shared" si="32"/>
        <v>0</v>
      </c>
    </row>
    <row r="145" spans="1:19">
      <c r="A145" s="155"/>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0</v>
      </c>
      <c r="R145" s="669">
        <f t="shared" si="31"/>
        <v>0</v>
      </c>
      <c r="S145" s="322">
        <f t="shared" si="32"/>
        <v>0</v>
      </c>
    </row>
    <row r="146" spans="1:19">
      <c r="A146" s="155"/>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0</v>
      </c>
      <c r="R146" s="669">
        <f t="shared" si="31"/>
        <v>0</v>
      </c>
      <c r="S146" s="322">
        <f t="shared" si="32"/>
        <v>0</v>
      </c>
    </row>
    <row r="147" spans="1:19">
      <c r="A147" s="155"/>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0</v>
      </c>
      <c r="R147" s="669">
        <f t="shared" si="31"/>
        <v>0</v>
      </c>
      <c r="S147" s="322">
        <f t="shared" si="32"/>
        <v>0</v>
      </c>
    </row>
    <row r="148" spans="1:19">
      <c r="A148" s="155"/>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0</v>
      </c>
      <c r="R148" s="669">
        <f t="shared" si="31"/>
        <v>0</v>
      </c>
      <c r="S148" s="322">
        <f t="shared" si="32"/>
        <v>0</v>
      </c>
    </row>
    <row r="149" spans="1:19">
      <c r="A149" s="155"/>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0</v>
      </c>
      <c r="R149" s="669">
        <f t="shared" si="31"/>
        <v>0</v>
      </c>
      <c r="S149" s="322">
        <f t="shared" si="32"/>
        <v>0</v>
      </c>
    </row>
    <row r="150" spans="1:19">
      <c r="A150" s="155"/>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0</v>
      </c>
      <c r="R150" s="669">
        <f t="shared" si="31"/>
        <v>0</v>
      </c>
      <c r="S150" s="322">
        <f t="shared" si="32"/>
        <v>0</v>
      </c>
    </row>
    <row r="151" spans="1:19">
      <c r="A151" s="155"/>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0</v>
      </c>
      <c r="R151" s="669">
        <f t="shared" si="31"/>
        <v>0</v>
      </c>
      <c r="S151" s="322">
        <f t="shared" si="32"/>
        <v>0</v>
      </c>
    </row>
    <row r="152" spans="1:19">
      <c r="A152" s="155"/>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0</v>
      </c>
      <c r="R152" s="669">
        <f t="shared" si="31"/>
        <v>0</v>
      </c>
      <c r="S152" s="322">
        <f t="shared" si="32"/>
        <v>0</v>
      </c>
    </row>
    <row r="153" spans="1:19">
      <c r="A153" s="155"/>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0</v>
      </c>
      <c r="R153" s="669">
        <f t="shared" si="31"/>
        <v>0</v>
      </c>
      <c r="S153" s="322">
        <f t="shared" si="32"/>
        <v>0</v>
      </c>
    </row>
    <row r="154" spans="1:19">
      <c r="A154" s="155"/>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2">
        <f t="shared" si="32"/>
        <v>0</v>
      </c>
    </row>
    <row r="155" spans="1:19">
      <c r="A155" s="155"/>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0</v>
      </c>
      <c r="R155" s="669">
        <f t="shared" si="41"/>
        <v>0</v>
      </c>
      <c r="S155" s="322">
        <f t="shared" si="32"/>
        <v>0</v>
      </c>
    </row>
    <row r="156" spans="1:19">
      <c r="A156" s="155"/>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0</v>
      </c>
      <c r="R156" s="669">
        <f t="shared" si="41"/>
        <v>0</v>
      </c>
      <c r="S156" s="322">
        <f t="shared" si="32"/>
        <v>0</v>
      </c>
    </row>
    <row r="157" spans="1:19">
      <c r="A157" s="155"/>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0</v>
      </c>
      <c r="R157" s="669">
        <f t="shared" si="41"/>
        <v>0</v>
      </c>
      <c r="S157" s="322">
        <f t="shared" si="32"/>
        <v>0</v>
      </c>
    </row>
    <row r="158" spans="1:19">
      <c r="A158" s="155"/>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0</v>
      </c>
      <c r="R158" s="669">
        <f t="shared" si="41"/>
        <v>0</v>
      </c>
      <c r="S158" s="322">
        <f t="shared" si="32"/>
        <v>0</v>
      </c>
    </row>
    <row r="159" spans="1:19">
      <c r="A159" s="155"/>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0</v>
      </c>
      <c r="R159" s="669">
        <f t="shared" si="41"/>
        <v>0</v>
      </c>
      <c r="S159" s="322">
        <f t="shared" si="32"/>
        <v>0</v>
      </c>
    </row>
    <row r="160" spans="1:19">
      <c r="A160" s="155"/>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0</v>
      </c>
      <c r="R160" s="669">
        <f t="shared" si="41"/>
        <v>0</v>
      </c>
      <c r="S160" s="322">
        <f t="shared" si="32"/>
        <v>0</v>
      </c>
    </row>
    <row r="161" spans="1:19">
      <c r="A161" s="155"/>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0</v>
      </c>
      <c r="R161" s="669">
        <f t="shared" si="41"/>
        <v>0</v>
      </c>
      <c r="S161" s="322">
        <f t="shared" si="32"/>
        <v>0</v>
      </c>
    </row>
    <row r="162" spans="1:19">
      <c r="A162" s="155"/>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0</v>
      </c>
      <c r="R162" s="669">
        <f t="shared" si="41"/>
        <v>0</v>
      </c>
      <c r="S162" s="322">
        <f t="shared" si="32"/>
        <v>0</v>
      </c>
    </row>
    <row r="163" spans="1:19">
      <c r="A163" s="155"/>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0</v>
      </c>
      <c r="R163" s="669">
        <f t="shared" si="41"/>
        <v>0</v>
      </c>
      <c r="S163" s="322">
        <f t="shared" si="32"/>
        <v>0</v>
      </c>
    </row>
    <row r="164" spans="1:19">
      <c r="A164" s="155"/>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0</v>
      </c>
      <c r="R164" s="669">
        <f t="shared" si="41"/>
        <v>0</v>
      </c>
      <c r="S164" s="322">
        <f t="shared" si="32"/>
        <v>0</v>
      </c>
    </row>
    <row r="165" spans="1:19">
      <c r="A165" s="155"/>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0</v>
      </c>
      <c r="R165" s="669">
        <f t="shared" si="41"/>
        <v>0</v>
      </c>
      <c r="S165" s="322">
        <f t="shared" si="32"/>
        <v>0</v>
      </c>
    </row>
    <row r="166" spans="1:19">
      <c r="A166" s="155"/>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0</v>
      </c>
      <c r="R166" s="669">
        <f t="shared" si="41"/>
        <v>0</v>
      </c>
      <c r="S166" s="322">
        <f t="shared" si="32"/>
        <v>0</v>
      </c>
    </row>
    <row r="167" spans="1:19">
      <c r="A167" s="155"/>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0</v>
      </c>
      <c r="R167" s="669">
        <f t="shared" si="41"/>
        <v>0</v>
      </c>
      <c r="S167" s="322">
        <f t="shared" si="32"/>
        <v>0</v>
      </c>
    </row>
    <row r="168" spans="1:19">
      <c r="A168" s="155"/>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0</v>
      </c>
      <c r="R168" s="669">
        <f t="shared" si="41"/>
        <v>0</v>
      </c>
      <c r="S168" s="322">
        <f t="shared" si="32"/>
        <v>0</v>
      </c>
    </row>
    <row r="169" spans="1:19">
      <c r="A169" s="155"/>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0</v>
      </c>
      <c r="R169" s="669">
        <f t="shared" si="41"/>
        <v>0</v>
      </c>
      <c r="S169" s="322">
        <f t="shared" si="32"/>
        <v>0</v>
      </c>
    </row>
    <row r="170" spans="1:19">
      <c r="A170" s="155"/>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0</v>
      </c>
      <c r="R170" s="669">
        <f t="shared" si="41"/>
        <v>0</v>
      </c>
      <c r="S170" s="322">
        <f t="shared" si="32"/>
        <v>0</v>
      </c>
    </row>
    <row r="171" spans="1:19">
      <c r="A171" s="155"/>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0</v>
      </c>
      <c r="R171" s="669">
        <f t="shared" si="41"/>
        <v>0</v>
      </c>
      <c r="S171" s="322">
        <f t="shared" si="32"/>
        <v>0</v>
      </c>
    </row>
    <row r="172" spans="1:19">
      <c r="A172" s="155"/>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0</v>
      </c>
      <c r="R172" s="669">
        <f t="shared" si="41"/>
        <v>0</v>
      </c>
      <c r="S172" s="322">
        <f t="shared" si="32"/>
        <v>0</v>
      </c>
    </row>
    <row r="173" spans="1:19">
      <c r="A173" s="155"/>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0</v>
      </c>
      <c r="R173" s="669">
        <f t="shared" si="41"/>
        <v>0</v>
      </c>
      <c r="S173" s="322">
        <f t="shared" si="32"/>
        <v>0</v>
      </c>
    </row>
    <row r="174" spans="1:19">
      <c r="A174" s="155"/>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0</v>
      </c>
      <c r="R174" s="669">
        <f t="shared" si="41"/>
        <v>0</v>
      </c>
      <c r="S174" s="322">
        <f t="shared" si="32"/>
        <v>0</v>
      </c>
    </row>
    <row r="175" spans="1:19">
      <c r="A175" s="155"/>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0</v>
      </c>
      <c r="R175" s="669">
        <f t="shared" si="41"/>
        <v>0</v>
      </c>
      <c r="S175" s="322">
        <f t="shared" si="32"/>
        <v>0</v>
      </c>
    </row>
    <row r="176" spans="1:19">
      <c r="A176" s="155"/>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0</v>
      </c>
      <c r="R176" s="669">
        <f t="shared" si="41"/>
        <v>0</v>
      </c>
      <c r="S176" s="322">
        <f t="shared" si="32"/>
        <v>0</v>
      </c>
    </row>
    <row r="177" spans="1:19">
      <c r="A177" s="155"/>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0</v>
      </c>
      <c r="R177" s="669">
        <f t="shared" si="41"/>
        <v>0</v>
      </c>
      <c r="S177" s="322">
        <f t="shared" si="32"/>
        <v>0</v>
      </c>
    </row>
    <row r="178" spans="1:19">
      <c r="A178" s="155"/>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0</v>
      </c>
      <c r="R178" s="669">
        <f t="shared" si="41"/>
        <v>0</v>
      </c>
      <c r="S178" s="322">
        <f t="shared" si="32"/>
        <v>0</v>
      </c>
    </row>
    <row r="179" spans="1:19">
      <c r="A179" s="155"/>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0</v>
      </c>
      <c r="R179" s="669">
        <f t="shared" si="41"/>
        <v>0</v>
      </c>
      <c r="S179" s="322">
        <f t="shared" si="32"/>
        <v>0</v>
      </c>
    </row>
    <row r="180" spans="1:19">
      <c r="A180" s="155"/>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0</v>
      </c>
      <c r="R180" s="669">
        <f t="shared" si="41"/>
        <v>0</v>
      </c>
      <c r="S180" s="322">
        <f t="shared" si="32"/>
        <v>0</v>
      </c>
    </row>
    <row r="181" spans="1:19">
      <c r="A181" s="155"/>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0</v>
      </c>
      <c r="R181" s="669">
        <f t="shared" si="41"/>
        <v>0</v>
      </c>
      <c r="S181" s="322">
        <f t="shared" si="32"/>
        <v>0</v>
      </c>
    </row>
    <row r="182" spans="1:19">
      <c r="A182" s="155"/>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0</v>
      </c>
      <c r="R182" s="669">
        <f t="shared" si="41"/>
        <v>0</v>
      </c>
      <c r="S182" s="322">
        <f t="shared" si="32"/>
        <v>0</v>
      </c>
    </row>
    <row r="183" spans="1:19">
      <c r="A183" s="155"/>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0</v>
      </c>
      <c r="R183" s="669">
        <f t="shared" si="41"/>
        <v>0</v>
      </c>
      <c r="S183" s="322">
        <f t="shared" si="32"/>
        <v>0</v>
      </c>
    </row>
    <row r="184" spans="1:19">
      <c r="A184" s="155"/>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0</v>
      </c>
      <c r="R184" s="669">
        <f t="shared" si="41"/>
        <v>0</v>
      </c>
      <c r="S184" s="322">
        <f t="shared" si="32"/>
        <v>0</v>
      </c>
    </row>
    <row r="185" spans="1:19">
      <c r="A185" s="155"/>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0</v>
      </c>
      <c r="R185" s="669">
        <f t="shared" si="41"/>
        <v>0</v>
      </c>
      <c r="S185" s="322">
        <f t="shared" si="32"/>
        <v>0</v>
      </c>
    </row>
    <row r="186" spans="1:19">
      <c r="A186" s="155"/>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0</v>
      </c>
      <c r="R186" s="669">
        <f t="shared" si="41"/>
        <v>0</v>
      </c>
      <c r="S186" s="322">
        <f t="shared" si="32"/>
        <v>0</v>
      </c>
    </row>
    <row r="187" spans="1:19">
      <c r="A187" s="155"/>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0</v>
      </c>
      <c r="R187" s="669">
        <f t="shared" si="41"/>
        <v>0</v>
      </c>
      <c r="S187" s="322">
        <f t="shared" ref="S187:S222" si="42">ROUND(R187*B187/10000,0)</f>
        <v>0</v>
      </c>
    </row>
    <row r="188" spans="1:19">
      <c r="A188" s="155"/>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0</v>
      </c>
      <c r="R188" s="669">
        <f t="shared" si="41"/>
        <v>0</v>
      </c>
      <c r="S188" s="322">
        <f t="shared" si="42"/>
        <v>0</v>
      </c>
    </row>
    <row r="189" spans="1:19">
      <c r="A189" s="155"/>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0</v>
      </c>
      <c r="R189" s="669">
        <f t="shared" si="41"/>
        <v>0</v>
      </c>
      <c r="S189" s="322">
        <f t="shared" si="42"/>
        <v>0</v>
      </c>
    </row>
    <row r="190" spans="1:19">
      <c r="A190" s="155"/>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0</v>
      </c>
      <c r="R190" s="669">
        <f t="shared" si="41"/>
        <v>0</v>
      </c>
      <c r="S190" s="322">
        <f t="shared" si="42"/>
        <v>0</v>
      </c>
    </row>
    <row r="191" spans="1:19">
      <c r="A191" s="155"/>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0</v>
      </c>
      <c r="R191" s="669">
        <f t="shared" si="41"/>
        <v>0</v>
      </c>
      <c r="S191" s="322">
        <f t="shared" si="42"/>
        <v>0</v>
      </c>
    </row>
    <row r="192" spans="1:19">
      <c r="A192" s="155"/>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0</v>
      </c>
      <c r="R192" s="669">
        <f t="shared" si="41"/>
        <v>0</v>
      </c>
      <c r="S192" s="322">
        <f t="shared" si="42"/>
        <v>0</v>
      </c>
    </row>
    <row r="193" spans="1:19">
      <c r="A193" s="155"/>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0</v>
      </c>
      <c r="R193" s="669">
        <f t="shared" si="41"/>
        <v>0</v>
      </c>
      <c r="S193" s="322">
        <f t="shared" si="42"/>
        <v>0</v>
      </c>
    </row>
    <row r="194" spans="1:19">
      <c r="A194" s="155"/>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0</v>
      </c>
      <c r="R194" s="669">
        <f t="shared" si="41"/>
        <v>0</v>
      </c>
      <c r="S194" s="322">
        <f t="shared" si="42"/>
        <v>0</v>
      </c>
    </row>
    <row r="195" spans="1:19">
      <c r="A195" s="155"/>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0</v>
      </c>
      <c r="R195" s="669">
        <f t="shared" si="41"/>
        <v>0</v>
      </c>
      <c r="S195" s="322">
        <f t="shared" si="42"/>
        <v>0</v>
      </c>
    </row>
    <row r="196" spans="1:19">
      <c r="A196" s="155"/>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0</v>
      </c>
      <c r="R196" s="669">
        <f t="shared" si="41"/>
        <v>0</v>
      </c>
      <c r="S196" s="322">
        <f t="shared" si="42"/>
        <v>0</v>
      </c>
    </row>
    <row r="197" spans="1:19">
      <c r="A197" s="155"/>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0</v>
      </c>
      <c r="R197" s="669">
        <f t="shared" si="41"/>
        <v>0</v>
      </c>
      <c r="S197" s="322">
        <f t="shared" si="42"/>
        <v>0</v>
      </c>
    </row>
    <row r="198" spans="1:19">
      <c r="A198" s="155"/>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0</v>
      </c>
      <c r="R198" s="669">
        <f t="shared" si="41"/>
        <v>0</v>
      </c>
      <c r="S198" s="322">
        <f t="shared" si="42"/>
        <v>0</v>
      </c>
    </row>
    <row r="199" spans="1:19">
      <c r="A199" s="155"/>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0</v>
      </c>
      <c r="R199" s="669">
        <f t="shared" si="41"/>
        <v>0</v>
      </c>
      <c r="S199" s="322">
        <f t="shared" si="42"/>
        <v>0</v>
      </c>
    </row>
    <row r="200" spans="1:19">
      <c r="A200" s="155"/>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0</v>
      </c>
      <c r="R200" s="669">
        <f t="shared" si="41"/>
        <v>0</v>
      </c>
      <c r="S200" s="322">
        <f t="shared" si="42"/>
        <v>0</v>
      </c>
    </row>
    <row r="201" spans="1:19">
      <c r="A201" s="155"/>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0</v>
      </c>
      <c r="R201" s="669">
        <f t="shared" si="41"/>
        <v>0</v>
      </c>
      <c r="S201" s="322">
        <f t="shared" si="42"/>
        <v>0</v>
      </c>
    </row>
    <row r="202" spans="1:19">
      <c r="A202" s="155"/>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0</v>
      </c>
      <c r="R202" s="669">
        <f t="shared" si="41"/>
        <v>0</v>
      </c>
      <c r="S202" s="322">
        <f t="shared" si="42"/>
        <v>0</v>
      </c>
    </row>
    <row r="203" spans="1:19">
      <c r="A203" s="155"/>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0</v>
      </c>
      <c r="R203" s="669">
        <f t="shared" si="41"/>
        <v>0</v>
      </c>
      <c r="S203" s="322">
        <f t="shared" si="42"/>
        <v>0</v>
      </c>
    </row>
    <row r="204" spans="1:19">
      <c r="A204" s="155"/>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0</v>
      </c>
      <c r="R204" s="669">
        <f t="shared" si="41"/>
        <v>0</v>
      </c>
      <c r="S204" s="322">
        <f t="shared" si="42"/>
        <v>0</v>
      </c>
    </row>
    <row r="205" spans="1:19">
      <c r="A205" s="155"/>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0</v>
      </c>
      <c r="R205" s="669">
        <f t="shared" si="41"/>
        <v>0</v>
      </c>
      <c r="S205" s="322">
        <f t="shared" si="42"/>
        <v>0</v>
      </c>
    </row>
    <row r="206" spans="1:19">
      <c r="A206" s="155"/>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0</v>
      </c>
      <c r="R206" s="669">
        <f t="shared" si="41"/>
        <v>0</v>
      </c>
      <c r="S206" s="322">
        <f t="shared" si="42"/>
        <v>0</v>
      </c>
    </row>
    <row r="207" spans="1:19">
      <c r="A207" s="155"/>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0</v>
      </c>
      <c r="R207" s="669">
        <f t="shared" si="41"/>
        <v>0</v>
      </c>
      <c r="S207" s="322">
        <f t="shared" si="42"/>
        <v>0</v>
      </c>
    </row>
    <row r="208" spans="1:19">
      <c r="A208" s="155"/>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0</v>
      </c>
      <c r="R208" s="669">
        <f t="shared" si="41"/>
        <v>0</v>
      </c>
      <c r="S208" s="322">
        <f t="shared" si="42"/>
        <v>0</v>
      </c>
    </row>
    <row r="209" spans="1:19">
      <c r="A209" s="155"/>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0</v>
      </c>
      <c r="R209" s="669">
        <f t="shared" si="41"/>
        <v>0</v>
      </c>
      <c r="S209" s="322">
        <f t="shared" si="42"/>
        <v>0</v>
      </c>
    </row>
    <row r="210" spans="1:19">
      <c r="A210" s="155"/>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0</v>
      </c>
      <c r="R210" s="669">
        <f t="shared" si="41"/>
        <v>0</v>
      </c>
      <c r="S210" s="322">
        <f t="shared" si="42"/>
        <v>0</v>
      </c>
    </row>
    <row r="211" spans="1:19">
      <c r="A211" s="155"/>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0</v>
      </c>
      <c r="R211" s="669">
        <f t="shared" si="41"/>
        <v>0</v>
      </c>
      <c r="S211" s="322">
        <f t="shared" si="42"/>
        <v>0</v>
      </c>
    </row>
    <row r="212" spans="1:19">
      <c r="A212" s="155"/>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0</v>
      </c>
      <c r="R212" s="669">
        <f t="shared" si="41"/>
        <v>0</v>
      </c>
      <c r="S212" s="322">
        <f t="shared" si="42"/>
        <v>0</v>
      </c>
    </row>
    <row r="213" spans="1:19">
      <c r="A213" s="155"/>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0</v>
      </c>
      <c r="R213" s="669">
        <f t="shared" si="41"/>
        <v>0</v>
      </c>
      <c r="S213" s="322">
        <f t="shared" si="42"/>
        <v>0</v>
      </c>
    </row>
    <row r="214" spans="1:19">
      <c r="A214" s="155"/>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0</v>
      </c>
      <c r="R214" s="669">
        <f t="shared" si="41"/>
        <v>0</v>
      </c>
      <c r="S214" s="322">
        <f t="shared" si="42"/>
        <v>0</v>
      </c>
    </row>
    <row r="215" spans="1:19">
      <c r="A215" s="155"/>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0</v>
      </c>
      <c r="R215" s="669">
        <f t="shared" si="41"/>
        <v>0</v>
      </c>
      <c r="S215" s="322">
        <f t="shared" si="42"/>
        <v>0</v>
      </c>
    </row>
    <row r="216" spans="1:19">
      <c r="A216" s="155"/>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0</v>
      </c>
      <c r="R216" s="669">
        <f t="shared" si="41"/>
        <v>0</v>
      </c>
      <c r="S216" s="322">
        <f t="shared" si="42"/>
        <v>0</v>
      </c>
    </row>
    <row r="217" spans="1:19">
      <c r="A217" s="155"/>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0</v>
      </c>
      <c r="R217" s="669">
        <f t="shared" si="41"/>
        <v>0</v>
      </c>
      <c r="S217" s="322">
        <f t="shared" si="42"/>
        <v>0</v>
      </c>
    </row>
    <row r="218" spans="1:19">
      <c r="A218" s="155"/>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2">
        <f t="shared" si="42"/>
        <v>0</v>
      </c>
    </row>
    <row r="219" spans="1:19">
      <c r="A219" s="155"/>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0</v>
      </c>
      <c r="R219" s="669">
        <f t="shared" si="51"/>
        <v>0</v>
      </c>
      <c r="S219" s="322">
        <f t="shared" si="42"/>
        <v>0</v>
      </c>
    </row>
    <row r="220" spans="1:19">
      <c r="A220" s="155"/>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0</v>
      </c>
      <c r="R220" s="669">
        <f t="shared" si="51"/>
        <v>0</v>
      </c>
      <c r="S220" s="322">
        <f t="shared" si="42"/>
        <v>0</v>
      </c>
    </row>
    <row r="221" spans="1:19">
      <c r="A221" s="155"/>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0</v>
      </c>
      <c r="R221" s="669">
        <f t="shared" si="51"/>
        <v>0</v>
      </c>
      <c r="S221" s="322">
        <f t="shared" si="42"/>
        <v>0</v>
      </c>
    </row>
    <row r="222" spans="1:19">
      <c r="A222" s="155"/>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0</v>
      </c>
      <c r="R222" s="669">
        <f t="shared" si="51"/>
        <v>0</v>
      </c>
      <c r="S222" s="322">
        <f t="shared" si="42"/>
        <v>0</v>
      </c>
    </row>
    <row r="223" spans="1:19">
      <c r="A223" s="155"/>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0</v>
      </c>
      <c r="R223" s="669">
        <f t="shared" si="51"/>
        <v>0</v>
      </c>
      <c r="S223" s="322">
        <f t="shared" ref="S223:S286" si="52">ROUND(R223*B223/10000,0)</f>
        <v>0</v>
      </c>
    </row>
    <row r="224" spans="1:19">
      <c r="A224" s="155"/>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0</v>
      </c>
      <c r="R224" s="669">
        <f t="shared" si="51"/>
        <v>0</v>
      </c>
      <c r="S224" s="322">
        <f t="shared" si="52"/>
        <v>0</v>
      </c>
    </row>
    <row r="225" spans="1:19">
      <c r="A225" s="155"/>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0</v>
      </c>
      <c r="R225" s="669">
        <f t="shared" si="51"/>
        <v>0</v>
      </c>
      <c r="S225" s="322">
        <f t="shared" si="52"/>
        <v>0</v>
      </c>
    </row>
    <row r="226" spans="1:19">
      <c r="A226" s="155"/>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0</v>
      </c>
      <c r="R226" s="669">
        <f t="shared" si="51"/>
        <v>0</v>
      </c>
      <c r="S226" s="322">
        <f t="shared" si="52"/>
        <v>0</v>
      </c>
    </row>
    <row r="227" spans="1:19">
      <c r="A227" s="155"/>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0</v>
      </c>
      <c r="R227" s="669">
        <f t="shared" si="51"/>
        <v>0</v>
      </c>
      <c r="S227" s="322">
        <f t="shared" si="52"/>
        <v>0</v>
      </c>
    </row>
    <row r="228" spans="1:19">
      <c r="A228" s="155"/>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0</v>
      </c>
      <c r="R228" s="669">
        <f t="shared" si="51"/>
        <v>0</v>
      </c>
      <c r="S228" s="322">
        <f t="shared" si="52"/>
        <v>0</v>
      </c>
    </row>
    <row r="229" spans="1:19">
      <c r="A229" s="155"/>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0</v>
      </c>
      <c r="R229" s="669">
        <f t="shared" si="51"/>
        <v>0</v>
      </c>
      <c r="S229" s="322">
        <f t="shared" si="52"/>
        <v>0</v>
      </c>
    </row>
    <row r="230" spans="1:19">
      <c r="A230" s="155"/>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0</v>
      </c>
      <c r="R230" s="669">
        <f t="shared" si="51"/>
        <v>0</v>
      </c>
      <c r="S230" s="322">
        <f t="shared" si="52"/>
        <v>0</v>
      </c>
    </row>
    <row r="231" spans="1:19">
      <c r="A231" s="155"/>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0</v>
      </c>
      <c r="R231" s="669">
        <f t="shared" si="51"/>
        <v>0</v>
      </c>
      <c r="S231" s="322">
        <f t="shared" si="52"/>
        <v>0</v>
      </c>
    </row>
    <row r="232" spans="1:19">
      <c r="A232" s="155"/>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0</v>
      </c>
      <c r="R232" s="669">
        <f t="shared" si="51"/>
        <v>0</v>
      </c>
      <c r="S232" s="322">
        <f t="shared" si="52"/>
        <v>0</v>
      </c>
    </row>
    <row r="233" spans="1:19">
      <c r="A233" s="155"/>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0</v>
      </c>
      <c r="R233" s="669">
        <f t="shared" si="51"/>
        <v>0</v>
      </c>
      <c r="S233" s="322">
        <f t="shared" si="52"/>
        <v>0</v>
      </c>
    </row>
    <row r="234" spans="1:19">
      <c r="A234" s="155"/>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0</v>
      </c>
      <c r="R234" s="669">
        <f t="shared" si="51"/>
        <v>0</v>
      </c>
      <c r="S234" s="322">
        <f t="shared" si="52"/>
        <v>0</v>
      </c>
    </row>
    <row r="235" spans="1:19">
      <c r="A235" s="155"/>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0</v>
      </c>
      <c r="R235" s="669">
        <f t="shared" si="51"/>
        <v>0</v>
      </c>
      <c r="S235" s="322">
        <f t="shared" si="52"/>
        <v>0</v>
      </c>
    </row>
    <row r="236" spans="1:19">
      <c r="A236" s="155"/>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0</v>
      </c>
      <c r="R236" s="669">
        <f t="shared" si="51"/>
        <v>0</v>
      </c>
      <c r="S236" s="322">
        <f t="shared" si="52"/>
        <v>0</v>
      </c>
    </row>
    <row r="237" spans="1:19">
      <c r="A237" s="155"/>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0</v>
      </c>
      <c r="R237" s="669">
        <f t="shared" si="51"/>
        <v>0</v>
      </c>
      <c r="S237" s="322">
        <f t="shared" si="52"/>
        <v>0</v>
      </c>
    </row>
    <row r="238" spans="1:19">
      <c r="A238" s="155"/>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0</v>
      </c>
      <c r="R238" s="669">
        <f t="shared" si="51"/>
        <v>0</v>
      </c>
      <c r="S238" s="322">
        <f t="shared" si="52"/>
        <v>0</v>
      </c>
    </row>
    <row r="239" spans="1:19">
      <c r="A239" s="155"/>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0</v>
      </c>
      <c r="R239" s="669">
        <f t="shared" si="51"/>
        <v>0</v>
      </c>
      <c r="S239" s="322">
        <f t="shared" si="52"/>
        <v>0</v>
      </c>
    </row>
    <row r="240" spans="1:19">
      <c r="A240" s="155"/>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0</v>
      </c>
      <c r="R240" s="669">
        <f t="shared" si="51"/>
        <v>0</v>
      </c>
      <c r="S240" s="322">
        <f t="shared" si="52"/>
        <v>0</v>
      </c>
    </row>
    <row r="241" spans="1:19">
      <c r="A241" s="155"/>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0</v>
      </c>
      <c r="R241" s="669">
        <f t="shared" si="51"/>
        <v>0</v>
      </c>
      <c r="S241" s="322">
        <f t="shared" si="52"/>
        <v>0</v>
      </c>
    </row>
    <row r="242" spans="1:19">
      <c r="A242" s="155"/>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0</v>
      </c>
      <c r="R242" s="669">
        <f t="shared" si="51"/>
        <v>0</v>
      </c>
      <c r="S242" s="322">
        <f t="shared" si="52"/>
        <v>0</v>
      </c>
    </row>
    <row r="243" spans="1:19">
      <c r="A243" s="155"/>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0</v>
      </c>
      <c r="R243" s="669">
        <f t="shared" si="51"/>
        <v>0</v>
      </c>
      <c r="S243" s="322">
        <f t="shared" si="52"/>
        <v>0</v>
      </c>
    </row>
    <row r="244" spans="1:19">
      <c r="A244" s="155"/>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0</v>
      </c>
      <c r="R244" s="669">
        <f t="shared" si="51"/>
        <v>0</v>
      </c>
      <c r="S244" s="322">
        <f t="shared" si="52"/>
        <v>0</v>
      </c>
    </row>
    <row r="245" spans="1:19">
      <c r="A245" s="155"/>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0</v>
      </c>
      <c r="R245" s="669">
        <f t="shared" si="51"/>
        <v>0</v>
      </c>
      <c r="S245" s="322">
        <f t="shared" si="52"/>
        <v>0</v>
      </c>
    </row>
    <row r="246" spans="1:19">
      <c r="A246" s="155"/>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0</v>
      </c>
      <c r="R246" s="669">
        <f t="shared" si="51"/>
        <v>0</v>
      </c>
      <c r="S246" s="322">
        <f t="shared" si="52"/>
        <v>0</v>
      </c>
    </row>
    <row r="247" spans="1:19">
      <c r="A247" s="155"/>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0</v>
      </c>
      <c r="R247" s="669">
        <f t="shared" si="51"/>
        <v>0</v>
      </c>
      <c r="S247" s="322">
        <f t="shared" si="52"/>
        <v>0</v>
      </c>
    </row>
    <row r="248" spans="1:19">
      <c r="A248" s="155"/>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0</v>
      </c>
      <c r="R248" s="669">
        <f t="shared" si="51"/>
        <v>0</v>
      </c>
      <c r="S248" s="322">
        <f t="shared" si="52"/>
        <v>0</v>
      </c>
    </row>
    <row r="249" spans="1:19">
      <c r="A249" s="155"/>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0</v>
      </c>
      <c r="R249" s="669">
        <f t="shared" si="51"/>
        <v>0</v>
      </c>
      <c r="S249" s="322">
        <f t="shared" si="52"/>
        <v>0</v>
      </c>
    </row>
    <row r="250" spans="1:19">
      <c r="A250" s="155"/>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0</v>
      </c>
      <c r="R250" s="669">
        <f t="shared" si="51"/>
        <v>0</v>
      </c>
      <c r="S250" s="322">
        <f t="shared" si="52"/>
        <v>0</v>
      </c>
    </row>
    <row r="251" spans="1:19">
      <c r="A251" s="155"/>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0</v>
      </c>
      <c r="R251" s="669">
        <f t="shared" si="51"/>
        <v>0</v>
      </c>
      <c r="S251" s="322">
        <f t="shared" si="52"/>
        <v>0</v>
      </c>
    </row>
    <row r="252" spans="1:19">
      <c r="A252" s="155"/>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0</v>
      </c>
      <c r="R252" s="669">
        <f t="shared" si="51"/>
        <v>0</v>
      </c>
      <c r="S252" s="322">
        <f t="shared" si="52"/>
        <v>0</v>
      </c>
    </row>
    <row r="253" spans="1:19">
      <c r="A253" s="155"/>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0</v>
      </c>
      <c r="R253" s="669">
        <f t="shared" si="51"/>
        <v>0</v>
      </c>
      <c r="S253" s="322">
        <f t="shared" si="52"/>
        <v>0</v>
      </c>
    </row>
    <row r="254" spans="1:19">
      <c r="A254" s="155"/>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0</v>
      </c>
      <c r="R254" s="669">
        <f t="shared" si="51"/>
        <v>0</v>
      </c>
      <c r="S254" s="322">
        <f t="shared" si="52"/>
        <v>0</v>
      </c>
    </row>
    <row r="255" spans="1:19">
      <c r="A255" s="155"/>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0</v>
      </c>
      <c r="R255" s="669">
        <f t="shared" si="51"/>
        <v>0</v>
      </c>
      <c r="S255" s="322">
        <f t="shared" si="52"/>
        <v>0</v>
      </c>
    </row>
    <row r="256" spans="1:19">
      <c r="A256" s="155"/>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0</v>
      </c>
      <c r="R256" s="669">
        <f t="shared" si="51"/>
        <v>0</v>
      </c>
      <c r="S256" s="322">
        <f t="shared" si="52"/>
        <v>0</v>
      </c>
    </row>
    <row r="257" spans="1:19">
      <c r="A257" s="155"/>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0</v>
      </c>
      <c r="R257" s="669">
        <f t="shared" si="51"/>
        <v>0</v>
      </c>
      <c r="S257" s="322">
        <f t="shared" si="52"/>
        <v>0</v>
      </c>
    </row>
    <row r="258" spans="1:19">
      <c r="A258" s="155"/>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0</v>
      </c>
      <c r="R258" s="669">
        <f t="shared" si="51"/>
        <v>0</v>
      </c>
      <c r="S258" s="322">
        <f t="shared" si="52"/>
        <v>0</v>
      </c>
    </row>
    <row r="259" spans="1:19">
      <c r="A259" s="155"/>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0</v>
      </c>
      <c r="R259" s="669">
        <f t="shared" si="51"/>
        <v>0</v>
      </c>
      <c r="S259" s="322">
        <f t="shared" si="52"/>
        <v>0</v>
      </c>
    </row>
    <row r="260" spans="1:19">
      <c r="A260" s="155"/>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0</v>
      </c>
      <c r="R260" s="669">
        <f t="shared" si="51"/>
        <v>0</v>
      </c>
      <c r="S260" s="322">
        <f t="shared" si="52"/>
        <v>0</v>
      </c>
    </row>
    <row r="261" spans="1:19">
      <c r="A261" s="155"/>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0</v>
      </c>
      <c r="R261" s="669">
        <f t="shared" si="51"/>
        <v>0</v>
      </c>
      <c r="S261" s="322">
        <f t="shared" si="52"/>
        <v>0</v>
      </c>
    </row>
    <row r="262" spans="1:19">
      <c r="A262" s="155"/>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0</v>
      </c>
      <c r="R262" s="669">
        <f t="shared" si="51"/>
        <v>0</v>
      </c>
      <c r="S262" s="322">
        <f t="shared" si="52"/>
        <v>0</v>
      </c>
    </row>
    <row r="263" spans="1:19">
      <c r="A263" s="155"/>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0</v>
      </c>
      <c r="R263" s="669">
        <f t="shared" si="51"/>
        <v>0</v>
      </c>
      <c r="S263" s="322">
        <f t="shared" si="52"/>
        <v>0</v>
      </c>
    </row>
    <row r="264" spans="1:19">
      <c r="A264" s="155"/>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0</v>
      </c>
      <c r="R264" s="669">
        <f t="shared" si="51"/>
        <v>0</v>
      </c>
      <c r="S264" s="322">
        <f t="shared" si="52"/>
        <v>0</v>
      </c>
    </row>
    <row r="265" spans="1:19">
      <c r="A265" s="155"/>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0</v>
      </c>
      <c r="R265" s="669">
        <f t="shared" si="51"/>
        <v>0</v>
      </c>
      <c r="S265" s="322">
        <f t="shared" si="52"/>
        <v>0</v>
      </c>
    </row>
    <row r="266" spans="1:19">
      <c r="A266" s="155"/>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0</v>
      </c>
      <c r="R266" s="669">
        <f t="shared" si="51"/>
        <v>0</v>
      </c>
      <c r="S266" s="322">
        <f t="shared" si="52"/>
        <v>0</v>
      </c>
    </row>
    <row r="267" spans="1:19">
      <c r="A267" s="155"/>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0</v>
      </c>
      <c r="R267" s="669">
        <f t="shared" si="51"/>
        <v>0</v>
      </c>
      <c r="S267" s="322">
        <f t="shared" si="52"/>
        <v>0</v>
      </c>
    </row>
    <row r="268" spans="1:19">
      <c r="A268" s="155"/>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0</v>
      </c>
      <c r="R268" s="669">
        <f t="shared" si="51"/>
        <v>0</v>
      </c>
      <c r="S268" s="322">
        <f t="shared" si="52"/>
        <v>0</v>
      </c>
    </row>
    <row r="269" spans="1:19">
      <c r="A269" s="155"/>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0</v>
      </c>
      <c r="R269" s="669">
        <f t="shared" si="51"/>
        <v>0</v>
      </c>
      <c r="S269" s="322">
        <f t="shared" si="52"/>
        <v>0</v>
      </c>
    </row>
    <row r="270" spans="1:19">
      <c r="A270" s="155"/>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0</v>
      </c>
      <c r="R270" s="669">
        <f t="shared" si="51"/>
        <v>0</v>
      </c>
      <c r="S270" s="322">
        <f t="shared" si="52"/>
        <v>0</v>
      </c>
    </row>
    <row r="271" spans="1:19">
      <c r="A271" s="155"/>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0</v>
      </c>
      <c r="R271" s="669">
        <f t="shared" si="51"/>
        <v>0</v>
      </c>
      <c r="S271" s="322">
        <f t="shared" si="52"/>
        <v>0</v>
      </c>
    </row>
    <row r="272" spans="1:19">
      <c r="A272" s="155"/>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0</v>
      </c>
      <c r="R272" s="669">
        <f t="shared" si="51"/>
        <v>0</v>
      </c>
      <c r="S272" s="322">
        <f t="shared" si="52"/>
        <v>0</v>
      </c>
    </row>
    <row r="273" spans="1:19">
      <c r="A273" s="155"/>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0</v>
      </c>
      <c r="R273" s="669">
        <f t="shared" si="51"/>
        <v>0</v>
      </c>
      <c r="S273" s="322">
        <f t="shared" si="52"/>
        <v>0</v>
      </c>
    </row>
    <row r="274" spans="1:19">
      <c r="A274" s="155"/>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0</v>
      </c>
      <c r="R274" s="669">
        <f t="shared" si="51"/>
        <v>0</v>
      </c>
      <c r="S274" s="322">
        <f t="shared" si="52"/>
        <v>0</v>
      </c>
    </row>
    <row r="275" spans="1:19">
      <c r="A275" s="155"/>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0</v>
      </c>
      <c r="R275" s="669">
        <f t="shared" si="51"/>
        <v>0</v>
      </c>
      <c r="S275" s="322">
        <f t="shared" si="52"/>
        <v>0</v>
      </c>
    </row>
    <row r="276" spans="1:19">
      <c r="A276" s="155"/>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0</v>
      </c>
      <c r="R276" s="669">
        <f t="shared" si="51"/>
        <v>0</v>
      </c>
      <c r="S276" s="322">
        <f t="shared" si="52"/>
        <v>0</v>
      </c>
    </row>
    <row r="277" spans="1:19">
      <c r="A277" s="155"/>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0</v>
      </c>
      <c r="R277" s="669">
        <f t="shared" si="51"/>
        <v>0</v>
      </c>
      <c r="S277" s="322">
        <f t="shared" si="52"/>
        <v>0</v>
      </c>
    </row>
    <row r="278" spans="1:19">
      <c r="A278" s="155"/>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0</v>
      </c>
      <c r="R278" s="669">
        <f t="shared" si="51"/>
        <v>0</v>
      </c>
      <c r="S278" s="322">
        <f t="shared" si="52"/>
        <v>0</v>
      </c>
    </row>
    <row r="279" spans="1:19">
      <c r="A279" s="155"/>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0</v>
      </c>
      <c r="R279" s="669">
        <f t="shared" si="51"/>
        <v>0</v>
      </c>
      <c r="S279" s="322">
        <f t="shared" si="52"/>
        <v>0</v>
      </c>
    </row>
    <row r="280" spans="1:19">
      <c r="A280" s="155"/>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0</v>
      </c>
      <c r="R280" s="669">
        <f t="shared" si="51"/>
        <v>0</v>
      </c>
      <c r="S280" s="322">
        <f t="shared" si="52"/>
        <v>0</v>
      </c>
    </row>
    <row r="281" spans="1:19">
      <c r="A281" s="155"/>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0</v>
      </c>
      <c r="R281" s="669">
        <f t="shared" si="51"/>
        <v>0</v>
      </c>
      <c r="S281" s="322">
        <f t="shared" si="52"/>
        <v>0</v>
      </c>
    </row>
    <row r="282" spans="1:19">
      <c r="A282" s="155"/>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2">
        <f t="shared" si="52"/>
        <v>0</v>
      </c>
    </row>
    <row r="283" spans="1:19">
      <c r="A283" s="155"/>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0</v>
      </c>
      <c r="R283" s="669">
        <f t="shared" si="61"/>
        <v>0</v>
      </c>
      <c r="S283" s="322">
        <f t="shared" si="52"/>
        <v>0</v>
      </c>
    </row>
    <row r="284" spans="1:19">
      <c r="A284" s="155"/>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0</v>
      </c>
      <c r="R284" s="669">
        <f t="shared" si="61"/>
        <v>0</v>
      </c>
      <c r="S284" s="322">
        <f t="shared" si="52"/>
        <v>0</v>
      </c>
    </row>
    <row r="285" spans="1:19">
      <c r="A285" s="155"/>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0</v>
      </c>
      <c r="R285" s="669">
        <f t="shared" si="61"/>
        <v>0</v>
      </c>
      <c r="S285" s="322">
        <f t="shared" si="52"/>
        <v>0</v>
      </c>
    </row>
    <row r="286" spans="1:19">
      <c r="A286" s="155"/>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0</v>
      </c>
      <c r="R286" s="669">
        <f t="shared" si="61"/>
        <v>0</v>
      </c>
      <c r="S286" s="322">
        <f t="shared" si="52"/>
        <v>0</v>
      </c>
    </row>
    <row r="287" spans="1:19">
      <c r="A287" s="155"/>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0</v>
      </c>
      <c r="R287" s="669">
        <f t="shared" si="61"/>
        <v>0</v>
      </c>
      <c r="S287" s="322">
        <f t="shared" ref="S287:S320" si="62">ROUND(R287*B287/10000,0)</f>
        <v>0</v>
      </c>
    </row>
    <row r="288" spans="1:19">
      <c r="A288" s="155"/>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0</v>
      </c>
      <c r="R288" s="669">
        <f t="shared" si="61"/>
        <v>0</v>
      </c>
      <c r="S288" s="322">
        <f t="shared" si="62"/>
        <v>0</v>
      </c>
    </row>
    <row r="289" spans="1:19">
      <c r="A289" s="155"/>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0</v>
      </c>
      <c r="R289" s="669">
        <f t="shared" si="61"/>
        <v>0</v>
      </c>
      <c r="S289" s="322">
        <f t="shared" si="62"/>
        <v>0</v>
      </c>
    </row>
    <row r="290" spans="1:19">
      <c r="A290" s="155"/>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0</v>
      </c>
      <c r="R290" s="669">
        <f t="shared" si="61"/>
        <v>0</v>
      </c>
      <c r="S290" s="322">
        <f t="shared" si="62"/>
        <v>0</v>
      </c>
    </row>
    <row r="291" spans="1:19">
      <c r="A291" s="155"/>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0</v>
      </c>
      <c r="R291" s="669">
        <f t="shared" si="61"/>
        <v>0</v>
      </c>
      <c r="S291" s="322">
        <f t="shared" si="62"/>
        <v>0</v>
      </c>
    </row>
    <row r="292" spans="1:19">
      <c r="A292" s="155"/>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0</v>
      </c>
      <c r="R292" s="669">
        <f t="shared" si="61"/>
        <v>0</v>
      </c>
      <c r="S292" s="322">
        <f t="shared" si="62"/>
        <v>0</v>
      </c>
    </row>
    <row r="293" spans="1:19">
      <c r="A293" s="155"/>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0</v>
      </c>
      <c r="R293" s="669">
        <f t="shared" si="61"/>
        <v>0</v>
      </c>
      <c r="S293" s="322">
        <f t="shared" si="62"/>
        <v>0</v>
      </c>
    </row>
    <row r="294" spans="1:19">
      <c r="A294" s="155"/>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0</v>
      </c>
      <c r="R294" s="669">
        <f t="shared" si="61"/>
        <v>0</v>
      </c>
      <c r="S294" s="322">
        <f t="shared" si="62"/>
        <v>0</v>
      </c>
    </row>
    <row r="295" spans="1:19">
      <c r="A295" s="155"/>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0</v>
      </c>
      <c r="R295" s="669">
        <f t="shared" si="61"/>
        <v>0</v>
      </c>
      <c r="S295" s="322">
        <f t="shared" si="62"/>
        <v>0</v>
      </c>
    </row>
    <row r="296" spans="1:19">
      <c r="A296" s="155"/>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0</v>
      </c>
      <c r="R296" s="669">
        <f t="shared" si="61"/>
        <v>0</v>
      </c>
      <c r="S296" s="322">
        <f t="shared" si="62"/>
        <v>0</v>
      </c>
    </row>
    <row r="297" spans="1:19">
      <c r="A297" s="155"/>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0</v>
      </c>
      <c r="R297" s="669">
        <f t="shared" si="61"/>
        <v>0</v>
      </c>
      <c r="S297" s="322">
        <f t="shared" si="62"/>
        <v>0</v>
      </c>
    </row>
    <row r="298" spans="1:19">
      <c r="A298" s="155"/>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0</v>
      </c>
      <c r="R298" s="669">
        <f t="shared" si="61"/>
        <v>0</v>
      </c>
      <c r="S298" s="322">
        <f t="shared" si="62"/>
        <v>0</v>
      </c>
    </row>
    <row r="299" spans="1:19">
      <c r="A299" s="155"/>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0</v>
      </c>
      <c r="R299" s="669">
        <f t="shared" si="61"/>
        <v>0</v>
      </c>
      <c r="S299" s="322">
        <f t="shared" si="62"/>
        <v>0</v>
      </c>
    </row>
    <row r="300" spans="1:19">
      <c r="A300" s="155"/>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0</v>
      </c>
      <c r="R300" s="669">
        <f t="shared" si="61"/>
        <v>0</v>
      </c>
      <c r="S300" s="322">
        <f t="shared" si="62"/>
        <v>0</v>
      </c>
    </row>
    <row r="301" spans="1:19">
      <c r="A301" s="155"/>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0</v>
      </c>
      <c r="R301" s="669">
        <f t="shared" si="61"/>
        <v>0</v>
      </c>
      <c r="S301" s="322">
        <f t="shared" si="62"/>
        <v>0</v>
      </c>
    </row>
    <row r="302" spans="1:19">
      <c r="A302" s="155"/>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0</v>
      </c>
      <c r="R302" s="669">
        <f t="shared" si="61"/>
        <v>0</v>
      </c>
      <c r="S302" s="322">
        <f t="shared" si="62"/>
        <v>0</v>
      </c>
    </row>
    <row r="303" spans="1:19">
      <c r="A303" s="155"/>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0</v>
      </c>
      <c r="R303" s="669">
        <f t="shared" si="61"/>
        <v>0</v>
      </c>
      <c r="S303" s="322">
        <f t="shared" si="62"/>
        <v>0</v>
      </c>
    </row>
    <row r="304" spans="1:19">
      <c r="A304" s="155"/>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0</v>
      </c>
      <c r="R304" s="669">
        <f t="shared" si="61"/>
        <v>0</v>
      </c>
      <c r="S304" s="322">
        <f t="shared" si="62"/>
        <v>0</v>
      </c>
    </row>
    <row r="305" spans="1:19">
      <c r="A305" s="155"/>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0</v>
      </c>
      <c r="R305" s="669">
        <f t="shared" si="61"/>
        <v>0</v>
      </c>
      <c r="S305" s="322">
        <f t="shared" si="62"/>
        <v>0</v>
      </c>
    </row>
    <row r="306" spans="1:19">
      <c r="A306" s="155"/>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0</v>
      </c>
      <c r="R306" s="669">
        <f t="shared" si="61"/>
        <v>0</v>
      </c>
      <c r="S306" s="322">
        <f t="shared" si="62"/>
        <v>0</v>
      </c>
    </row>
    <row r="307" spans="1:19">
      <c r="A307" s="155"/>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0</v>
      </c>
      <c r="R307" s="669">
        <f t="shared" si="61"/>
        <v>0</v>
      </c>
      <c r="S307" s="322">
        <f t="shared" si="62"/>
        <v>0</v>
      </c>
    </row>
    <row r="308" spans="1:19">
      <c r="A308" s="155"/>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0</v>
      </c>
      <c r="R308" s="669">
        <f t="shared" si="61"/>
        <v>0</v>
      </c>
      <c r="S308" s="322">
        <f t="shared" si="62"/>
        <v>0</v>
      </c>
    </row>
    <row r="309" spans="1:19">
      <c r="A309" s="155"/>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0</v>
      </c>
      <c r="R309" s="669">
        <f t="shared" si="61"/>
        <v>0</v>
      </c>
      <c r="S309" s="322">
        <f t="shared" si="62"/>
        <v>0</v>
      </c>
    </row>
    <row r="310" spans="1:19">
      <c r="A310" s="155"/>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0</v>
      </c>
      <c r="R310" s="669">
        <f t="shared" si="61"/>
        <v>0</v>
      </c>
      <c r="S310" s="322">
        <f t="shared" si="62"/>
        <v>0</v>
      </c>
    </row>
    <row r="311" spans="1:19">
      <c r="A311" s="155"/>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0</v>
      </c>
      <c r="R311" s="669">
        <f t="shared" si="61"/>
        <v>0</v>
      </c>
      <c r="S311" s="322">
        <f t="shared" si="62"/>
        <v>0</v>
      </c>
    </row>
    <row r="312" spans="1:19">
      <c r="A312" s="155"/>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0</v>
      </c>
      <c r="R312" s="669">
        <f t="shared" si="61"/>
        <v>0</v>
      </c>
      <c r="S312" s="322">
        <f t="shared" si="62"/>
        <v>0</v>
      </c>
    </row>
    <row r="313" spans="1:19">
      <c r="A313" s="155"/>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0</v>
      </c>
      <c r="R313" s="669">
        <f t="shared" si="61"/>
        <v>0</v>
      </c>
      <c r="S313" s="322">
        <f t="shared" si="62"/>
        <v>0</v>
      </c>
    </row>
    <row r="314" spans="1:19">
      <c r="A314" s="155"/>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0</v>
      </c>
      <c r="R314" s="669">
        <f t="shared" si="61"/>
        <v>0</v>
      </c>
      <c r="S314" s="322">
        <f t="shared" si="62"/>
        <v>0</v>
      </c>
    </row>
    <row r="315" spans="1:19">
      <c r="A315" s="155"/>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0</v>
      </c>
      <c r="R315" s="669">
        <f t="shared" si="61"/>
        <v>0</v>
      </c>
      <c r="S315" s="322">
        <f t="shared" si="62"/>
        <v>0</v>
      </c>
    </row>
    <row r="316" spans="1:19">
      <c r="A316" s="155"/>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0</v>
      </c>
      <c r="R316" s="669">
        <f t="shared" si="61"/>
        <v>0</v>
      </c>
      <c r="S316" s="322">
        <f t="shared" si="62"/>
        <v>0</v>
      </c>
    </row>
    <row r="317" spans="1:19">
      <c r="A317" s="155"/>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0</v>
      </c>
      <c r="R317" s="669">
        <f t="shared" si="61"/>
        <v>0</v>
      </c>
      <c r="S317" s="322">
        <f t="shared" si="62"/>
        <v>0</v>
      </c>
    </row>
    <row r="318" spans="1:19">
      <c r="A318" s="155"/>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0</v>
      </c>
      <c r="R318" s="669">
        <f t="shared" si="61"/>
        <v>0</v>
      </c>
      <c r="S318" s="322">
        <f t="shared" si="62"/>
        <v>0</v>
      </c>
    </row>
    <row r="319" spans="1:19">
      <c r="A319" s="155"/>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0</v>
      </c>
      <c r="R319" s="669">
        <f t="shared" si="61"/>
        <v>0</v>
      </c>
      <c r="S319" s="322">
        <f t="shared" si="62"/>
        <v>0</v>
      </c>
    </row>
    <row r="320" spans="1:19">
      <c r="A320" s="155"/>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0</v>
      </c>
      <c r="R320" s="669">
        <f t="shared" si="61"/>
        <v>0</v>
      </c>
      <c r="S320" s="322">
        <f t="shared" si="62"/>
        <v>0</v>
      </c>
    </row>
    <row r="321" spans="1:19">
      <c r="A321" s="155"/>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0</v>
      </c>
      <c r="R321" s="669">
        <f t="shared" si="61"/>
        <v>0</v>
      </c>
      <c r="S321" s="322">
        <f t="shared" ref="S321:S384" si="63">ROUND(R321*B321/10000,0)</f>
        <v>0</v>
      </c>
    </row>
    <row r="322" spans="1:19">
      <c r="A322" s="155"/>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0</v>
      </c>
      <c r="R322" s="669">
        <f t="shared" si="61"/>
        <v>0</v>
      </c>
      <c r="S322" s="322">
        <f t="shared" si="63"/>
        <v>0</v>
      </c>
    </row>
    <row r="323" spans="1:19">
      <c r="A323" s="155"/>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0</v>
      </c>
      <c r="R323" s="669">
        <f t="shared" si="61"/>
        <v>0</v>
      </c>
      <c r="S323" s="322">
        <f t="shared" si="63"/>
        <v>0</v>
      </c>
    </row>
    <row r="324" spans="1:19">
      <c r="A324" s="155"/>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0</v>
      </c>
      <c r="R324" s="669">
        <f t="shared" si="61"/>
        <v>0</v>
      </c>
      <c r="S324" s="322">
        <f t="shared" si="63"/>
        <v>0</v>
      </c>
    </row>
    <row r="325" spans="1:19">
      <c r="A325" s="155"/>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0</v>
      </c>
      <c r="R325" s="669">
        <f t="shared" si="61"/>
        <v>0</v>
      </c>
      <c r="S325" s="322">
        <f t="shared" si="63"/>
        <v>0</v>
      </c>
    </row>
    <row r="326" spans="1:19">
      <c r="A326" s="155"/>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0</v>
      </c>
      <c r="R326" s="669">
        <f t="shared" si="61"/>
        <v>0</v>
      </c>
      <c r="S326" s="322">
        <f t="shared" si="63"/>
        <v>0</v>
      </c>
    </row>
    <row r="327" spans="1:19">
      <c r="A327" s="155"/>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0</v>
      </c>
      <c r="R327" s="669">
        <f t="shared" si="61"/>
        <v>0</v>
      </c>
      <c r="S327" s="322">
        <f t="shared" si="63"/>
        <v>0</v>
      </c>
    </row>
    <row r="328" spans="1:19">
      <c r="A328" s="155"/>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0</v>
      </c>
      <c r="R328" s="669">
        <f t="shared" si="61"/>
        <v>0</v>
      </c>
      <c r="S328" s="322">
        <f t="shared" si="63"/>
        <v>0</v>
      </c>
    </row>
    <row r="329" spans="1:19">
      <c r="A329" s="155"/>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0</v>
      </c>
      <c r="R329" s="669">
        <f t="shared" si="61"/>
        <v>0</v>
      </c>
      <c r="S329" s="322">
        <f t="shared" si="63"/>
        <v>0</v>
      </c>
    </row>
    <row r="330" spans="1:19">
      <c r="A330" s="155"/>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0</v>
      </c>
      <c r="R330" s="669">
        <f t="shared" si="61"/>
        <v>0</v>
      </c>
      <c r="S330" s="322">
        <f t="shared" si="63"/>
        <v>0</v>
      </c>
    </row>
    <row r="331" spans="1:19">
      <c r="A331" s="155"/>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0</v>
      </c>
      <c r="R331" s="669">
        <f t="shared" si="61"/>
        <v>0</v>
      </c>
      <c r="S331" s="322">
        <f t="shared" si="63"/>
        <v>0</v>
      </c>
    </row>
    <row r="332" spans="1:19">
      <c r="A332" s="155"/>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0</v>
      </c>
      <c r="R332" s="669">
        <f t="shared" si="61"/>
        <v>0</v>
      </c>
      <c r="S332" s="322">
        <f t="shared" si="63"/>
        <v>0</v>
      </c>
    </row>
    <row r="333" spans="1:19">
      <c r="A333" s="155"/>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0</v>
      </c>
      <c r="R333" s="669">
        <f t="shared" si="61"/>
        <v>0</v>
      </c>
      <c r="S333" s="322">
        <f t="shared" si="63"/>
        <v>0</v>
      </c>
    </row>
    <row r="334" spans="1:19">
      <c r="A334" s="155"/>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0</v>
      </c>
      <c r="R334" s="669">
        <f t="shared" si="61"/>
        <v>0</v>
      </c>
      <c r="S334" s="322">
        <f t="shared" si="63"/>
        <v>0</v>
      </c>
    </row>
    <row r="335" spans="1:19">
      <c r="A335" s="155"/>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0</v>
      </c>
      <c r="R335" s="669">
        <f t="shared" si="61"/>
        <v>0</v>
      </c>
      <c r="S335" s="322">
        <f t="shared" si="63"/>
        <v>0</v>
      </c>
    </row>
    <row r="336" spans="1:19">
      <c r="A336" s="155"/>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0</v>
      </c>
      <c r="R336" s="669">
        <f t="shared" si="61"/>
        <v>0</v>
      </c>
      <c r="S336" s="322">
        <f t="shared" si="63"/>
        <v>0</v>
      </c>
    </row>
    <row r="337" spans="1:19">
      <c r="A337" s="155"/>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0</v>
      </c>
      <c r="R337" s="669">
        <f t="shared" si="61"/>
        <v>0</v>
      </c>
      <c r="S337" s="322">
        <f t="shared" si="63"/>
        <v>0</v>
      </c>
    </row>
    <row r="338" spans="1:19">
      <c r="A338" s="155"/>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0</v>
      </c>
      <c r="R338" s="669">
        <f t="shared" si="61"/>
        <v>0</v>
      </c>
      <c r="S338" s="322">
        <f t="shared" si="63"/>
        <v>0</v>
      </c>
    </row>
    <row r="339" spans="1:19">
      <c r="A339" s="155"/>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0</v>
      </c>
      <c r="R339" s="669">
        <f t="shared" si="61"/>
        <v>0</v>
      </c>
      <c r="S339" s="322">
        <f t="shared" si="63"/>
        <v>0</v>
      </c>
    </row>
    <row r="340" spans="1:19">
      <c r="A340" s="155"/>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0</v>
      </c>
      <c r="R340" s="669">
        <f t="shared" si="61"/>
        <v>0</v>
      </c>
      <c r="S340" s="322">
        <f t="shared" si="63"/>
        <v>0</v>
      </c>
    </row>
    <row r="341" spans="1:19">
      <c r="A341" s="155"/>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0</v>
      </c>
      <c r="R341" s="669">
        <f t="shared" si="61"/>
        <v>0</v>
      </c>
      <c r="S341" s="322">
        <f t="shared" si="63"/>
        <v>0</v>
      </c>
    </row>
    <row r="342" spans="1:19">
      <c r="A342" s="155"/>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0</v>
      </c>
      <c r="R342" s="669">
        <f t="shared" si="61"/>
        <v>0</v>
      </c>
      <c r="S342" s="322">
        <f t="shared" si="63"/>
        <v>0</v>
      </c>
    </row>
    <row r="343" spans="1:19">
      <c r="A343" s="155"/>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0</v>
      </c>
      <c r="R343" s="669">
        <f t="shared" si="61"/>
        <v>0</v>
      </c>
      <c r="S343" s="322">
        <f t="shared" si="63"/>
        <v>0</v>
      </c>
    </row>
    <row r="344" spans="1:19">
      <c r="A344" s="155"/>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0</v>
      </c>
      <c r="R344" s="669">
        <f t="shared" si="61"/>
        <v>0</v>
      </c>
      <c r="S344" s="322">
        <f t="shared" si="63"/>
        <v>0</v>
      </c>
    </row>
    <row r="345" spans="1:19">
      <c r="A345" s="155"/>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0</v>
      </c>
      <c r="R345" s="669">
        <f t="shared" si="61"/>
        <v>0</v>
      </c>
      <c r="S345" s="322">
        <f t="shared" si="63"/>
        <v>0</v>
      </c>
    </row>
    <row r="346" spans="1:19">
      <c r="A346" s="155"/>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2">
        <f t="shared" si="63"/>
        <v>0</v>
      </c>
    </row>
    <row r="347" spans="1:19">
      <c r="A347" s="155"/>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0</v>
      </c>
      <c r="R347" s="669">
        <f t="shared" si="72"/>
        <v>0</v>
      </c>
      <c r="S347" s="322">
        <f t="shared" si="63"/>
        <v>0</v>
      </c>
    </row>
    <row r="348" spans="1:19">
      <c r="A348" s="155"/>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0</v>
      </c>
      <c r="R348" s="669">
        <f t="shared" si="72"/>
        <v>0</v>
      </c>
      <c r="S348" s="322">
        <f t="shared" si="63"/>
        <v>0</v>
      </c>
    </row>
    <row r="349" spans="1:19">
      <c r="A349" s="155"/>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0</v>
      </c>
      <c r="R349" s="669">
        <f t="shared" si="72"/>
        <v>0</v>
      </c>
      <c r="S349" s="322">
        <f t="shared" si="63"/>
        <v>0</v>
      </c>
    </row>
    <row r="350" spans="1:19">
      <c r="A350" s="155"/>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0</v>
      </c>
      <c r="R350" s="669">
        <f t="shared" si="72"/>
        <v>0</v>
      </c>
      <c r="S350" s="322">
        <f t="shared" si="63"/>
        <v>0</v>
      </c>
    </row>
    <row r="351" spans="1:19">
      <c r="A351" s="155"/>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0</v>
      </c>
      <c r="R351" s="669">
        <f t="shared" si="72"/>
        <v>0</v>
      </c>
      <c r="S351" s="322">
        <f t="shared" si="63"/>
        <v>0</v>
      </c>
    </row>
    <row r="352" spans="1:19">
      <c r="A352" s="155"/>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0</v>
      </c>
      <c r="R352" s="669">
        <f t="shared" si="72"/>
        <v>0</v>
      </c>
      <c r="S352" s="322">
        <f t="shared" si="63"/>
        <v>0</v>
      </c>
    </row>
    <row r="353" spans="1:19">
      <c r="A353" s="155"/>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0</v>
      </c>
      <c r="R353" s="669">
        <f t="shared" si="72"/>
        <v>0</v>
      </c>
      <c r="S353" s="322">
        <f t="shared" si="63"/>
        <v>0</v>
      </c>
    </row>
    <row r="354" spans="1:19">
      <c r="A354" s="155"/>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0</v>
      </c>
      <c r="R354" s="669">
        <f t="shared" si="72"/>
        <v>0</v>
      </c>
      <c r="S354" s="322">
        <f t="shared" si="63"/>
        <v>0</v>
      </c>
    </row>
    <row r="355" spans="1:19">
      <c r="A355" s="155"/>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0</v>
      </c>
      <c r="R355" s="669">
        <f t="shared" si="72"/>
        <v>0</v>
      </c>
      <c r="S355" s="322">
        <f t="shared" si="63"/>
        <v>0</v>
      </c>
    </row>
    <row r="356" spans="1:19">
      <c r="A356" s="155"/>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0</v>
      </c>
      <c r="R356" s="669">
        <f t="shared" si="72"/>
        <v>0</v>
      </c>
      <c r="S356" s="322">
        <f t="shared" si="63"/>
        <v>0</v>
      </c>
    </row>
    <row r="357" spans="1:19">
      <c r="A357" s="155"/>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0</v>
      </c>
      <c r="R357" s="669">
        <f t="shared" si="72"/>
        <v>0</v>
      </c>
      <c r="S357" s="322">
        <f t="shared" si="63"/>
        <v>0</v>
      </c>
    </row>
    <row r="358" spans="1:19">
      <c r="A358" s="155"/>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0</v>
      </c>
      <c r="R358" s="669">
        <f t="shared" si="72"/>
        <v>0</v>
      </c>
      <c r="S358" s="322">
        <f t="shared" si="63"/>
        <v>0</v>
      </c>
    </row>
    <row r="359" spans="1:19">
      <c r="A359" s="155"/>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0</v>
      </c>
      <c r="R359" s="669">
        <f t="shared" si="72"/>
        <v>0</v>
      </c>
      <c r="S359" s="322">
        <f t="shared" si="63"/>
        <v>0</v>
      </c>
    </row>
    <row r="360" spans="1:19">
      <c r="A360" s="155"/>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0</v>
      </c>
      <c r="R360" s="669">
        <f t="shared" si="72"/>
        <v>0</v>
      </c>
      <c r="S360" s="322">
        <f t="shared" si="63"/>
        <v>0</v>
      </c>
    </row>
    <row r="361" spans="1:19">
      <c r="A361" s="155"/>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0</v>
      </c>
      <c r="R361" s="669">
        <f t="shared" si="72"/>
        <v>0</v>
      </c>
      <c r="S361" s="322">
        <f t="shared" si="63"/>
        <v>0</v>
      </c>
    </row>
    <row r="362" spans="1:19">
      <c r="A362" s="155"/>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0</v>
      </c>
      <c r="R362" s="669">
        <f t="shared" si="72"/>
        <v>0</v>
      </c>
      <c r="S362" s="322">
        <f t="shared" si="63"/>
        <v>0</v>
      </c>
    </row>
    <row r="363" spans="1:19">
      <c r="A363" s="155"/>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0</v>
      </c>
      <c r="R363" s="669">
        <f t="shared" si="72"/>
        <v>0</v>
      </c>
      <c r="S363" s="322">
        <f t="shared" si="63"/>
        <v>0</v>
      </c>
    </row>
    <row r="364" spans="1:19">
      <c r="A364" s="155"/>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0</v>
      </c>
      <c r="R364" s="669">
        <f t="shared" si="72"/>
        <v>0</v>
      </c>
      <c r="S364" s="322">
        <f t="shared" si="63"/>
        <v>0</v>
      </c>
    </row>
    <row r="365" spans="1:19">
      <c r="A365" s="155"/>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0</v>
      </c>
      <c r="R365" s="669">
        <f t="shared" si="72"/>
        <v>0</v>
      </c>
      <c r="S365" s="322">
        <f t="shared" si="63"/>
        <v>0</v>
      </c>
    </row>
    <row r="366" spans="1:19">
      <c r="A366" s="155"/>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0</v>
      </c>
      <c r="R366" s="669">
        <f t="shared" si="72"/>
        <v>0</v>
      </c>
      <c r="S366" s="322">
        <f t="shared" si="63"/>
        <v>0</v>
      </c>
    </row>
    <row r="367" spans="1:19">
      <c r="A367" s="155"/>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0</v>
      </c>
      <c r="R367" s="669">
        <f t="shared" si="72"/>
        <v>0</v>
      </c>
      <c r="S367" s="322">
        <f t="shared" si="63"/>
        <v>0</v>
      </c>
    </row>
    <row r="368" spans="1:19">
      <c r="A368" s="155"/>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0</v>
      </c>
      <c r="R368" s="669">
        <f t="shared" si="72"/>
        <v>0</v>
      </c>
      <c r="S368" s="322">
        <f t="shared" si="63"/>
        <v>0</v>
      </c>
    </row>
    <row r="369" spans="1:19">
      <c r="A369" s="155"/>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0</v>
      </c>
      <c r="R369" s="669">
        <f t="shared" si="72"/>
        <v>0</v>
      </c>
      <c r="S369" s="322">
        <f t="shared" si="63"/>
        <v>0</v>
      </c>
    </row>
    <row r="370" spans="1:19">
      <c r="A370" s="155"/>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0</v>
      </c>
      <c r="R370" s="669">
        <f t="shared" si="72"/>
        <v>0</v>
      </c>
      <c r="S370" s="322">
        <f t="shared" si="63"/>
        <v>0</v>
      </c>
    </row>
    <row r="371" spans="1:19">
      <c r="A371" s="155"/>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0</v>
      </c>
      <c r="R371" s="669">
        <f t="shared" si="72"/>
        <v>0</v>
      </c>
      <c r="S371" s="322">
        <f t="shared" si="63"/>
        <v>0</v>
      </c>
    </row>
    <row r="372" spans="1:19">
      <c r="A372" s="155"/>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0</v>
      </c>
      <c r="R372" s="669">
        <f t="shared" si="72"/>
        <v>0</v>
      </c>
      <c r="S372" s="322">
        <f t="shared" si="63"/>
        <v>0</v>
      </c>
    </row>
    <row r="373" spans="1:19">
      <c r="A373" s="155"/>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0</v>
      </c>
      <c r="R373" s="669">
        <f t="shared" si="72"/>
        <v>0</v>
      </c>
      <c r="S373" s="322">
        <f t="shared" si="63"/>
        <v>0</v>
      </c>
    </row>
    <row r="374" spans="1:19">
      <c r="A374" s="155"/>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0</v>
      </c>
      <c r="R374" s="669">
        <f t="shared" si="72"/>
        <v>0</v>
      </c>
      <c r="S374" s="322">
        <f t="shared" si="63"/>
        <v>0</v>
      </c>
    </row>
    <row r="375" spans="1:19">
      <c r="A375" s="155"/>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0</v>
      </c>
      <c r="R375" s="669">
        <f t="shared" si="72"/>
        <v>0</v>
      </c>
      <c r="S375" s="322">
        <f t="shared" si="63"/>
        <v>0</v>
      </c>
    </row>
    <row r="376" spans="1:19">
      <c r="A376" s="155"/>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0</v>
      </c>
      <c r="R376" s="669">
        <f t="shared" si="72"/>
        <v>0</v>
      </c>
      <c r="S376" s="322">
        <f t="shared" si="63"/>
        <v>0</v>
      </c>
    </row>
    <row r="377" spans="1:19">
      <c r="A377" s="155"/>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0</v>
      </c>
      <c r="R377" s="669">
        <f t="shared" si="72"/>
        <v>0</v>
      </c>
      <c r="S377" s="322">
        <f t="shared" si="63"/>
        <v>0</v>
      </c>
    </row>
    <row r="378" spans="1:19">
      <c r="A378" s="155"/>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0</v>
      </c>
      <c r="R378" s="669">
        <f t="shared" si="72"/>
        <v>0</v>
      </c>
      <c r="S378" s="322">
        <f t="shared" si="63"/>
        <v>0</v>
      </c>
    </row>
    <row r="379" spans="1:19">
      <c r="A379" s="155"/>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0</v>
      </c>
      <c r="R379" s="669">
        <f t="shared" si="72"/>
        <v>0</v>
      </c>
      <c r="S379" s="322">
        <f t="shared" si="63"/>
        <v>0</v>
      </c>
    </row>
    <row r="380" spans="1:19">
      <c r="A380" s="155"/>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0</v>
      </c>
      <c r="R380" s="669">
        <f t="shared" si="72"/>
        <v>0</v>
      </c>
      <c r="S380" s="322">
        <f t="shared" si="63"/>
        <v>0</v>
      </c>
    </row>
    <row r="381" spans="1:19">
      <c r="A381" s="155"/>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0</v>
      </c>
      <c r="R381" s="669">
        <f t="shared" si="72"/>
        <v>0</v>
      </c>
      <c r="S381" s="322">
        <f t="shared" si="63"/>
        <v>0</v>
      </c>
    </row>
    <row r="382" spans="1:19">
      <c r="A382" s="155"/>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0</v>
      </c>
      <c r="R382" s="669">
        <f t="shared" si="72"/>
        <v>0</v>
      </c>
      <c r="S382" s="322">
        <f t="shared" si="63"/>
        <v>0</v>
      </c>
    </row>
    <row r="383" spans="1:19">
      <c r="A383" s="155"/>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0</v>
      </c>
      <c r="R383" s="669">
        <f t="shared" si="72"/>
        <v>0</v>
      </c>
      <c r="S383" s="322">
        <f t="shared" si="63"/>
        <v>0</v>
      </c>
    </row>
    <row r="384" spans="1:19">
      <c r="A384" s="155"/>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0</v>
      </c>
      <c r="R384" s="669">
        <f t="shared" si="72"/>
        <v>0</v>
      </c>
      <c r="S384" s="322">
        <f t="shared" si="63"/>
        <v>0</v>
      </c>
    </row>
    <row r="385" spans="1:19">
      <c r="A385" s="155"/>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0</v>
      </c>
      <c r="R385" s="669">
        <f t="shared" si="72"/>
        <v>0</v>
      </c>
      <c r="S385" s="322">
        <f t="shared" ref="S385:S422" si="73">ROUND(R385*B385/10000,0)</f>
        <v>0</v>
      </c>
    </row>
    <row r="386" spans="1:19">
      <c r="A386" s="155"/>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0</v>
      </c>
      <c r="R386" s="669">
        <f t="shared" si="72"/>
        <v>0</v>
      </c>
      <c r="S386" s="322">
        <f t="shared" si="73"/>
        <v>0</v>
      </c>
    </row>
    <row r="387" spans="1:19">
      <c r="A387" s="155"/>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0</v>
      </c>
      <c r="R387" s="669">
        <f t="shared" si="72"/>
        <v>0</v>
      </c>
      <c r="S387" s="322">
        <f t="shared" si="73"/>
        <v>0</v>
      </c>
    </row>
    <row r="388" spans="1:19">
      <c r="A388" s="155"/>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0</v>
      </c>
      <c r="R388" s="669">
        <f t="shared" si="72"/>
        <v>0</v>
      </c>
      <c r="S388" s="322">
        <f t="shared" si="73"/>
        <v>0</v>
      </c>
    </row>
    <row r="389" spans="1:19">
      <c r="A389" s="155"/>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0</v>
      </c>
      <c r="R389" s="669">
        <f t="shared" si="72"/>
        <v>0</v>
      </c>
      <c r="S389" s="322">
        <f t="shared" si="73"/>
        <v>0</v>
      </c>
    </row>
    <row r="390" spans="1:19">
      <c r="A390" s="155"/>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0</v>
      </c>
      <c r="R390" s="669">
        <f t="shared" si="72"/>
        <v>0</v>
      </c>
      <c r="S390" s="322">
        <f t="shared" si="73"/>
        <v>0</v>
      </c>
    </row>
    <row r="391" spans="1:19">
      <c r="A391" s="155"/>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0</v>
      </c>
      <c r="R391" s="669">
        <f t="shared" si="72"/>
        <v>0</v>
      </c>
      <c r="S391" s="322">
        <f t="shared" si="73"/>
        <v>0</v>
      </c>
    </row>
    <row r="392" spans="1:19">
      <c r="A392" s="155"/>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0</v>
      </c>
      <c r="R392" s="669">
        <f t="shared" si="72"/>
        <v>0</v>
      </c>
      <c r="S392" s="322">
        <f t="shared" si="73"/>
        <v>0</v>
      </c>
    </row>
    <row r="393" spans="1:19">
      <c r="A393" s="155"/>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0</v>
      </c>
      <c r="R393" s="669">
        <f t="shared" si="72"/>
        <v>0</v>
      </c>
      <c r="S393" s="322">
        <f t="shared" si="73"/>
        <v>0</v>
      </c>
    </row>
    <row r="394" spans="1:19">
      <c r="A394" s="155"/>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0</v>
      </c>
      <c r="R394" s="669">
        <f t="shared" si="72"/>
        <v>0</v>
      </c>
      <c r="S394" s="322">
        <f t="shared" si="73"/>
        <v>0</v>
      </c>
    </row>
    <row r="395" spans="1:19">
      <c r="A395" s="155"/>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0</v>
      </c>
      <c r="R395" s="669">
        <f t="shared" si="72"/>
        <v>0</v>
      </c>
      <c r="S395" s="322">
        <f t="shared" si="73"/>
        <v>0</v>
      </c>
    </row>
    <row r="396" spans="1:19">
      <c r="A396" s="155"/>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0</v>
      </c>
      <c r="R396" s="669">
        <f t="shared" si="72"/>
        <v>0</v>
      </c>
      <c r="S396" s="322">
        <f t="shared" si="73"/>
        <v>0</v>
      </c>
    </row>
    <row r="397" spans="1:19">
      <c r="A397" s="155"/>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0</v>
      </c>
      <c r="R397" s="669">
        <f t="shared" si="72"/>
        <v>0</v>
      </c>
      <c r="S397" s="322">
        <f t="shared" si="73"/>
        <v>0</v>
      </c>
    </row>
    <row r="398" spans="1:19">
      <c r="A398" s="155"/>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0</v>
      </c>
      <c r="R398" s="669">
        <f t="shared" si="72"/>
        <v>0</v>
      </c>
      <c r="S398" s="322">
        <f t="shared" si="73"/>
        <v>0</v>
      </c>
    </row>
    <row r="399" spans="1:19">
      <c r="A399" s="155"/>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0</v>
      </c>
      <c r="R399" s="669">
        <f t="shared" si="72"/>
        <v>0</v>
      </c>
      <c r="S399" s="322">
        <f t="shared" si="73"/>
        <v>0</v>
      </c>
    </row>
    <row r="400" spans="1:19">
      <c r="A400" s="155"/>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0</v>
      </c>
      <c r="R400" s="669">
        <f t="shared" si="72"/>
        <v>0</v>
      </c>
      <c r="S400" s="322">
        <f t="shared" si="73"/>
        <v>0</v>
      </c>
    </row>
    <row r="401" spans="1:19">
      <c r="A401" s="155"/>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0</v>
      </c>
      <c r="R401" s="669">
        <f t="shared" si="72"/>
        <v>0</v>
      </c>
      <c r="S401" s="322">
        <f t="shared" si="73"/>
        <v>0</v>
      </c>
    </row>
    <row r="402" spans="1:19">
      <c r="A402" s="155"/>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0</v>
      </c>
      <c r="R402" s="669">
        <f t="shared" si="72"/>
        <v>0</v>
      </c>
      <c r="S402" s="322">
        <f t="shared" si="73"/>
        <v>0</v>
      </c>
    </row>
    <row r="403" spans="1:19">
      <c r="A403" s="155"/>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0</v>
      </c>
      <c r="R403" s="669">
        <f t="shared" si="72"/>
        <v>0</v>
      </c>
      <c r="S403" s="322">
        <f t="shared" si="73"/>
        <v>0</v>
      </c>
    </row>
    <row r="404" spans="1:19">
      <c r="A404" s="155"/>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0</v>
      </c>
      <c r="R404" s="669">
        <f t="shared" si="72"/>
        <v>0</v>
      </c>
      <c r="S404" s="322">
        <f t="shared" si="73"/>
        <v>0</v>
      </c>
    </row>
    <row r="405" spans="1:19">
      <c r="A405" s="155"/>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0</v>
      </c>
      <c r="R405" s="669">
        <f t="shared" si="72"/>
        <v>0</v>
      </c>
      <c r="S405" s="322">
        <f t="shared" si="73"/>
        <v>0</v>
      </c>
    </row>
    <row r="406" spans="1:19">
      <c r="A406" s="155"/>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0</v>
      </c>
      <c r="R406" s="669">
        <f t="shared" si="72"/>
        <v>0</v>
      </c>
      <c r="S406" s="322">
        <f t="shared" si="73"/>
        <v>0</v>
      </c>
    </row>
    <row r="407" spans="1:19">
      <c r="A407" s="155"/>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0</v>
      </c>
      <c r="R407" s="669">
        <f t="shared" si="72"/>
        <v>0</v>
      </c>
      <c r="S407" s="322">
        <f t="shared" si="73"/>
        <v>0</v>
      </c>
    </row>
    <row r="408" spans="1:19">
      <c r="A408" s="155"/>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0</v>
      </c>
      <c r="R408" s="669">
        <f t="shared" si="72"/>
        <v>0</v>
      </c>
      <c r="S408" s="322">
        <f t="shared" si="73"/>
        <v>0</v>
      </c>
    </row>
    <row r="409" spans="1:19">
      <c r="A409" s="155"/>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0</v>
      </c>
      <c r="R409" s="669">
        <f t="shared" si="72"/>
        <v>0</v>
      </c>
      <c r="S409" s="322">
        <f t="shared" si="73"/>
        <v>0</v>
      </c>
    </row>
    <row r="410" spans="1:19">
      <c r="A410" s="155"/>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2">
        <f t="shared" si="73"/>
        <v>0</v>
      </c>
    </row>
    <row r="411" spans="1:19">
      <c r="A411" s="155"/>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0</v>
      </c>
      <c r="R411" s="669">
        <f t="shared" si="82"/>
        <v>0</v>
      </c>
      <c r="S411" s="322">
        <f t="shared" si="73"/>
        <v>0</v>
      </c>
    </row>
    <row r="412" spans="1:19">
      <c r="A412" s="155"/>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0</v>
      </c>
      <c r="R412" s="669">
        <f t="shared" si="82"/>
        <v>0</v>
      </c>
      <c r="S412" s="322">
        <f t="shared" si="73"/>
        <v>0</v>
      </c>
    </row>
    <row r="413" spans="1:19">
      <c r="A413" s="155"/>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0</v>
      </c>
      <c r="R413" s="669">
        <f t="shared" si="82"/>
        <v>0</v>
      </c>
      <c r="S413" s="322">
        <f t="shared" si="73"/>
        <v>0</v>
      </c>
    </row>
    <row r="414" spans="1:19">
      <c r="A414" s="155"/>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0</v>
      </c>
      <c r="R414" s="669">
        <f t="shared" si="82"/>
        <v>0</v>
      </c>
      <c r="S414" s="322">
        <f t="shared" si="73"/>
        <v>0</v>
      </c>
    </row>
    <row r="415" spans="1:19">
      <c r="A415" s="155"/>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0</v>
      </c>
      <c r="R415" s="669">
        <f t="shared" si="82"/>
        <v>0</v>
      </c>
      <c r="S415" s="322">
        <f t="shared" si="73"/>
        <v>0</v>
      </c>
    </row>
    <row r="416" spans="1:19">
      <c r="A416" s="155"/>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0</v>
      </c>
      <c r="R416" s="669">
        <f t="shared" si="82"/>
        <v>0</v>
      </c>
      <c r="S416" s="322">
        <f t="shared" si="73"/>
        <v>0</v>
      </c>
    </row>
    <row r="417" spans="1:19">
      <c r="A417" s="155"/>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0</v>
      </c>
      <c r="R417" s="669">
        <f t="shared" si="82"/>
        <v>0</v>
      </c>
      <c r="S417" s="322">
        <f t="shared" si="73"/>
        <v>0</v>
      </c>
    </row>
    <row r="418" spans="1:19">
      <c r="A418" s="155"/>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0</v>
      </c>
      <c r="R418" s="669">
        <f t="shared" si="82"/>
        <v>0</v>
      </c>
      <c r="S418" s="322">
        <f t="shared" si="73"/>
        <v>0</v>
      </c>
    </row>
    <row r="419" spans="1:19">
      <c r="A419" s="155"/>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0</v>
      </c>
      <c r="R419" s="669">
        <f t="shared" si="82"/>
        <v>0</v>
      </c>
      <c r="S419" s="322">
        <f t="shared" si="73"/>
        <v>0</v>
      </c>
    </row>
    <row r="420" spans="1:19">
      <c r="A420" s="155"/>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0</v>
      </c>
      <c r="R420" s="669">
        <f t="shared" si="82"/>
        <v>0</v>
      </c>
      <c r="S420" s="322">
        <f t="shared" si="73"/>
        <v>0</v>
      </c>
    </row>
    <row r="421" spans="1:19">
      <c r="A421" s="155"/>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0</v>
      </c>
      <c r="R421" s="669">
        <f t="shared" si="82"/>
        <v>0</v>
      </c>
      <c r="S421" s="322">
        <f t="shared" si="73"/>
        <v>0</v>
      </c>
    </row>
    <row r="422" spans="1:19">
      <c r="A422" s="155"/>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0</v>
      </c>
      <c r="R422" s="669">
        <f t="shared" si="82"/>
        <v>0</v>
      </c>
      <c r="S422" s="322">
        <f t="shared" si="73"/>
        <v>0</v>
      </c>
    </row>
    <row r="423" spans="1:19">
      <c r="A423" s="155"/>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0</v>
      </c>
      <c r="R423" s="669">
        <f t="shared" si="82"/>
        <v>0</v>
      </c>
      <c r="S423" s="322">
        <f t="shared" ref="S423:S467" si="83">ROUND(R423*B423/10000,0)</f>
        <v>0</v>
      </c>
    </row>
    <row r="424" spans="1:19">
      <c r="A424" s="155"/>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0</v>
      </c>
      <c r="R424" s="669">
        <f t="shared" si="82"/>
        <v>0</v>
      </c>
      <c r="S424" s="322">
        <f t="shared" si="83"/>
        <v>0</v>
      </c>
    </row>
    <row r="425" spans="1:19">
      <c r="A425" s="155"/>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0</v>
      </c>
      <c r="R425" s="669">
        <f t="shared" si="82"/>
        <v>0</v>
      </c>
      <c r="S425" s="322">
        <f t="shared" si="83"/>
        <v>0</v>
      </c>
    </row>
    <row r="426" spans="1:19">
      <c r="A426" s="155"/>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0</v>
      </c>
      <c r="R426" s="669">
        <f t="shared" si="82"/>
        <v>0</v>
      </c>
      <c r="S426" s="322">
        <f t="shared" si="83"/>
        <v>0</v>
      </c>
    </row>
    <row r="427" spans="1:19">
      <c r="A427" s="155"/>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0</v>
      </c>
      <c r="R427" s="669">
        <f t="shared" si="82"/>
        <v>0</v>
      </c>
      <c r="S427" s="322">
        <f t="shared" si="83"/>
        <v>0</v>
      </c>
    </row>
    <row r="428" spans="1:19">
      <c r="A428" s="155"/>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0</v>
      </c>
      <c r="R428" s="669">
        <f t="shared" si="82"/>
        <v>0</v>
      </c>
      <c r="S428" s="322">
        <f t="shared" si="83"/>
        <v>0</v>
      </c>
    </row>
    <row r="429" spans="1:19">
      <c r="A429" s="155"/>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0</v>
      </c>
      <c r="R429" s="669">
        <f t="shared" si="82"/>
        <v>0</v>
      </c>
      <c r="S429" s="322">
        <f t="shared" si="83"/>
        <v>0</v>
      </c>
    </row>
    <row r="430" spans="1:19">
      <c r="A430" s="155"/>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0</v>
      </c>
      <c r="R430" s="669">
        <f t="shared" si="82"/>
        <v>0</v>
      </c>
      <c r="S430" s="322">
        <f t="shared" si="83"/>
        <v>0</v>
      </c>
    </row>
    <row r="431" spans="1:19">
      <c r="A431" s="155"/>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0</v>
      </c>
      <c r="R431" s="669">
        <f t="shared" si="82"/>
        <v>0</v>
      </c>
      <c r="S431" s="322">
        <f t="shared" si="83"/>
        <v>0</v>
      </c>
    </row>
    <row r="432" spans="1:19">
      <c r="A432" s="155"/>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0</v>
      </c>
      <c r="R432" s="669">
        <f t="shared" si="82"/>
        <v>0</v>
      </c>
      <c r="S432" s="322">
        <f t="shared" si="83"/>
        <v>0</v>
      </c>
    </row>
    <row r="433" spans="1:19">
      <c r="A433" s="155"/>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0</v>
      </c>
      <c r="R433" s="669">
        <f t="shared" si="82"/>
        <v>0</v>
      </c>
      <c r="S433" s="322">
        <f t="shared" si="83"/>
        <v>0</v>
      </c>
    </row>
    <row r="434" spans="1:19">
      <c r="A434" s="155"/>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0</v>
      </c>
      <c r="R434" s="669">
        <f t="shared" si="82"/>
        <v>0</v>
      </c>
      <c r="S434" s="322">
        <f t="shared" si="83"/>
        <v>0</v>
      </c>
    </row>
    <row r="435" spans="1:19">
      <c r="A435" s="155"/>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0</v>
      </c>
      <c r="R435" s="669">
        <f t="shared" si="82"/>
        <v>0</v>
      </c>
      <c r="S435" s="322">
        <f t="shared" si="83"/>
        <v>0</v>
      </c>
    </row>
    <row r="436" spans="1:19">
      <c r="A436" s="155"/>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0</v>
      </c>
      <c r="R436" s="669">
        <f t="shared" si="82"/>
        <v>0</v>
      </c>
      <c r="S436" s="322">
        <f t="shared" si="83"/>
        <v>0</v>
      </c>
    </row>
    <row r="437" spans="1:19">
      <c r="A437" s="155"/>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0</v>
      </c>
      <c r="R437" s="669">
        <f t="shared" si="82"/>
        <v>0</v>
      </c>
      <c r="S437" s="322">
        <f t="shared" si="83"/>
        <v>0</v>
      </c>
    </row>
    <row r="438" spans="1:19">
      <c r="A438" s="155"/>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0</v>
      </c>
      <c r="R438" s="669">
        <f t="shared" si="82"/>
        <v>0</v>
      </c>
      <c r="S438" s="322">
        <f t="shared" si="83"/>
        <v>0</v>
      </c>
    </row>
    <row r="439" spans="1:19">
      <c r="A439" s="155"/>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0</v>
      </c>
      <c r="R439" s="669">
        <f t="shared" si="82"/>
        <v>0</v>
      </c>
      <c r="S439" s="322">
        <f t="shared" si="83"/>
        <v>0</v>
      </c>
    </row>
    <row r="440" spans="1:19">
      <c r="A440" s="155"/>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0</v>
      </c>
      <c r="R440" s="669">
        <f t="shared" si="82"/>
        <v>0</v>
      </c>
      <c r="S440" s="322">
        <f t="shared" si="83"/>
        <v>0</v>
      </c>
    </row>
    <row r="441" spans="1:19">
      <c r="A441" s="155"/>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0</v>
      </c>
      <c r="R441" s="669">
        <f t="shared" si="82"/>
        <v>0</v>
      </c>
      <c r="S441" s="322">
        <f t="shared" si="83"/>
        <v>0</v>
      </c>
    </row>
    <row r="442" spans="1:19">
      <c r="A442" s="155"/>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0</v>
      </c>
      <c r="R442" s="669">
        <f t="shared" si="82"/>
        <v>0</v>
      </c>
      <c r="S442" s="322">
        <f t="shared" si="83"/>
        <v>0</v>
      </c>
    </row>
    <row r="443" spans="1:19">
      <c r="A443" s="155"/>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0</v>
      </c>
      <c r="R443" s="669">
        <f t="shared" si="82"/>
        <v>0</v>
      </c>
      <c r="S443" s="322">
        <f t="shared" si="83"/>
        <v>0</v>
      </c>
    </row>
    <row r="444" spans="1:19">
      <c r="A444" s="155"/>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0</v>
      </c>
      <c r="R444" s="669">
        <f t="shared" si="82"/>
        <v>0</v>
      </c>
      <c r="S444" s="322">
        <f t="shared" si="83"/>
        <v>0</v>
      </c>
    </row>
    <row r="445" spans="1:19">
      <c r="A445" s="155"/>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0</v>
      </c>
      <c r="R445" s="669">
        <f t="shared" si="82"/>
        <v>0</v>
      </c>
      <c r="S445" s="322">
        <f t="shared" si="83"/>
        <v>0</v>
      </c>
    </row>
    <row r="446" spans="1:19">
      <c r="A446" s="155"/>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0</v>
      </c>
      <c r="R446" s="669">
        <f t="shared" si="82"/>
        <v>0</v>
      </c>
      <c r="S446" s="322">
        <f t="shared" si="83"/>
        <v>0</v>
      </c>
    </row>
    <row r="447" spans="1:19">
      <c r="A447" s="155"/>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0</v>
      </c>
      <c r="R447" s="669">
        <f t="shared" si="82"/>
        <v>0</v>
      </c>
      <c r="S447" s="322">
        <f t="shared" si="83"/>
        <v>0</v>
      </c>
    </row>
    <row r="448" spans="1:19">
      <c r="A448" s="155"/>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0</v>
      </c>
      <c r="R448" s="669">
        <f t="shared" si="82"/>
        <v>0</v>
      </c>
      <c r="S448" s="322">
        <f t="shared" si="83"/>
        <v>0</v>
      </c>
    </row>
    <row r="449" spans="1:19">
      <c r="A449" s="155"/>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0</v>
      </c>
      <c r="R449" s="669">
        <f t="shared" si="82"/>
        <v>0</v>
      </c>
      <c r="S449" s="322">
        <f t="shared" si="83"/>
        <v>0</v>
      </c>
    </row>
    <row r="450" spans="1:19">
      <c r="A450" s="155"/>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0</v>
      </c>
      <c r="R450" s="669">
        <f t="shared" si="82"/>
        <v>0</v>
      </c>
      <c r="S450" s="322">
        <f t="shared" si="83"/>
        <v>0</v>
      </c>
    </row>
    <row r="451" spans="1:19">
      <c r="A451" s="155"/>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0</v>
      </c>
      <c r="R451" s="669">
        <f t="shared" si="82"/>
        <v>0</v>
      </c>
      <c r="S451" s="322">
        <f t="shared" si="83"/>
        <v>0</v>
      </c>
    </row>
    <row r="452" spans="1:19">
      <c r="A452" s="155"/>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0</v>
      </c>
      <c r="R452" s="669">
        <f t="shared" si="82"/>
        <v>0</v>
      </c>
      <c r="S452" s="322">
        <f t="shared" si="83"/>
        <v>0</v>
      </c>
    </row>
    <row r="453" spans="1:19">
      <c r="A453" s="155"/>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0</v>
      </c>
      <c r="R453" s="669">
        <f t="shared" si="82"/>
        <v>0</v>
      </c>
      <c r="S453" s="322">
        <f t="shared" si="83"/>
        <v>0</v>
      </c>
    </row>
    <row r="454" spans="1:19">
      <c r="A454" s="155"/>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0</v>
      </c>
      <c r="R454" s="669">
        <f t="shared" si="82"/>
        <v>0</v>
      </c>
      <c r="S454" s="322">
        <f t="shared" si="83"/>
        <v>0</v>
      </c>
    </row>
    <row r="455" spans="1:19">
      <c r="A455" s="155"/>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0</v>
      </c>
      <c r="R455" s="669">
        <f t="shared" si="82"/>
        <v>0</v>
      </c>
      <c r="S455" s="322">
        <f t="shared" si="83"/>
        <v>0</v>
      </c>
    </row>
    <row r="456" spans="1:19">
      <c r="A456" s="155"/>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0</v>
      </c>
      <c r="R456" s="669">
        <f t="shared" si="82"/>
        <v>0</v>
      </c>
      <c r="S456" s="322">
        <f t="shared" si="83"/>
        <v>0</v>
      </c>
    </row>
    <row r="457" spans="1:19">
      <c r="A457" s="155"/>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0</v>
      </c>
      <c r="R457" s="669">
        <f t="shared" si="82"/>
        <v>0</v>
      </c>
      <c r="S457" s="322">
        <f t="shared" si="83"/>
        <v>0</v>
      </c>
    </row>
    <row r="458" spans="1:19">
      <c r="A458" s="155"/>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0</v>
      </c>
      <c r="R458" s="669">
        <f t="shared" si="82"/>
        <v>0</v>
      </c>
      <c r="S458" s="322">
        <f t="shared" si="83"/>
        <v>0</v>
      </c>
    </row>
    <row r="459" spans="1:19">
      <c r="A459" s="155"/>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0</v>
      </c>
      <c r="R459" s="669">
        <f t="shared" si="82"/>
        <v>0</v>
      </c>
      <c r="S459" s="322">
        <f t="shared" si="83"/>
        <v>0</v>
      </c>
    </row>
    <row r="460" spans="1:19">
      <c r="A460" s="155"/>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0</v>
      </c>
      <c r="R460" s="669">
        <f t="shared" si="82"/>
        <v>0</v>
      </c>
      <c r="S460" s="322">
        <f t="shared" si="83"/>
        <v>0</v>
      </c>
    </row>
    <row r="461" spans="1:19">
      <c r="A461" s="155"/>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0</v>
      </c>
      <c r="R461" s="669">
        <f t="shared" si="82"/>
        <v>0</v>
      </c>
      <c r="S461" s="322">
        <f t="shared" si="83"/>
        <v>0</v>
      </c>
    </row>
    <row r="462" spans="1:19">
      <c r="A462" s="155"/>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0</v>
      </c>
      <c r="R462" s="669">
        <f t="shared" si="82"/>
        <v>0</v>
      </c>
      <c r="S462" s="322">
        <f t="shared" si="83"/>
        <v>0</v>
      </c>
    </row>
    <row r="463" spans="1:19">
      <c r="A463" s="155"/>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0</v>
      </c>
      <c r="R463" s="669">
        <f t="shared" si="82"/>
        <v>0</v>
      </c>
      <c r="S463" s="322">
        <f t="shared" si="83"/>
        <v>0</v>
      </c>
    </row>
    <row r="464" spans="1:19">
      <c r="A464" s="155"/>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0</v>
      </c>
      <c r="R464" s="669">
        <f t="shared" si="82"/>
        <v>0</v>
      </c>
      <c r="S464" s="322">
        <f t="shared" si="83"/>
        <v>0</v>
      </c>
    </row>
    <row r="465" spans="1:19">
      <c r="A465" s="155"/>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0</v>
      </c>
      <c r="R465" s="669">
        <f t="shared" si="82"/>
        <v>0</v>
      </c>
      <c r="S465" s="322">
        <f t="shared" si="83"/>
        <v>0</v>
      </c>
    </row>
    <row r="466" spans="1:19">
      <c r="A466" s="155"/>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0</v>
      </c>
      <c r="R466" s="669">
        <f t="shared" si="82"/>
        <v>0</v>
      </c>
      <c r="S466" s="322">
        <f t="shared" si="83"/>
        <v>0</v>
      </c>
    </row>
    <row r="467" spans="1:19">
      <c r="A467" s="155"/>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0</v>
      </c>
      <c r="R467" s="669">
        <f t="shared" si="82"/>
        <v>0</v>
      </c>
      <c r="S467" s="322">
        <f t="shared" si="83"/>
        <v>0</v>
      </c>
    </row>
    <row r="468" spans="1:19">
      <c r="A468" s="155"/>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0</v>
      </c>
      <c r="R468" s="669">
        <f t="shared" si="82"/>
        <v>0</v>
      </c>
      <c r="S468" s="322">
        <f t="shared" ref="S468:S497" si="84">ROUND(R468*B468/10000,0)</f>
        <v>0</v>
      </c>
    </row>
    <row r="469" spans="1:19">
      <c r="A469" s="155"/>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0</v>
      </c>
      <c r="R469" s="669">
        <f t="shared" si="82"/>
        <v>0</v>
      </c>
      <c r="S469" s="322">
        <f t="shared" si="84"/>
        <v>0</v>
      </c>
    </row>
    <row r="470" spans="1:19">
      <c r="A470" s="155"/>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0</v>
      </c>
      <c r="R470" s="669">
        <f t="shared" si="82"/>
        <v>0</v>
      </c>
      <c r="S470" s="322">
        <f t="shared" si="84"/>
        <v>0</v>
      </c>
    </row>
    <row r="471" spans="1:19">
      <c r="A471" s="155"/>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0</v>
      </c>
      <c r="R471" s="669">
        <f t="shared" si="82"/>
        <v>0</v>
      </c>
      <c r="S471" s="322">
        <f t="shared" si="84"/>
        <v>0</v>
      </c>
    </row>
    <row r="472" spans="1:19">
      <c r="A472" s="155"/>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0</v>
      </c>
      <c r="R472" s="669">
        <f t="shared" si="82"/>
        <v>0</v>
      </c>
      <c r="S472" s="322">
        <f t="shared" si="84"/>
        <v>0</v>
      </c>
    </row>
    <row r="473" spans="1:19">
      <c r="A473" s="155"/>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0</v>
      </c>
      <c r="R473" s="669">
        <f t="shared" si="82"/>
        <v>0</v>
      </c>
      <c r="S473" s="322">
        <f t="shared" si="84"/>
        <v>0</v>
      </c>
    </row>
    <row r="474" spans="1:19">
      <c r="A474" s="155"/>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2">
        <f t="shared" si="84"/>
        <v>0</v>
      </c>
    </row>
    <row r="475" spans="1:19">
      <c r="A475" s="155"/>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0</v>
      </c>
      <c r="R475" s="669">
        <f t="shared" si="93"/>
        <v>0</v>
      </c>
      <c r="S475" s="322">
        <f t="shared" si="84"/>
        <v>0</v>
      </c>
    </row>
    <row r="476" spans="1:19">
      <c r="A476" s="155"/>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0</v>
      </c>
      <c r="R476" s="669">
        <f t="shared" si="93"/>
        <v>0</v>
      </c>
      <c r="S476" s="322">
        <f t="shared" si="84"/>
        <v>0</v>
      </c>
    </row>
    <row r="477" spans="1:19">
      <c r="A477" s="155"/>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0</v>
      </c>
      <c r="R477" s="669">
        <f t="shared" si="93"/>
        <v>0</v>
      </c>
      <c r="S477" s="322">
        <f t="shared" si="84"/>
        <v>0</v>
      </c>
    </row>
    <row r="478" spans="1:19">
      <c r="A478" s="155"/>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0</v>
      </c>
      <c r="R478" s="669">
        <f t="shared" si="93"/>
        <v>0</v>
      </c>
      <c r="S478" s="322">
        <f t="shared" si="84"/>
        <v>0</v>
      </c>
    </row>
    <row r="479" spans="1:19">
      <c r="A479" s="155"/>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0</v>
      </c>
      <c r="R479" s="669">
        <f t="shared" si="93"/>
        <v>0</v>
      </c>
      <c r="S479" s="322">
        <f t="shared" si="84"/>
        <v>0</v>
      </c>
    </row>
    <row r="480" spans="1:19">
      <c r="A480" s="155"/>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0</v>
      </c>
      <c r="R480" s="669">
        <f t="shared" si="93"/>
        <v>0</v>
      </c>
      <c r="S480" s="322">
        <f t="shared" si="84"/>
        <v>0</v>
      </c>
    </row>
    <row r="481" spans="1:19">
      <c r="A481" s="155"/>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0</v>
      </c>
      <c r="R481" s="669">
        <f t="shared" si="93"/>
        <v>0</v>
      </c>
      <c r="S481" s="322">
        <f t="shared" si="84"/>
        <v>0</v>
      </c>
    </row>
    <row r="482" spans="1:19">
      <c r="A482" s="155"/>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0</v>
      </c>
      <c r="R482" s="669">
        <f t="shared" si="93"/>
        <v>0</v>
      </c>
      <c r="S482" s="322">
        <f t="shared" si="84"/>
        <v>0</v>
      </c>
    </row>
    <row r="483" spans="1:19">
      <c r="A483" s="155"/>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0</v>
      </c>
      <c r="R483" s="669">
        <f t="shared" si="93"/>
        <v>0</v>
      </c>
      <c r="S483" s="322">
        <f t="shared" si="84"/>
        <v>0</v>
      </c>
    </row>
    <row r="484" spans="1:19">
      <c r="A484" s="155"/>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0</v>
      </c>
      <c r="R484" s="669">
        <f t="shared" si="93"/>
        <v>0</v>
      </c>
      <c r="S484" s="322">
        <f t="shared" si="84"/>
        <v>0</v>
      </c>
    </row>
    <row r="485" spans="1:19">
      <c r="A485" s="155"/>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0</v>
      </c>
      <c r="R485" s="669">
        <f t="shared" si="93"/>
        <v>0</v>
      </c>
      <c r="S485" s="322">
        <f t="shared" si="84"/>
        <v>0</v>
      </c>
    </row>
    <row r="486" spans="1:19">
      <c r="A486" s="155"/>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0</v>
      </c>
      <c r="R486" s="669">
        <f t="shared" si="93"/>
        <v>0</v>
      </c>
      <c r="S486" s="322">
        <f t="shared" si="84"/>
        <v>0</v>
      </c>
    </row>
    <row r="487" spans="1:19">
      <c r="A487" s="155"/>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0</v>
      </c>
      <c r="R487" s="669">
        <f t="shared" si="93"/>
        <v>0</v>
      </c>
      <c r="S487" s="322">
        <f t="shared" si="84"/>
        <v>0</v>
      </c>
    </row>
    <row r="488" spans="1:19">
      <c r="A488" s="155"/>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0</v>
      </c>
      <c r="R488" s="669">
        <f t="shared" si="93"/>
        <v>0</v>
      </c>
      <c r="S488" s="322">
        <f t="shared" si="84"/>
        <v>0</v>
      </c>
    </row>
    <row r="489" spans="1:19">
      <c r="A489" s="155"/>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0</v>
      </c>
      <c r="R489" s="669">
        <f t="shared" si="93"/>
        <v>0</v>
      </c>
      <c r="S489" s="322">
        <f t="shared" si="84"/>
        <v>0</v>
      </c>
    </row>
    <row r="490" spans="1:19">
      <c r="A490" s="155"/>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0</v>
      </c>
      <c r="R490" s="669">
        <f t="shared" si="93"/>
        <v>0</v>
      </c>
      <c r="S490" s="322">
        <f t="shared" si="84"/>
        <v>0</v>
      </c>
    </row>
    <row r="491" spans="1:19">
      <c r="A491" s="155"/>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0</v>
      </c>
      <c r="R491" s="669">
        <f t="shared" si="93"/>
        <v>0</v>
      </c>
      <c r="S491" s="322">
        <f t="shared" si="84"/>
        <v>0</v>
      </c>
    </row>
    <row r="492" spans="1:19">
      <c r="A492" s="155"/>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0</v>
      </c>
      <c r="R492" s="669">
        <f t="shared" si="93"/>
        <v>0</v>
      </c>
      <c r="S492" s="322">
        <f t="shared" si="84"/>
        <v>0</v>
      </c>
    </row>
    <row r="493" spans="1:19">
      <c r="A493" s="155"/>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0</v>
      </c>
      <c r="R493" s="669">
        <f t="shared" si="93"/>
        <v>0</v>
      </c>
      <c r="S493" s="322">
        <f t="shared" si="84"/>
        <v>0</v>
      </c>
    </row>
    <row r="494" spans="1:19">
      <c r="A494" s="155"/>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0</v>
      </c>
      <c r="R494" s="669">
        <f t="shared" si="93"/>
        <v>0</v>
      </c>
      <c r="S494" s="322">
        <f t="shared" si="84"/>
        <v>0</v>
      </c>
    </row>
    <row r="495" spans="1:19">
      <c r="A495" s="155"/>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0</v>
      </c>
      <c r="R495" s="669">
        <f t="shared" si="93"/>
        <v>0</v>
      </c>
      <c r="S495" s="322">
        <f t="shared" si="84"/>
        <v>0</v>
      </c>
    </row>
    <row r="496" spans="1:19">
      <c r="A496" s="155"/>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0</v>
      </c>
      <c r="R496" s="669">
        <f t="shared" si="93"/>
        <v>0</v>
      </c>
      <c r="S496" s="322">
        <f t="shared" si="84"/>
        <v>0</v>
      </c>
    </row>
    <row r="497" spans="1:19">
      <c r="A497" s="155"/>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0</v>
      </c>
      <c r="R497" s="669">
        <f t="shared" si="93"/>
        <v>0</v>
      </c>
      <c r="S497" s="322">
        <f t="shared" si="84"/>
        <v>0</v>
      </c>
    </row>
    <row r="498" spans="1:19">
      <c r="A498" s="155"/>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0</v>
      </c>
      <c r="R498" s="669">
        <f t="shared" si="93"/>
        <v>0</v>
      </c>
      <c r="S498" s="322">
        <f t="shared" ref="S498:S524" si="94">ROUND(R498*B498/10000,0)</f>
        <v>0</v>
      </c>
    </row>
    <row r="499" spans="1:19">
      <c r="A499" s="155"/>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0</v>
      </c>
      <c r="R499" s="669">
        <f t="shared" si="93"/>
        <v>0</v>
      </c>
      <c r="S499" s="322">
        <f t="shared" si="94"/>
        <v>0</v>
      </c>
    </row>
    <row r="500" spans="1:19">
      <c r="A500" s="155"/>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0</v>
      </c>
      <c r="R500" s="669">
        <f t="shared" si="93"/>
        <v>0</v>
      </c>
      <c r="S500" s="322">
        <f t="shared" si="94"/>
        <v>0</v>
      </c>
    </row>
    <row r="501" spans="1:19">
      <c r="A501" s="155"/>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0</v>
      </c>
      <c r="R501" s="669">
        <f t="shared" si="93"/>
        <v>0</v>
      </c>
      <c r="S501" s="322">
        <f t="shared" si="94"/>
        <v>0</v>
      </c>
    </row>
    <row r="502" spans="1:19">
      <c r="A502" s="155"/>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0</v>
      </c>
      <c r="R502" s="669">
        <f t="shared" si="93"/>
        <v>0</v>
      </c>
      <c r="S502" s="322">
        <f t="shared" si="94"/>
        <v>0</v>
      </c>
    </row>
    <row r="503" spans="1:19">
      <c r="A503" s="155"/>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0</v>
      </c>
      <c r="R503" s="669">
        <f t="shared" si="93"/>
        <v>0</v>
      </c>
      <c r="S503" s="322">
        <f t="shared" si="94"/>
        <v>0</v>
      </c>
    </row>
    <row r="504" spans="1:19">
      <c r="A504" s="155"/>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0</v>
      </c>
      <c r="R504" s="669">
        <f t="shared" si="93"/>
        <v>0</v>
      </c>
      <c r="S504" s="322">
        <f t="shared" si="94"/>
        <v>0</v>
      </c>
    </row>
    <row r="505" spans="1:19">
      <c r="A505" s="155"/>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0</v>
      </c>
      <c r="R505" s="669">
        <f t="shared" si="93"/>
        <v>0</v>
      </c>
      <c r="S505" s="322">
        <f t="shared" si="94"/>
        <v>0</v>
      </c>
    </row>
    <row r="506" spans="1:19">
      <c r="A506" s="155"/>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0</v>
      </c>
      <c r="R506" s="669">
        <f t="shared" si="93"/>
        <v>0</v>
      </c>
      <c r="S506" s="322">
        <f t="shared" si="94"/>
        <v>0</v>
      </c>
    </row>
    <row r="507" spans="1:19">
      <c r="A507" s="155"/>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0</v>
      </c>
      <c r="R507" s="669">
        <f t="shared" si="93"/>
        <v>0</v>
      </c>
      <c r="S507" s="322">
        <f t="shared" si="94"/>
        <v>0</v>
      </c>
    </row>
    <row r="508" spans="1:19">
      <c r="A508" s="155"/>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0</v>
      </c>
      <c r="R508" s="669">
        <f t="shared" si="93"/>
        <v>0</v>
      </c>
      <c r="S508" s="322">
        <f t="shared" si="94"/>
        <v>0</v>
      </c>
    </row>
    <row r="509" spans="1:19">
      <c r="A509" s="155"/>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0</v>
      </c>
      <c r="R509" s="669">
        <f t="shared" si="93"/>
        <v>0</v>
      </c>
      <c r="S509" s="322">
        <f t="shared" si="94"/>
        <v>0</v>
      </c>
    </row>
    <row r="510" spans="1:19">
      <c r="A510" s="155"/>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0</v>
      </c>
      <c r="R510" s="669">
        <f t="shared" si="93"/>
        <v>0</v>
      </c>
      <c r="S510" s="322">
        <f t="shared" si="94"/>
        <v>0</v>
      </c>
    </row>
    <row r="511" spans="1:19">
      <c r="A511" s="155"/>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0</v>
      </c>
      <c r="R511" s="669">
        <f t="shared" si="93"/>
        <v>0</v>
      </c>
      <c r="S511" s="322">
        <f t="shared" si="94"/>
        <v>0</v>
      </c>
    </row>
    <row r="512" spans="1:19">
      <c r="A512" s="155"/>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0</v>
      </c>
      <c r="R512" s="669">
        <f t="shared" si="93"/>
        <v>0</v>
      </c>
      <c r="S512" s="322">
        <f t="shared" si="94"/>
        <v>0</v>
      </c>
    </row>
    <row r="513" spans="1:19">
      <c r="A513" s="155"/>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0</v>
      </c>
      <c r="R513" s="669">
        <f t="shared" si="93"/>
        <v>0</v>
      </c>
      <c r="S513" s="322">
        <f t="shared" si="94"/>
        <v>0</v>
      </c>
    </row>
    <row r="514" spans="1:19">
      <c r="A514" s="155"/>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0</v>
      </c>
      <c r="R514" s="669">
        <f t="shared" si="93"/>
        <v>0</v>
      </c>
      <c r="S514" s="322">
        <f t="shared" si="94"/>
        <v>0</v>
      </c>
    </row>
    <row r="515" spans="1:19">
      <c r="A515" s="155"/>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0</v>
      </c>
      <c r="R515" s="669">
        <f t="shared" si="93"/>
        <v>0</v>
      </c>
      <c r="S515" s="322">
        <f t="shared" si="94"/>
        <v>0</v>
      </c>
    </row>
    <row r="516" spans="1:19">
      <c r="A516" s="155"/>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0</v>
      </c>
      <c r="R516" s="669">
        <f t="shared" si="93"/>
        <v>0</v>
      </c>
      <c r="S516" s="322">
        <f t="shared" si="94"/>
        <v>0</v>
      </c>
    </row>
    <row r="517" spans="1:19">
      <c r="A517" s="155"/>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0</v>
      </c>
      <c r="R517" s="669">
        <f t="shared" si="93"/>
        <v>0</v>
      </c>
      <c r="S517" s="322">
        <f t="shared" si="94"/>
        <v>0</v>
      </c>
    </row>
    <row r="518" spans="1:19">
      <c r="A518" s="155"/>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0</v>
      </c>
      <c r="R518" s="669">
        <f t="shared" si="93"/>
        <v>0</v>
      </c>
      <c r="S518" s="322">
        <f t="shared" si="94"/>
        <v>0</v>
      </c>
    </row>
    <row r="519" spans="1:19">
      <c r="A519" s="155"/>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0</v>
      </c>
      <c r="R519" s="669">
        <f t="shared" si="93"/>
        <v>0</v>
      </c>
      <c r="S519" s="322">
        <f t="shared" si="94"/>
        <v>0</v>
      </c>
    </row>
    <row r="520" spans="1:19">
      <c r="A520" s="155"/>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0</v>
      </c>
      <c r="R520" s="669">
        <f t="shared" si="93"/>
        <v>0</v>
      </c>
      <c r="S520" s="322">
        <f t="shared" si="94"/>
        <v>0</v>
      </c>
    </row>
    <row r="521" spans="1:19">
      <c r="A521" s="155"/>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0</v>
      </c>
      <c r="R521" s="669">
        <f t="shared" si="93"/>
        <v>0</v>
      </c>
      <c r="S521" s="322">
        <f t="shared" si="94"/>
        <v>0</v>
      </c>
    </row>
    <row r="522" spans="1:19">
      <c r="A522" s="155"/>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0</v>
      </c>
      <c r="R522" s="669">
        <f t="shared" si="93"/>
        <v>0</v>
      </c>
      <c r="S522" s="322">
        <f t="shared" si="94"/>
        <v>0</v>
      </c>
    </row>
    <row r="523" spans="1:19">
      <c r="A523" s="155"/>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0</v>
      </c>
      <c r="R523" s="669">
        <f t="shared" si="93"/>
        <v>0</v>
      </c>
      <c r="S523" s="322">
        <f t="shared" si="94"/>
        <v>0</v>
      </c>
    </row>
    <row r="524" spans="1:19">
      <c r="A524" s="155"/>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0</v>
      </c>
      <c r="R524" s="669">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国民信托有限公司：</v>
      </c>
    </row>
    <row r="4" spans="1:1" ht="18">
      <c r="A4" s="1613" t="str">
        <f>"受贵公司委托，我公司对"&amp;项目基本情况!S1&amp;"进行了预评估。"</f>
        <v>受贵公司委托，我公司对湖北省黄石市房地产抵押价值进行了预评估。</v>
      </c>
    </row>
    <row r="5" spans="1:1" ht="18.75">
      <c r="A5" s="1614" t="s">
        <v>1336</v>
      </c>
    </row>
    <row r="6" spans="1:1" ht="18.75">
      <c r="A6" s="1615" t="s">
        <v>1337</v>
      </c>
    </row>
    <row r="7" spans="1:1" ht="54">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估价对象为湖北省黄石市房地产，为所有。根据《国有土地使用证》[]，估价对象（分摊）出让国有建设用地使用权面积为0平方米，建筑面积为254.29平方米。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估价对象为湖北省黄石市房地产,属开发建设的商业项目，该项目尚在开发建设中。根据《国有土地使用证》[]，估价对象（分摊）出让国有建设用地使用权面积为0平方米，规划建筑面积为254.29平方米。</v>
      </c>
    </row>
    <row r="11" spans="1:1" ht="76.5">
      <c r="A11" s="1616" t="s">
        <v>1340</v>
      </c>
    </row>
    <row r="12" spans="1:1" ht="18.75">
      <c r="A12" s="1614" t="s">
        <v>1341</v>
      </c>
    </row>
    <row r="13" spans="1:1" ht="38.25" customHeight="1">
      <c r="A13" s="161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2022年5月17日（评估专业人员实地查勘之日）</v>
      </c>
    </row>
    <row r="16" spans="1:1" ht="18.75">
      <c r="A16" s="1618" t="s">
        <v>1343</v>
      </c>
    </row>
    <row r="17" spans="1:1" ht="75">
      <c r="A17" s="1613" t="s">
        <v>1344</v>
      </c>
    </row>
    <row r="18" spans="1:1" ht="72">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17日，估价对象规划用途为其他商服用地/营业，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其他商服用地/营业，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8" t="s">
        <v>1333</v>
      </c>
    </row>
    <row r="24" spans="1:1" ht="18">
      <c r="A24" s="1620" t="str">
        <f>"本次评估采用的主估价方法为"&amp;结果表!K4&amp;"和"&amp;结果表!L4&amp;"。"</f>
        <v>本次评估采用的主估价方法为比较法和收益法。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9D3B8-021D-425D-BCE5-17A9DD6F8E12}">
  <dimension ref="A1"/>
  <sheetViews>
    <sheetView topLeftCell="A139" zoomScale="138" workbookViewId="0">
      <selection activeCell="X127" sqref="X127"/>
    </sheetView>
  </sheetViews>
  <sheetFormatPr defaultColWidth="8.875" defaultRowHeight="13.5"/>
  <sheetData/>
  <phoneticPr fontId="14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9C0-352A-4B5C-BFA1-BA93FCAD282D}">
  <dimension ref="A1"/>
  <sheetViews>
    <sheetView workbookViewId="0">
      <selection activeCell="A61" sqref="A61"/>
    </sheetView>
  </sheetViews>
  <sheetFormatPr defaultColWidth="8.875" defaultRowHeight="13.5"/>
  <sheetData/>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ColWidth="8.875" defaultRowHeight="13.3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625" style="3177" customWidth="1"/>
    <col min="11" max="11" width="11.625" style="3177" customWidth="1"/>
    <col min="12" max="13" width="10.62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625" style="3017" customWidth="1"/>
    <col min="267" max="267" width="11.625" style="3017" customWidth="1"/>
    <col min="268" max="269" width="10.62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625" style="3017" customWidth="1"/>
    <col min="523" max="523" width="11.625" style="3017" customWidth="1"/>
    <col min="524" max="525" width="10.62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625" style="3017" customWidth="1"/>
    <col min="779" max="779" width="11.625" style="3017" customWidth="1"/>
    <col min="780" max="781" width="10.62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625" style="3017" customWidth="1"/>
    <col min="1035" max="1035" width="11.625" style="3017" customWidth="1"/>
    <col min="1036" max="1037" width="10.62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625" style="3017" customWidth="1"/>
    <col min="1291" max="1291" width="11.625" style="3017" customWidth="1"/>
    <col min="1292" max="1293" width="10.62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625" style="3017" customWidth="1"/>
    <col min="1547" max="1547" width="11.625" style="3017" customWidth="1"/>
    <col min="1548" max="1549" width="10.62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625" style="3017" customWidth="1"/>
    <col min="1803" max="1803" width="11.625" style="3017" customWidth="1"/>
    <col min="1804" max="1805" width="10.62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625" style="3017" customWidth="1"/>
    <col min="2059" max="2059" width="11.625" style="3017" customWidth="1"/>
    <col min="2060" max="2061" width="10.62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625" style="3017" customWidth="1"/>
    <col min="2315" max="2315" width="11.625" style="3017" customWidth="1"/>
    <col min="2316" max="2317" width="10.62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625" style="3017" customWidth="1"/>
    <col min="2571" max="2571" width="11.625" style="3017" customWidth="1"/>
    <col min="2572" max="2573" width="10.62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625" style="3017" customWidth="1"/>
    <col min="2827" max="2827" width="11.625" style="3017" customWidth="1"/>
    <col min="2828" max="2829" width="10.62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625" style="3017" customWidth="1"/>
    <col min="3083" max="3083" width="11.625" style="3017" customWidth="1"/>
    <col min="3084" max="3085" width="10.62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625" style="3017" customWidth="1"/>
    <col min="3339" max="3339" width="11.625" style="3017" customWidth="1"/>
    <col min="3340" max="3341" width="10.62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625" style="3017" customWidth="1"/>
    <col min="3595" max="3595" width="11.625" style="3017" customWidth="1"/>
    <col min="3596" max="3597" width="10.62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625" style="3017" customWidth="1"/>
    <col min="3851" max="3851" width="11.625" style="3017" customWidth="1"/>
    <col min="3852" max="3853" width="10.62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625" style="3017" customWidth="1"/>
    <col min="4107" max="4107" width="11.625" style="3017" customWidth="1"/>
    <col min="4108" max="4109" width="10.62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625" style="3017" customWidth="1"/>
    <col min="4363" max="4363" width="11.625" style="3017" customWidth="1"/>
    <col min="4364" max="4365" width="10.62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625" style="3017" customWidth="1"/>
    <col min="4619" max="4619" width="11.625" style="3017" customWidth="1"/>
    <col min="4620" max="4621" width="10.62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625" style="3017" customWidth="1"/>
    <col min="4875" max="4875" width="11.625" style="3017" customWidth="1"/>
    <col min="4876" max="4877" width="10.62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625" style="3017" customWidth="1"/>
    <col min="5131" max="5131" width="11.625" style="3017" customWidth="1"/>
    <col min="5132" max="5133" width="10.62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625" style="3017" customWidth="1"/>
    <col min="5387" max="5387" width="11.625" style="3017" customWidth="1"/>
    <col min="5388" max="5389" width="10.62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625" style="3017" customWidth="1"/>
    <col min="5643" max="5643" width="11.625" style="3017" customWidth="1"/>
    <col min="5644" max="5645" width="10.62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625" style="3017" customWidth="1"/>
    <col min="5899" max="5899" width="11.625" style="3017" customWidth="1"/>
    <col min="5900" max="5901" width="10.62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625" style="3017" customWidth="1"/>
    <col min="6155" max="6155" width="11.625" style="3017" customWidth="1"/>
    <col min="6156" max="6157" width="10.62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625" style="3017" customWidth="1"/>
    <col min="6411" max="6411" width="11.625" style="3017" customWidth="1"/>
    <col min="6412" max="6413" width="10.62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625" style="3017" customWidth="1"/>
    <col min="6667" max="6667" width="11.625" style="3017" customWidth="1"/>
    <col min="6668" max="6669" width="10.62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625" style="3017" customWidth="1"/>
    <col min="6923" max="6923" width="11.625" style="3017" customWidth="1"/>
    <col min="6924" max="6925" width="10.62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625" style="3017" customWidth="1"/>
    <col min="7179" max="7179" width="11.625" style="3017" customWidth="1"/>
    <col min="7180" max="7181" width="10.62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625" style="3017" customWidth="1"/>
    <col min="7435" max="7435" width="11.625" style="3017" customWidth="1"/>
    <col min="7436" max="7437" width="10.62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625" style="3017" customWidth="1"/>
    <col min="7691" max="7691" width="11.625" style="3017" customWidth="1"/>
    <col min="7692" max="7693" width="10.62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625" style="3017" customWidth="1"/>
    <col min="7947" max="7947" width="11.625" style="3017" customWidth="1"/>
    <col min="7948" max="7949" width="10.62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625" style="3017" customWidth="1"/>
    <col min="8203" max="8203" width="11.625" style="3017" customWidth="1"/>
    <col min="8204" max="8205" width="10.62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625" style="3017" customWidth="1"/>
    <col min="8459" max="8459" width="11.625" style="3017" customWidth="1"/>
    <col min="8460" max="8461" width="10.62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625" style="3017" customWidth="1"/>
    <col min="8715" max="8715" width="11.625" style="3017" customWidth="1"/>
    <col min="8716" max="8717" width="10.62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625" style="3017" customWidth="1"/>
    <col min="8971" max="8971" width="11.625" style="3017" customWidth="1"/>
    <col min="8972" max="8973" width="10.62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625" style="3017" customWidth="1"/>
    <col min="9227" max="9227" width="11.625" style="3017" customWidth="1"/>
    <col min="9228" max="9229" width="10.62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625" style="3017" customWidth="1"/>
    <col min="9483" max="9483" width="11.625" style="3017" customWidth="1"/>
    <col min="9484" max="9485" width="10.62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625" style="3017" customWidth="1"/>
    <col min="9739" max="9739" width="11.625" style="3017" customWidth="1"/>
    <col min="9740" max="9741" width="10.62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625" style="3017" customWidth="1"/>
    <col min="9995" max="9995" width="11.625" style="3017" customWidth="1"/>
    <col min="9996" max="9997" width="10.62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625" style="3017" customWidth="1"/>
    <col min="10251" max="10251" width="11.625" style="3017" customWidth="1"/>
    <col min="10252" max="10253" width="10.62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625" style="3017" customWidth="1"/>
    <col min="10507" max="10507" width="11.625" style="3017" customWidth="1"/>
    <col min="10508" max="10509" width="10.62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625" style="3017" customWidth="1"/>
    <col min="10763" max="10763" width="11.625" style="3017" customWidth="1"/>
    <col min="10764" max="10765" width="10.62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625" style="3017" customWidth="1"/>
    <col min="11019" max="11019" width="11.625" style="3017" customWidth="1"/>
    <col min="11020" max="11021" width="10.62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625" style="3017" customWidth="1"/>
    <col min="11275" max="11275" width="11.625" style="3017" customWidth="1"/>
    <col min="11276" max="11277" width="10.62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625" style="3017" customWidth="1"/>
    <col min="11531" max="11531" width="11.625" style="3017" customWidth="1"/>
    <col min="11532" max="11533" width="10.62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625" style="3017" customWidth="1"/>
    <col min="11787" max="11787" width="11.625" style="3017" customWidth="1"/>
    <col min="11788" max="11789" width="10.62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625" style="3017" customWidth="1"/>
    <col min="12043" max="12043" width="11.625" style="3017" customWidth="1"/>
    <col min="12044" max="12045" width="10.62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625" style="3017" customWidth="1"/>
    <col min="12299" max="12299" width="11.625" style="3017" customWidth="1"/>
    <col min="12300" max="12301" width="10.62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625" style="3017" customWidth="1"/>
    <col min="12555" max="12555" width="11.625" style="3017" customWidth="1"/>
    <col min="12556" max="12557" width="10.62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625" style="3017" customWidth="1"/>
    <col min="12811" max="12811" width="11.625" style="3017" customWidth="1"/>
    <col min="12812" max="12813" width="10.62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625" style="3017" customWidth="1"/>
    <col min="13067" max="13067" width="11.625" style="3017" customWidth="1"/>
    <col min="13068" max="13069" width="10.62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625" style="3017" customWidth="1"/>
    <col min="13323" max="13323" width="11.625" style="3017" customWidth="1"/>
    <col min="13324" max="13325" width="10.62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625" style="3017" customWidth="1"/>
    <col min="13579" max="13579" width="11.625" style="3017" customWidth="1"/>
    <col min="13580" max="13581" width="10.62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625" style="3017" customWidth="1"/>
    <col min="13835" max="13835" width="11.625" style="3017" customWidth="1"/>
    <col min="13836" max="13837" width="10.62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625" style="3017" customWidth="1"/>
    <col min="14091" max="14091" width="11.625" style="3017" customWidth="1"/>
    <col min="14092" max="14093" width="10.62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625" style="3017" customWidth="1"/>
    <col min="14347" max="14347" width="11.625" style="3017" customWidth="1"/>
    <col min="14348" max="14349" width="10.62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625" style="3017" customWidth="1"/>
    <col min="14603" max="14603" width="11.625" style="3017" customWidth="1"/>
    <col min="14604" max="14605" width="10.62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625" style="3017" customWidth="1"/>
    <col min="14859" max="14859" width="11.625" style="3017" customWidth="1"/>
    <col min="14860" max="14861" width="10.62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625" style="3017" customWidth="1"/>
    <col min="15115" max="15115" width="11.625" style="3017" customWidth="1"/>
    <col min="15116" max="15117" width="10.62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625" style="3017" customWidth="1"/>
    <col min="15371" max="15371" width="11.625" style="3017" customWidth="1"/>
    <col min="15372" max="15373" width="10.62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625" style="3017" customWidth="1"/>
    <col min="15627" max="15627" width="11.625" style="3017" customWidth="1"/>
    <col min="15628" max="15629" width="10.62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625" style="3017" customWidth="1"/>
    <col min="15883" max="15883" width="11.625" style="3017" customWidth="1"/>
    <col min="15884" max="15885" width="10.62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625" style="3017" customWidth="1"/>
    <col min="16139" max="16139" width="11.625" style="3017" customWidth="1"/>
    <col min="16140" max="16141" width="10.62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2936</v>
      </c>
      <c r="B1" s="3007"/>
      <c r="C1" s="3019"/>
      <c r="D1" s="3019"/>
      <c r="E1" s="3008"/>
      <c r="F1" s="3009"/>
      <c r="G1" s="3010"/>
      <c r="J1" s="3013" t="s">
        <v>2815</v>
      </c>
      <c r="K1" s="3014"/>
      <c r="L1" s="3014"/>
      <c r="M1" s="3014"/>
      <c r="N1" s="3014"/>
      <c r="O1" s="3014"/>
      <c r="P1" s="3014"/>
      <c r="Q1" s="3014"/>
      <c r="R1" s="3015"/>
      <c r="S1" s="3016"/>
      <c r="T1" s="3016"/>
      <c r="U1" s="3016"/>
    </row>
    <row r="2" spans="1:22" s="3028" customFormat="1" ht="13.35" customHeight="1">
      <c r="A2" s="1517" t="s">
        <v>2816</v>
      </c>
      <c r="B2" s="3018" t="e">
        <f>C40</f>
        <v>#DIV/0!</v>
      </c>
      <c r="C2" s="3019" t="s">
        <v>2817</v>
      </c>
      <c r="D2" s="3019"/>
      <c r="E2" s="3020"/>
      <c r="F2" s="3021"/>
      <c r="G2" s="3022"/>
      <c r="H2" s="3023"/>
      <c r="I2" s="3024"/>
      <c r="J2" s="3517" t="s">
        <v>2818</v>
      </c>
      <c r="K2" s="3518"/>
      <c r="L2" s="3025" t="s">
        <v>2819</v>
      </c>
      <c r="M2" s="3025" t="s">
        <v>2820</v>
      </c>
      <c r="N2" s="3025" t="s">
        <v>2821</v>
      </c>
      <c r="O2" s="3025" t="s">
        <v>2822</v>
      </c>
      <c r="P2" s="3025" t="s">
        <v>2823</v>
      </c>
      <c r="Q2" s="3026" t="s">
        <v>2824</v>
      </c>
      <c r="R2" s="3027" t="s">
        <v>2825</v>
      </c>
      <c r="S2" s="3016"/>
      <c r="T2" s="3016"/>
      <c r="U2" s="3016"/>
      <c r="V2" s="3024"/>
    </row>
    <row r="3" spans="1:22" s="3028" customFormat="1" ht="13.35" customHeight="1">
      <c r="A3" s="3029" t="s">
        <v>2826</v>
      </c>
      <c r="B3" s="3030" t="e">
        <f>ROUND(B2*10000/B4,0)</f>
        <v>#DIV/0!</v>
      </c>
      <c r="C3" s="3019" t="s">
        <v>2827</v>
      </c>
      <c r="D3" s="3019"/>
      <c r="E3" s="3020"/>
      <c r="F3" s="3021"/>
      <c r="G3" s="3022"/>
      <c r="H3" s="3023"/>
      <c r="I3" s="3024"/>
      <c r="J3" s="3519" t="s">
        <v>2828</v>
      </c>
      <c r="K3" s="3520"/>
      <c r="L3" s="3031"/>
      <c r="M3" s="3031"/>
      <c r="N3" s="3031"/>
      <c r="O3" s="3031"/>
      <c r="P3" s="3031"/>
      <c r="Q3" s="3032"/>
      <c r="R3" s="3033">
        <f>SUM(L3:Q3)</f>
        <v>0</v>
      </c>
      <c r="S3" s="3016"/>
      <c r="T3" s="3016"/>
      <c r="U3" s="3016"/>
      <c r="V3" s="3024"/>
    </row>
    <row r="4" spans="1:22" s="3028" customFormat="1" ht="13.35" customHeight="1">
      <c r="A4" s="3034" t="s">
        <v>2829</v>
      </c>
      <c r="B4" s="3035"/>
      <c r="C4" s="3019"/>
      <c r="D4" s="3019"/>
      <c r="E4" s="3020"/>
      <c r="F4" s="3021"/>
      <c r="G4" s="3022"/>
      <c r="H4" s="3023"/>
      <c r="I4" s="3024"/>
      <c r="J4" s="3519" t="s">
        <v>2830</v>
      </c>
      <c r="K4" s="3520"/>
      <c r="L4" s="3036"/>
      <c r="M4" s="3036"/>
      <c r="N4" s="3036"/>
      <c r="O4" s="3036"/>
      <c r="P4" s="3036"/>
      <c r="Q4" s="3037"/>
      <c r="R4" s="3038">
        <f>SUM(L4:Q4)</f>
        <v>0</v>
      </c>
      <c r="S4" s="3016"/>
      <c r="T4" s="3016"/>
      <c r="U4" s="3016"/>
      <c r="V4" s="3024"/>
    </row>
    <row r="5" spans="1:22" s="3028" customFormat="1" ht="13.35" customHeight="1" thickBot="1">
      <c r="A5" s="3039" t="s">
        <v>2831</v>
      </c>
      <c r="B5" s="3040"/>
      <c r="C5" s="3019"/>
      <c r="D5" s="3041"/>
      <c r="E5" s="3021"/>
      <c r="F5" s="3021"/>
      <c r="G5" s="3022"/>
      <c r="H5" s="3023"/>
      <c r="I5" s="3024"/>
      <c r="J5" s="3042" t="s">
        <v>2832</v>
      </c>
      <c r="K5" s="3043"/>
      <c r="L5" s="3043"/>
      <c r="M5" s="3044"/>
      <c r="N5" s="3044"/>
      <c r="O5" s="3044"/>
      <c r="P5" s="3044"/>
      <c r="Q5" s="3044"/>
      <c r="R5" s="3027">
        <f>SUM(R14,R19,R24,R25,R27,R28)</f>
        <v>0</v>
      </c>
      <c r="S5" s="3016"/>
      <c r="T5" s="3016" t="s">
        <v>2833</v>
      </c>
      <c r="U5" s="3016" t="e">
        <f>ROUND(R5*10000/365/R3,1)</f>
        <v>#DIV/0!</v>
      </c>
      <c r="V5" s="3024"/>
    </row>
    <row r="6" spans="1:22" s="3028" customFormat="1" ht="13.35" customHeight="1" thickBot="1">
      <c r="A6" s="3521" t="s">
        <v>2834</v>
      </c>
      <c r="B6" s="3522"/>
      <c r="C6" s="3523"/>
      <c r="D6" s="3045"/>
      <c r="E6" s="3046"/>
      <c r="F6" s="3047"/>
      <c r="G6" s="3048"/>
      <c r="H6" s="3023"/>
      <c r="I6" s="3024"/>
      <c r="J6" s="3524">
        <v>1</v>
      </c>
      <c r="K6" s="3525" t="s">
        <v>2835</v>
      </c>
      <c r="L6" s="3049" t="s">
        <v>2836</v>
      </c>
      <c r="M6" s="3050" t="s">
        <v>2837</v>
      </c>
      <c r="N6" s="3050" t="s">
        <v>2838</v>
      </c>
      <c r="O6" s="3050" t="s">
        <v>2839</v>
      </c>
      <c r="P6" s="3050" t="s">
        <v>2840</v>
      </c>
      <c r="Q6" s="3050" t="s">
        <v>2841</v>
      </c>
      <c r="R6" s="3033" t="s">
        <v>2842</v>
      </c>
      <c r="S6" s="3016"/>
      <c r="T6" s="3016" t="s">
        <v>2843</v>
      </c>
      <c r="U6" s="3016"/>
      <c r="V6" s="3024"/>
    </row>
    <row r="7" spans="1:22" s="3028" customFormat="1" ht="13.35" customHeight="1">
      <c r="A7" s="3051" t="s">
        <v>2844</v>
      </c>
      <c r="B7" s="3052"/>
      <c r="C7" s="3053"/>
      <c r="D7" s="3054">
        <f>SUM(D9,D10,D11,D17,0)</f>
        <v>0</v>
      </c>
      <c r="E7" s="3055" t="e">
        <f>E9+E10+E11+E17</f>
        <v>#DIV/0!</v>
      </c>
      <c r="F7" s="3056"/>
      <c r="G7" s="3057"/>
      <c r="H7" s="3023"/>
      <c r="I7" s="3024"/>
      <c r="J7" s="3524"/>
      <c r="K7" s="3526"/>
      <c r="L7" s="3058" t="s">
        <v>2845</v>
      </c>
      <c r="M7" s="3059"/>
      <c r="N7" s="3035"/>
      <c r="O7" s="3060"/>
      <c r="P7" s="3060"/>
      <c r="Q7" s="3061">
        <v>365</v>
      </c>
      <c r="R7" s="3062">
        <f>ROUND(M7*N7*O7*P7*Q7/10000,0)</f>
        <v>0</v>
      </c>
      <c r="S7" s="3016"/>
      <c r="T7" s="3016" t="s">
        <v>2846</v>
      </c>
      <c r="U7" s="3016"/>
      <c r="V7" s="3024"/>
    </row>
    <row r="8" spans="1:22" s="3028" customFormat="1" ht="13.35" customHeight="1">
      <c r="A8" s="3063" t="s">
        <v>2847</v>
      </c>
      <c r="B8" s="3528" t="s">
        <v>2848</v>
      </c>
      <c r="C8" s="3529"/>
      <c r="D8" s="3064" t="s">
        <v>2849</v>
      </c>
      <c r="E8" s="3065" t="s">
        <v>2850</v>
      </c>
      <c r="F8" s="3066" t="s">
        <v>2851</v>
      </c>
      <c r="G8" s="3067"/>
      <c r="H8" s="3023"/>
      <c r="I8" s="3024"/>
      <c r="J8" s="3524"/>
      <c r="K8" s="3526"/>
      <c r="L8" s="3058" t="s">
        <v>2852</v>
      </c>
      <c r="M8" s="3059"/>
      <c r="N8" s="3035"/>
      <c r="O8" s="3060"/>
      <c r="P8" s="3060"/>
      <c r="Q8" s="3061">
        <v>365</v>
      </c>
      <c r="R8" s="3062">
        <f t="shared" ref="R8:R13" si="0">ROUND(M8*N8*O8*P8*Q8/10000,0)</f>
        <v>0</v>
      </c>
      <c r="S8" s="3016"/>
      <c r="T8" s="3016" t="s">
        <v>2853</v>
      </c>
      <c r="U8" s="3016"/>
      <c r="V8" s="3024"/>
    </row>
    <row r="9" spans="1:22" s="3028" customFormat="1" ht="13.35" customHeight="1">
      <c r="A9" s="3063">
        <v>1</v>
      </c>
      <c r="B9" s="3528" t="s">
        <v>2854</v>
      </c>
      <c r="C9" s="3529"/>
      <c r="D9" s="3064">
        <f>ROUND(D6*E9,0)</f>
        <v>0</v>
      </c>
      <c r="E9" s="3068"/>
      <c r="F9" s="3069" t="s">
        <v>2855</v>
      </c>
      <c r="G9" s="3048"/>
      <c r="H9" s="3023"/>
      <c r="I9" s="3024"/>
      <c r="J9" s="3524"/>
      <c r="K9" s="3526"/>
      <c r="L9" s="3058" t="s">
        <v>2856</v>
      </c>
      <c r="M9" s="3059"/>
      <c r="N9" s="3035"/>
      <c r="O9" s="3060"/>
      <c r="P9" s="3060"/>
      <c r="Q9" s="3061">
        <v>365</v>
      </c>
      <c r="R9" s="3062">
        <f t="shared" si="0"/>
        <v>0</v>
      </c>
      <c r="S9" s="3016"/>
      <c r="T9" s="3016"/>
      <c r="U9" s="3016"/>
      <c r="V9" s="3024"/>
    </row>
    <row r="10" spans="1:22" s="3028" customFormat="1" ht="13.35" customHeight="1">
      <c r="A10" s="3063">
        <v>2</v>
      </c>
      <c r="B10" s="3528" t="s">
        <v>2857</v>
      </c>
      <c r="C10" s="3529"/>
      <c r="D10" s="3064">
        <f>ROUND(D6*E10,0)</f>
        <v>0</v>
      </c>
      <c r="E10" s="3068"/>
      <c r="F10" s="3069" t="s">
        <v>2858</v>
      </c>
      <c r="G10" s="3048"/>
      <c r="H10" s="3023"/>
      <c r="I10" s="3024"/>
      <c r="J10" s="3524"/>
      <c r="K10" s="3526"/>
      <c r="L10" s="3058" t="s">
        <v>2859</v>
      </c>
      <c r="M10" s="3059"/>
      <c r="N10" s="3035"/>
      <c r="O10" s="3060"/>
      <c r="P10" s="3060"/>
      <c r="Q10" s="3061">
        <v>365</v>
      </c>
      <c r="R10" s="3062">
        <f t="shared" si="0"/>
        <v>0</v>
      </c>
      <c r="S10" s="3016"/>
      <c r="T10" s="3016"/>
      <c r="U10" s="3016"/>
      <c r="V10" s="3024"/>
    </row>
    <row r="11" spans="1:22" s="3028" customFormat="1" ht="13.35" customHeight="1">
      <c r="A11" s="3063">
        <v>3</v>
      </c>
      <c r="B11" s="3528" t="s">
        <v>2860</v>
      </c>
      <c r="C11" s="3529"/>
      <c r="D11" s="3064">
        <f>D12+D14+D15+D16</f>
        <v>0</v>
      </c>
      <c r="E11" s="3070" t="e">
        <f>D11/D6</f>
        <v>#DIV/0!</v>
      </c>
      <c r="F11" s="3066"/>
      <c r="G11" s="3067"/>
      <c r="H11" s="3023"/>
      <c r="I11" s="3024"/>
      <c r="J11" s="3524"/>
      <c r="K11" s="3526"/>
      <c r="L11" s="3058" t="s">
        <v>2861</v>
      </c>
      <c r="M11" s="3059"/>
      <c r="N11" s="3035"/>
      <c r="O11" s="3060"/>
      <c r="P11" s="3060"/>
      <c r="Q11" s="3061">
        <v>365</v>
      </c>
      <c r="R11" s="3062">
        <f t="shared" si="0"/>
        <v>0</v>
      </c>
      <c r="S11" s="3016"/>
      <c r="T11" s="3016"/>
      <c r="U11" s="3016"/>
      <c r="V11" s="3024"/>
    </row>
    <row r="12" spans="1:22" s="3028" customFormat="1" ht="13.35" customHeight="1">
      <c r="A12" s="3071" t="s">
        <v>2862</v>
      </c>
      <c r="B12" s="3530" t="s">
        <v>2863</v>
      </c>
      <c r="C12" s="3531"/>
      <c r="D12" s="3072">
        <f>ROUND(D13*1.2%*(1-30%),0)</f>
        <v>0</v>
      </c>
      <c r="E12" s="3073">
        <v>1.2E-2</v>
      </c>
      <c r="F12" s="3066" t="s">
        <v>2864</v>
      </c>
      <c r="G12" s="3067"/>
      <c r="H12" s="3023"/>
      <c r="I12" s="3024"/>
      <c r="J12" s="3524"/>
      <c r="K12" s="3526"/>
      <c r="L12" s="3058" t="s">
        <v>2865</v>
      </c>
      <c r="M12" s="3059"/>
      <c r="N12" s="3035"/>
      <c r="O12" s="3060"/>
      <c r="P12" s="3060"/>
      <c r="Q12" s="3061">
        <v>365</v>
      </c>
      <c r="R12" s="3062">
        <f t="shared" si="0"/>
        <v>0</v>
      </c>
      <c r="S12" s="3016"/>
      <c r="T12" s="3016"/>
      <c r="U12" s="3016"/>
      <c r="V12" s="3024"/>
    </row>
    <row r="13" spans="1:22" s="3028" customFormat="1" ht="13.35" customHeight="1">
      <c r="A13" s="3071"/>
      <c r="B13" s="3074"/>
      <c r="C13" s="3075" t="s">
        <v>2866</v>
      </c>
      <c r="D13" s="3076"/>
      <c r="E13" s="3077"/>
      <c r="F13" s="3066"/>
      <c r="G13" s="3067"/>
      <c r="H13" s="3023"/>
      <c r="I13" s="3024"/>
      <c r="J13" s="3524"/>
      <c r="K13" s="3526"/>
      <c r="L13" s="3058" t="s">
        <v>2867</v>
      </c>
      <c r="M13" s="3059"/>
      <c r="N13" s="3035"/>
      <c r="O13" s="3060"/>
      <c r="P13" s="3060"/>
      <c r="Q13" s="3061">
        <v>365</v>
      </c>
      <c r="R13" s="3062">
        <f t="shared" si="0"/>
        <v>0</v>
      </c>
      <c r="S13" s="3016"/>
      <c r="T13" s="3016"/>
      <c r="U13" s="3016"/>
      <c r="V13" s="3024"/>
    </row>
    <row r="14" spans="1:22" s="3028" customFormat="1" ht="13.35" customHeight="1">
      <c r="A14" s="3071" t="s">
        <v>2868</v>
      </c>
      <c r="B14" s="3530" t="s">
        <v>2869</v>
      </c>
      <c r="C14" s="3531"/>
      <c r="D14" s="3072">
        <f>ROUND(E14*B5/10000,0)</f>
        <v>0</v>
      </c>
      <c r="E14" s="3061"/>
      <c r="F14" s="3066" t="s">
        <v>2870</v>
      </c>
      <c r="G14" s="3067"/>
      <c r="H14" s="3023"/>
      <c r="I14" s="3024"/>
      <c r="J14" s="3524"/>
      <c r="K14" s="3527"/>
      <c r="L14" s="3078" t="s">
        <v>2871</v>
      </c>
      <c r="M14" s="3079">
        <f>SUM(M7:M13)</f>
        <v>0</v>
      </c>
      <c r="N14" s="3079" t="e">
        <f>ROUND((N7*M7+N8*M8+N9*M9+N10*M10+N11*M11+N12*M12+N13*M13)/M14,0)</f>
        <v>#DIV/0!</v>
      </c>
      <c r="O14" s="3080"/>
      <c r="P14" s="3080"/>
      <c r="Q14" s="3081"/>
      <c r="R14" s="3027">
        <f>SUM(R7:R13)</f>
        <v>0</v>
      </c>
      <c r="S14" s="3016"/>
      <c r="T14" s="3016"/>
      <c r="U14" s="3016"/>
      <c r="V14" s="3024"/>
    </row>
    <row r="15" spans="1:22" s="3028" customFormat="1" ht="13.35" customHeight="1">
      <c r="A15" s="3071" t="s">
        <v>2872</v>
      </c>
      <c r="B15" s="3530" t="s">
        <v>2873</v>
      </c>
      <c r="C15" s="3531"/>
      <c r="D15" s="3072">
        <f>ROUND(D6*E15,0)</f>
        <v>0</v>
      </c>
      <c r="E15" s="3073">
        <v>5.5E-2</v>
      </c>
      <c r="F15" s="3066" t="s">
        <v>2874</v>
      </c>
      <c r="G15" s="3048"/>
      <c r="H15" s="3023"/>
      <c r="I15" s="3024"/>
      <c r="J15" s="3524">
        <v>2</v>
      </c>
      <c r="K15" s="3525" t="s">
        <v>2875</v>
      </c>
      <c r="L15" s="3058" t="s">
        <v>2876</v>
      </c>
      <c r="M15" s="3059" t="s">
        <v>2877</v>
      </c>
      <c r="N15" s="3059" t="s">
        <v>2878</v>
      </c>
      <c r="O15" s="3060" t="s">
        <v>2879</v>
      </c>
      <c r="P15" s="3060" t="s">
        <v>2841</v>
      </c>
      <c r="Q15" s="3035" t="s">
        <v>2880</v>
      </c>
      <c r="R15" s="3082" t="s">
        <v>2842</v>
      </c>
      <c r="S15" s="3016"/>
      <c r="T15" s="3016"/>
      <c r="U15" s="3016"/>
      <c r="V15" s="3024"/>
    </row>
    <row r="16" spans="1:22" s="3028" customFormat="1" ht="13.35" customHeight="1">
      <c r="A16" s="3071" t="s">
        <v>2881</v>
      </c>
      <c r="B16" s="3530" t="s">
        <v>2882</v>
      </c>
      <c r="C16" s="3531"/>
      <c r="D16" s="3083">
        <f>D6*E16</f>
        <v>0</v>
      </c>
      <c r="E16" s="3084"/>
      <c r="F16" s="3069" t="s">
        <v>2883</v>
      </c>
      <c r="G16" s="3048"/>
      <c r="H16" s="3023"/>
      <c r="I16" s="3024"/>
      <c r="J16" s="3524"/>
      <c r="K16" s="3526"/>
      <c r="L16" s="3058" t="s">
        <v>2884</v>
      </c>
      <c r="M16" s="3059"/>
      <c r="N16" s="3059"/>
      <c r="O16" s="3060"/>
      <c r="P16" s="3061">
        <v>365</v>
      </c>
      <c r="Q16" s="3035"/>
      <c r="R16" s="3082">
        <f>ROUND(M16*N16*O16*P16/10000,0)</f>
        <v>0</v>
      </c>
      <c r="S16" s="3016"/>
      <c r="T16" s="3016"/>
      <c r="U16" s="3016"/>
      <c r="V16" s="3024"/>
    </row>
    <row r="17" spans="1:22" s="3028" customFormat="1" ht="13.35" customHeight="1" thickBot="1">
      <c r="A17" s="3085">
        <v>4</v>
      </c>
      <c r="B17" s="3532" t="s">
        <v>2885</v>
      </c>
      <c r="C17" s="3533"/>
      <c r="D17" s="3086">
        <f>ROUND(D6*E17,0)</f>
        <v>0</v>
      </c>
      <c r="E17" s="3087"/>
      <c r="F17" s="3088" t="s">
        <v>2886</v>
      </c>
      <c r="G17" s="3048"/>
      <c r="H17" s="3023"/>
      <c r="I17" s="3024"/>
      <c r="J17" s="3524"/>
      <c r="K17" s="3526"/>
      <c r="L17" s="3058" t="s">
        <v>2887</v>
      </c>
      <c r="M17" s="3059"/>
      <c r="N17" s="3059"/>
      <c r="O17" s="3060"/>
      <c r="P17" s="3061">
        <v>365</v>
      </c>
      <c r="Q17" s="3035"/>
      <c r="R17" s="3082">
        <f>ROUND(M17*N17*O17*P17/10000,0)</f>
        <v>0</v>
      </c>
      <c r="S17" s="3016"/>
      <c r="T17" s="3016"/>
      <c r="U17" s="3016"/>
      <c r="V17" s="3024"/>
    </row>
    <row r="18" spans="1:22" s="3028" customFormat="1" ht="13.35" customHeight="1" thickBot="1">
      <c r="A18" s="3051" t="s">
        <v>2888</v>
      </c>
      <c r="B18" s="3052"/>
      <c r="C18" s="3052"/>
      <c r="D18" s="3089">
        <f>ROUND(D6*E18,0)</f>
        <v>0</v>
      </c>
      <c r="E18" s="3090"/>
      <c r="F18" s="3091" t="s">
        <v>2889</v>
      </c>
      <c r="G18" s="3048"/>
      <c r="H18" s="3023"/>
      <c r="I18" s="3024"/>
      <c r="J18" s="3524"/>
      <c r="K18" s="3526"/>
      <c r="L18" s="3058" t="s">
        <v>2890</v>
      </c>
      <c r="M18" s="3059"/>
      <c r="N18" s="3059"/>
      <c r="O18" s="3060"/>
      <c r="P18" s="3061">
        <v>365</v>
      </c>
      <c r="Q18" s="3035"/>
      <c r="R18" s="3082">
        <f>ROUND(M18*N18*O18*P18/10000,0)</f>
        <v>0</v>
      </c>
      <c r="S18" s="3016"/>
      <c r="T18" s="3016"/>
      <c r="U18" s="3016"/>
      <c r="V18" s="3024"/>
    </row>
    <row r="19" spans="1:22" s="3028" customFormat="1" ht="13.35" customHeight="1" thickBot="1">
      <c r="A19" s="3092" t="s">
        <v>2891</v>
      </c>
      <c r="B19" s="3046"/>
      <c r="C19" s="3046"/>
      <c r="D19" s="3046"/>
      <c r="E19" s="3046"/>
      <c r="F19" s="3047"/>
      <c r="G19" s="3067"/>
      <c r="H19" s="3023"/>
      <c r="I19" s="3024"/>
      <c r="J19" s="3524"/>
      <c r="K19" s="3527"/>
      <c r="L19" s="3078" t="s">
        <v>2871</v>
      </c>
      <c r="M19" s="3079"/>
      <c r="N19" s="3079">
        <f>SUM(N16:N18)</f>
        <v>0</v>
      </c>
      <c r="O19" s="3080"/>
      <c r="P19" s="3093" t="s">
        <v>2935</v>
      </c>
      <c r="Q19" s="3060">
        <v>0</v>
      </c>
      <c r="R19" s="3094">
        <f>ROUND(IF(P19="按比例",R14*Q19,SUM(R16:R18)),0)</f>
        <v>0</v>
      </c>
      <c r="S19" s="3016"/>
      <c r="T19" s="3016"/>
      <c r="U19" s="3016"/>
      <c r="V19" s="3024"/>
    </row>
    <row r="20" spans="1:22" s="3028" customFormat="1" ht="13.35" customHeight="1">
      <c r="A20" s="3051"/>
      <c r="B20" s="3052"/>
      <c r="C20" s="3052"/>
      <c r="D20" s="3052"/>
      <c r="E20" s="3052"/>
      <c r="F20" s="3095"/>
      <c r="G20" s="3067"/>
      <c r="H20" s="3023"/>
      <c r="I20" s="3024"/>
      <c r="J20" s="3524">
        <v>3</v>
      </c>
      <c r="K20" s="3525" t="s">
        <v>2892</v>
      </c>
      <c r="L20" s="3058" t="s">
        <v>2893</v>
      </c>
      <c r="M20" s="3059" t="s">
        <v>2894</v>
      </c>
      <c r="N20" s="3096" t="s">
        <v>2895</v>
      </c>
      <c r="O20" s="3060" t="s">
        <v>2896</v>
      </c>
      <c r="P20" s="3061" t="s">
        <v>2897</v>
      </c>
      <c r="Q20" s="3035" t="s">
        <v>2898</v>
      </c>
      <c r="R20" s="3082" t="s">
        <v>2899</v>
      </c>
      <c r="S20" s="3097"/>
      <c r="T20" s="3097"/>
      <c r="U20" s="3097"/>
      <c r="V20" s="3024"/>
    </row>
    <row r="21" spans="1:22" s="3028" customFormat="1" ht="13.35" customHeight="1">
      <c r="A21" s="3051"/>
      <c r="B21" s="3052"/>
      <c r="C21" s="3098" t="s">
        <v>2900</v>
      </c>
      <c r="D21" s="3099" t="s">
        <v>2901</v>
      </c>
      <c r="E21" s="3100" t="s">
        <v>2902</v>
      </c>
      <c r="F21" s="3095"/>
      <c r="G21" s="3067"/>
      <c r="H21" s="3023"/>
      <c r="I21" s="3024"/>
      <c r="J21" s="3524"/>
      <c r="K21" s="3526"/>
      <c r="L21" s="3058" t="s">
        <v>2903</v>
      </c>
      <c r="M21" s="3059"/>
      <c r="N21" s="3059"/>
      <c r="O21" s="3060"/>
      <c r="P21" s="3061">
        <v>365</v>
      </c>
      <c r="Q21" s="3035"/>
      <c r="R21" s="3101">
        <f>ROUND(M21*N21*O21*P21/10000,0)</f>
        <v>0</v>
      </c>
      <c r="S21" s="3097"/>
      <c r="T21" s="3097"/>
      <c r="U21" s="3097"/>
      <c r="V21" s="3024"/>
    </row>
    <row r="22" spans="1:22" s="3028" customFormat="1" ht="13.35" customHeight="1">
      <c r="A22" s="3051"/>
      <c r="B22" s="3052"/>
      <c r="C22" s="3102" t="s">
        <v>2904</v>
      </c>
      <c r="D22" s="3103" t="s">
        <v>2905</v>
      </c>
      <c r="E22" s="3104" t="s">
        <v>2906</v>
      </c>
      <c r="F22" s="3095"/>
      <c r="G22" s="3105"/>
      <c r="H22" s="3023"/>
      <c r="I22" s="3024"/>
      <c r="J22" s="3524"/>
      <c r="K22" s="3526"/>
      <c r="L22" s="3058" t="s">
        <v>2907</v>
      </c>
      <c r="M22" s="3059"/>
      <c r="N22" s="3059"/>
      <c r="O22" s="3060"/>
      <c r="P22" s="3061">
        <v>365</v>
      </c>
      <c r="Q22" s="3035"/>
      <c r="R22" s="3101">
        <f>ROUND(M22*N22*O22*P22/10000,0)</f>
        <v>0</v>
      </c>
      <c r="S22" s="3097"/>
      <c r="T22" s="3097"/>
      <c r="U22" s="3097"/>
      <c r="V22" s="3024"/>
    </row>
    <row r="23" spans="1:22" s="3028" customFormat="1" ht="13.35" customHeight="1">
      <c r="A23" s="3106">
        <v>1</v>
      </c>
      <c r="B23" s="3107" t="s">
        <v>2908</v>
      </c>
      <c r="C23" s="3108">
        <f>D6</f>
        <v>0</v>
      </c>
      <c r="D23" s="3109">
        <f>C23*(1+D24)</f>
        <v>0</v>
      </c>
      <c r="E23" s="3110">
        <f>D23*(1+E24)</f>
        <v>0</v>
      </c>
      <c r="F23" s="3111"/>
      <c r="G23" s="3112"/>
      <c r="H23" s="3023"/>
      <c r="I23" s="3024"/>
      <c r="J23" s="3524"/>
      <c r="K23" s="3526"/>
      <c r="L23" s="3058" t="s">
        <v>2909</v>
      </c>
      <c r="M23" s="3059"/>
      <c r="N23" s="3059"/>
      <c r="O23" s="3060"/>
      <c r="P23" s="3061">
        <v>365</v>
      </c>
      <c r="Q23" s="3035"/>
      <c r="R23" s="3101">
        <f>ROUND(M23*N23*O23*P23/10000,0)</f>
        <v>0</v>
      </c>
      <c r="S23" s="3016"/>
      <c r="T23" s="3016"/>
      <c r="U23" s="3016"/>
      <c r="V23" s="3024"/>
    </row>
    <row r="24" spans="1:22" s="3028" customFormat="1" ht="13.35" customHeight="1">
      <c r="A24" s="3113"/>
      <c r="B24" s="3114" t="s">
        <v>2910</v>
      </c>
      <c r="C24" s="3115"/>
      <c r="D24" s="3116"/>
      <c r="E24" s="3117"/>
      <c r="F24" s="3118"/>
      <c r="G24" s="3112"/>
      <c r="H24" s="3023"/>
      <c r="I24" s="3024"/>
      <c r="J24" s="3524"/>
      <c r="K24" s="3527"/>
      <c r="L24" s="3078" t="s">
        <v>2871</v>
      </c>
      <c r="M24" s="3079">
        <f>SUM(M21:M23)</f>
        <v>0</v>
      </c>
      <c r="N24" s="3079"/>
      <c r="O24" s="3080"/>
      <c r="P24" s="3093" t="s">
        <v>2935</v>
      </c>
      <c r="Q24" s="3060">
        <v>0</v>
      </c>
      <c r="R24" s="3094">
        <f>ROUND(IF(P24="按比例",R14*Q24,SUM(R21:R23)),0)</f>
        <v>0</v>
      </c>
      <c r="S24" s="3016"/>
      <c r="T24" s="3016"/>
      <c r="U24" s="3016"/>
      <c r="V24" s="3024"/>
    </row>
    <row r="25" spans="1:22" s="3125" customFormat="1" ht="13.35" customHeight="1">
      <c r="A25" s="3113"/>
      <c r="B25" s="3114"/>
      <c r="C25" s="3115"/>
      <c r="D25" s="3116"/>
      <c r="E25" s="3117"/>
      <c r="F25" s="3118"/>
      <c r="G25" s="3105"/>
      <c r="H25" s="3023"/>
      <c r="I25" s="3024"/>
      <c r="J25" s="3119">
        <v>4</v>
      </c>
      <c r="K25" s="3120" t="s">
        <v>2911</v>
      </c>
      <c r="L25" s="3121"/>
      <c r="M25" s="3121"/>
      <c r="N25" s="3121"/>
      <c r="O25" s="3121"/>
      <c r="P25" s="3122"/>
      <c r="Q25" s="3123">
        <v>0</v>
      </c>
      <c r="R25" s="3094">
        <f>ROUND(R14*Q25,0)</f>
        <v>0</v>
      </c>
      <c r="S25" s="3016"/>
      <c r="T25" s="3016"/>
      <c r="U25" s="3016"/>
      <c r="V25" s="3124"/>
    </row>
    <row r="26" spans="1:22" s="3125" customFormat="1" ht="13.35" customHeight="1">
      <c r="A26" s="3106">
        <v>2</v>
      </c>
      <c r="B26" s="3107" t="s">
        <v>2912</v>
      </c>
      <c r="C26" s="3108">
        <f>D7</f>
        <v>0</v>
      </c>
      <c r="D26" s="3109">
        <f>D23*D27</f>
        <v>0</v>
      </c>
      <c r="E26" s="3110">
        <f>E23*E27</f>
        <v>0</v>
      </c>
      <c r="F26" s="3111"/>
      <c r="G26" s="3112"/>
      <c r="H26" s="3023"/>
      <c r="I26" s="3024"/>
      <c r="J26" s="3534">
        <v>5</v>
      </c>
      <c r="K26" s="3126" t="s">
        <v>2913</v>
      </c>
      <c r="L26" s="3127"/>
      <c r="M26" s="3128"/>
      <c r="N26" s="3129" t="s">
        <v>2914</v>
      </c>
      <c r="O26" s="3129" t="s">
        <v>2915</v>
      </c>
      <c r="P26" s="3130" t="s">
        <v>2916</v>
      </c>
      <c r="Q26" s="3130" t="s">
        <v>2917</v>
      </c>
      <c r="R26" s="3033" t="s">
        <v>2842</v>
      </c>
      <c r="S26" s="3131"/>
      <c r="T26" s="3131"/>
      <c r="U26" s="3131"/>
      <c r="V26" s="3124"/>
    </row>
    <row r="27" spans="1:22" s="3028" customFormat="1" ht="13.35" customHeight="1">
      <c r="A27" s="3113"/>
      <c r="B27" s="3114" t="s">
        <v>2918</v>
      </c>
      <c r="C27" s="3132" t="e">
        <f>E7</f>
        <v>#DIV/0!</v>
      </c>
      <c r="D27" s="3116"/>
      <c r="E27" s="3117"/>
      <c r="F27" s="3118"/>
      <c r="G27" s="3112"/>
      <c r="H27" s="3133"/>
      <c r="I27" s="3124"/>
      <c r="J27" s="3535"/>
      <c r="K27" s="3134"/>
      <c r="L27" s="3135"/>
      <c r="M27" s="3136"/>
      <c r="N27" s="3137"/>
      <c r="O27" s="3137"/>
      <c r="P27" s="3137"/>
      <c r="Q27" s="3138"/>
      <c r="R27" s="3094">
        <f>ROUND(O27*N27*P27*(1-Q27)/10000,0)</f>
        <v>0</v>
      </c>
      <c r="S27" s="3016"/>
      <c r="T27" s="3016"/>
      <c r="U27" s="3016"/>
      <c r="V27" s="3024"/>
    </row>
    <row r="28" spans="1:22" s="3125" customFormat="1" ht="13.35" customHeight="1" thickBot="1">
      <c r="A28" s="3113"/>
      <c r="B28" s="3114"/>
      <c r="C28" s="3132"/>
      <c r="D28" s="3116"/>
      <c r="E28" s="3117" t="s">
        <v>2919</v>
      </c>
      <c r="F28" s="3118"/>
      <c r="G28" s="3105"/>
      <c r="H28" s="3133"/>
      <c r="I28" s="3124"/>
      <c r="J28" s="3139">
        <v>6</v>
      </c>
      <c r="K28" s="3140" t="s">
        <v>2920</v>
      </c>
      <c r="L28" s="3141" t="s">
        <v>2921</v>
      </c>
      <c r="M28" s="3142"/>
      <c r="N28" s="3141" t="s">
        <v>2922</v>
      </c>
      <c r="O28" s="3143"/>
      <c r="P28" s="3141" t="s">
        <v>2923</v>
      </c>
      <c r="Q28" s="3144">
        <v>1.4999999999999999E-2</v>
      </c>
      <c r="R28" s="3145"/>
      <c r="S28" s="3097"/>
      <c r="T28" s="3097"/>
      <c r="U28" s="3097"/>
      <c r="V28" s="3124"/>
    </row>
    <row r="29" spans="1:22" s="3125" customFormat="1" ht="13.35" customHeight="1">
      <c r="A29" s="3106">
        <v>3</v>
      </c>
      <c r="B29" s="3107" t="s">
        <v>2924</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35" customHeight="1" thickBot="1">
      <c r="A30" s="3113"/>
      <c r="B30" s="3114" t="s">
        <v>2918</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35" customHeight="1">
      <c r="A31" s="3113"/>
      <c r="B31" s="3114"/>
      <c r="C31" s="3147"/>
      <c r="D31" s="3146"/>
      <c r="E31" s="3077"/>
      <c r="F31" s="3118"/>
      <c r="G31" s="3105"/>
      <c r="H31" s="3133"/>
      <c r="I31" s="3124"/>
      <c r="J31" s="3013" t="s">
        <v>2925</v>
      </c>
      <c r="K31" s="3014"/>
      <c r="L31" s="3014"/>
      <c r="M31" s="3014"/>
      <c r="N31" s="3014"/>
      <c r="O31" s="3014"/>
      <c r="P31" s="3014"/>
      <c r="Q31" s="3014"/>
      <c r="R31" s="3015"/>
      <c r="S31" s="3097"/>
      <c r="T31" s="3016"/>
      <c r="U31" s="3016"/>
      <c r="V31" s="3124"/>
    </row>
    <row r="32" spans="1:22" s="3125" customFormat="1" ht="13.35" customHeight="1">
      <c r="A32" s="3106">
        <v>4</v>
      </c>
      <c r="B32" s="3107" t="s">
        <v>2926</v>
      </c>
      <c r="C32" s="3108">
        <f>C23-C26-C29</f>
        <v>0</v>
      </c>
      <c r="D32" s="3109">
        <f>D23-D26-D29</f>
        <v>0</v>
      </c>
      <c r="E32" s="3110">
        <f>E23-E26-E29</f>
        <v>0</v>
      </c>
      <c r="F32" s="3111"/>
      <c r="G32" s="3105"/>
      <c r="H32" s="3023"/>
      <c r="I32" s="3024"/>
      <c r="J32" s="3517" t="s">
        <v>2818</v>
      </c>
      <c r="K32" s="3518"/>
      <c r="L32" s="3025" t="s">
        <v>2819</v>
      </c>
      <c r="M32" s="3025" t="s">
        <v>2820</v>
      </c>
      <c r="N32" s="3025" t="s">
        <v>2821</v>
      </c>
      <c r="O32" s="3025" t="s">
        <v>2822</v>
      </c>
      <c r="P32" s="3025" t="s">
        <v>2823</v>
      </c>
      <c r="Q32" s="3026" t="s">
        <v>2824</v>
      </c>
      <c r="R32" s="3148" t="s">
        <v>2825</v>
      </c>
      <c r="S32" s="3097"/>
      <c r="T32" s="3016"/>
      <c r="U32" s="3016"/>
      <c r="V32" s="3124"/>
    </row>
    <row r="33" spans="1:23" s="3028" customFormat="1" ht="13.35" customHeight="1">
      <c r="A33" s="3106"/>
      <c r="B33" s="3107"/>
      <c r="C33" s="3108"/>
      <c r="D33" s="3149"/>
      <c r="E33" s="3150"/>
      <c r="F33" s="3111"/>
      <c r="G33" s="3105"/>
      <c r="H33" s="3133"/>
      <c r="I33" s="3124"/>
      <c r="J33" s="3519" t="s">
        <v>2828</v>
      </c>
      <c r="K33" s="3520"/>
      <c r="L33" s="3031"/>
      <c r="M33" s="3031"/>
      <c r="N33" s="3031"/>
      <c r="O33" s="3031"/>
      <c r="P33" s="3031"/>
      <c r="Q33" s="3032"/>
      <c r="R33" s="3151">
        <f>SUM(L33:Q33)</f>
        <v>0</v>
      </c>
      <c r="S33" s="3097"/>
      <c r="T33" s="3016"/>
      <c r="U33" s="3016"/>
      <c r="V33" s="3024"/>
    </row>
    <row r="34" spans="1:23" s="3028" customFormat="1" ht="13.35" customHeight="1">
      <c r="A34" s="3106">
        <v>5</v>
      </c>
      <c r="B34" s="3107" t="s">
        <v>2927</v>
      </c>
      <c r="C34" s="3152"/>
      <c r="D34" s="3153"/>
      <c r="E34" s="3154"/>
      <c r="F34" s="3111"/>
      <c r="G34" s="3105"/>
      <c r="H34" s="3133"/>
      <c r="I34" s="3124"/>
      <c r="J34" s="3519" t="s">
        <v>2830</v>
      </c>
      <c r="K34" s="3520"/>
      <c r="L34" s="3036"/>
      <c r="M34" s="3036"/>
      <c r="N34" s="3036"/>
      <c r="O34" s="3036"/>
      <c r="P34" s="3036"/>
      <c r="Q34" s="3037"/>
      <c r="R34" s="3155">
        <f>SUM(L34:Q34)</f>
        <v>0</v>
      </c>
      <c r="S34" s="3097"/>
      <c r="T34" s="3016"/>
      <c r="U34" s="3016" t="e">
        <f>ROUND(R35*10000/365/R33,1)</f>
        <v>#DIV/0!</v>
      </c>
      <c r="V34" s="3024"/>
    </row>
    <row r="35" spans="1:23" s="3028" customFormat="1" ht="13.35" customHeight="1">
      <c r="A35" s="3106">
        <v>6</v>
      </c>
      <c r="B35" s="3107" t="s">
        <v>2928</v>
      </c>
      <c r="C35" s="3156"/>
      <c r="D35" s="3157"/>
      <c r="E35" s="3158"/>
      <c r="F35" s="3111"/>
      <c r="G35" s="3159"/>
      <c r="H35" s="3023"/>
      <c r="I35" s="3124"/>
      <c r="J35" s="3042" t="s">
        <v>2832</v>
      </c>
      <c r="K35" s="3043"/>
      <c r="L35" s="3043"/>
      <c r="M35" s="3044"/>
      <c r="N35" s="3044"/>
      <c r="O35" s="3044"/>
      <c r="P35" s="3044"/>
      <c r="Q35" s="3044"/>
      <c r="R35" s="3160">
        <f>R40+R41+R43</f>
        <v>0</v>
      </c>
      <c r="S35" s="3097"/>
      <c r="T35" s="3016" t="s">
        <v>2833</v>
      </c>
      <c r="U35" s="3016"/>
      <c r="V35" s="3024"/>
    </row>
    <row r="36" spans="1:23" s="3028" customFormat="1" ht="13.35" customHeight="1" thickBot="1">
      <c r="A36" s="3106">
        <v>7</v>
      </c>
      <c r="B36" s="3161" t="s">
        <v>2929</v>
      </c>
      <c r="C36" s="3162"/>
      <c r="D36" s="3163"/>
      <c r="E36" s="3164"/>
      <c r="F36" s="3165">
        <f>C36+D36+E36</f>
        <v>0</v>
      </c>
      <c r="G36" s="3105"/>
      <c r="H36" s="3023"/>
      <c r="I36" s="3024"/>
      <c r="J36" s="3524">
        <v>1</v>
      </c>
      <c r="K36" s="3525" t="s">
        <v>2930</v>
      </c>
      <c r="L36" s="3049"/>
      <c r="M36" s="3050"/>
      <c r="N36" s="3050"/>
      <c r="O36" s="3050"/>
      <c r="P36" s="3050"/>
      <c r="Q36" s="3050"/>
      <c r="R36" s="3033" t="s">
        <v>2842</v>
      </c>
      <c r="S36" s="3097"/>
      <c r="T36" s="3016" t="s">
        <v>2843</v>
      </c>
      <c r="U36" s="3016"/>
      <c r="V36" s="3024"/>
    </row>
    <row r="37" spans="1:23" s="3028" customFormat="1" ht="13.35" customHeight="1">
      <c r="A37" s="3106"/>
      <c r="B37" s="3107"/>
      <c r="C37" s="3107"/>
      <c r="D37" s="3107"/>
      <c r="E37" s="3107"/>
      <c r="F37" s="3111"/>
      <c r="G37" s="3105"/>
      <c r="H37" s="3023"/>
      <c r="I37" s="3024"/>
      <c r="J37" s="3524"/>
      <c r="K37" s="3526"/>
      <c r="L37" s="3058"/>
      <c r="M37" s="3059"/>
      <c r="N37" s="3035"/>
      <c r="O37" s="3060"/>
      <c r="P37" s="3060"/>
      <c r="Q37" s="3061"/>
      <c r="R37" s="3062"/>
      <c r="S37" s="3097"/>
      <c r="T37" s="3016" t="s">
        <v>2846</v>
      </c>
      <c r="U37" s="3016"/>
      <c r="V37" s="3024"/>
    </row>
    <row r="38" spans="1:23" s="3028" customFormat="1" ht="13.35" customHeight="1">
      <c r="A38" s="3106">
        <v>8</v>
      </c>
      <c r="B38" s="3107"/>
      <c r="C38" s="3064" t="e">
        <f>ROUND(C32*(1-((1+C35)/(1+C34))^C36)/(C34-C35),0)</f>
        <v>#DIV/0!</v>
      </c>
      <c r="D38" s="3064">
        <f>IF(D23=0,0,ROUND(D32*(1-((1+D35)/(1+D34))^D36)/(D34-D35),0))</f>
        <v>0</v>
      </c>
      <c r="E38" s="3064">
        <f>IF(E23=0,0,ROUND(E32*(1-((1+E35)/(1+E34))^E36)/(E34-E35),0))</f>
        <v>0</v>
      </c>
      <c r="F38" s="3111"/>
      <c r="G38" s="3105"/>
      <c r="H38" s="3023"/>
      <c r="I38" s="3024"/>
      <c r="J38" s="3524"/>
      <c r="K38" s="3526"/>
      <c r="L38" s="3058"/>
      <c r="M38" s="3059"/>
      <c r="N38" s="3035"/>
      <c r="O38" s="3060"/>
      <c r="P38" s="3060"/>
      <c r="Q38" s="3061"/>
      <c r="R38" s="3062"/>
      <c r="S38" s="3097"/>
      <c r="T38" s="3016" t="s">
        <v>2853</v>
      </c>
      <c r="U38" s="3016"/>
      <c r="V38" s="3024"/>
    </row>
    <row r="39" spans="1:23" s="3028" customFormat="1" ht="13.35" customHeight="1">
      <c r="A39" s="3106">
        <v>9</v>
      </c>
      <c r="B39" s="3107" t="s">
        <v>2931</v>
      </c>
      <c r="C39" s="3072" t="e">
        <f>C38</f>
        <v>#DIV/0!</v>
      </c>
      <c r="D39" s="3107">
        <f>D38/(1+D34)^C36</f>
        <v>0</v>
      </c>
      <c r="E39" s="3107">
        <f>E38/(1+E34)^(C36+D36)</f>
        <v>0</v>
      </c>
      <c r="F39" s="3111"/>
      <c r="G39" s="3166"/>
      <c r="H39" s="3023"/>
      <c r="I39" s="3024"/>
      <c r="J39" s="3524"/>
      <c r="K39" s="3526"/>
      <c r="L39" s="3058"/>
      <c r="M39" s="3059"/>
      <c r="N39" s="3035"/>
      <c r="O39" s="3060"/>
      <c r="P39" s="3060"/>
      <c r="Q39" s="3061"/>
      <c r="R39" s="3062"/>
      <c r="S39" s="3097"/>
      <c r="T39" s="3016"/>
      <c r="U39" s="3016"/>
      <c r="V39" s="3024"/>
    </row>
    <row r="40" spans="1:23" s="3028" customFormat="1" ht="13.35" customHeight="1">
      <c r="A40" s="3167">
        <v>10</v>
      </c>
      <c r="B40" s="3107" t="s">
        <v>2932</v>
      </c>
      <c r="C40" s="3168" t="e">
        <f>C39+D39+E39</f>
        <v>#DIV/0!</v>
      </c>
      <c r="D40" s="3169"/>
      <c r="E40" s="3169"/>
      <c r="F40" s="3170"/>
      <c r="G40" s="3105"/>
      <c r="H40" s="3023"/>
      <c r="I40" s="3024"/>
      <c r="J40" s="3524"/>
      <c r="K40" s="3527"/>
      <c r="L40" s="3078" t="s">
        <v>2871</v>
      </c>
      <c r="M40" s="3079"/>
      <c r="N40" s="3079"/>
      <c r="O40" s="3080"/>
      <c r="P40" s="3080"/>
      <c r="Q40" s="3081"/>
      <c r="R40" s="3027">
        <f>SUM(R37:R39)</f>
        <v>0</v>
      </c>
      <c r="S40" s="3097"/>
      <c r="T40" s="3016"/>
      <c r="U40" s="3016"/>
      <c r="V40" s="3024"/>
    </row>
    <row r="41" spans="1:23" s="3028" customFormat="1" ht="13.35" customHeight="1" thickBot="1">
      <c r="A41" s="3171">
        <v>11</v>
      </c>
      <c r="B41" s="3172" t="s">
        <v>2933</v>
      </c>
      <c r="C41" s="3172" t="e">
        <f>ROUND(C40*10000/B4,0)</f>
        <v>#DIV/0!</v>
      </c>
      <c r="D41" s="3173"/>
      <c r="E41" s="3173"/>
      <c r="F41" s="3174"/>
      <c r="G41" s="3175"/>
      <c r="H41" s="3023"/>
      <c r="I41" s="3024"/>
      <c r="J41" s="3119">
        <v>2</v>
      </c>
      <c r="K41" s="3120" t="s">
        <v>2911</v>
      </c>
      <c r="L41" s="3121"/>
      <c r="M41" s="3121"/>
      <c r="N41" s="3121"/>
      <c r="O41" s="3121"/>
      <c r="P41" s="3122"/>
      <c r="Q41" s="3123"/>
      <c r="R41" s="3094">
        <f>ROUND(R40*Q41,0)</f>
        <v>0</v>
      </c>
      <c r="S41" s="3097"/>
      <c r="T41" s="3016"/>
      <c r="U41" s="3131"/>
      <c r="V41" s="3024"/>
    </row>
    <row r="42" spans="1:23" s="3028" customFormat="1" ht="13.35" customHeight="1">
      <c r="G42" s="3175"/>
      <c r="H42" s="3023"/>
      <c r="I42" s="3024"/>
      <c r="J42" s="3534">
        <v>3</v>
      </c>
      <c r="K42" s="3126" t="s">
        <v>2913</v>
      </c>
      <c r="L42" s="3127"/>
      <c r="M42" s="3128"/>
      <c r="N42" s="3129" t="s">
        <v>2914</v>
      </c>
      <c r="O42" s="3129" t="s">
        <v>2915</v>
      </c>
      <c r="P42" s="3130" t="s">
        <v>2916</v>
      </c>
      <c r="Q42" s="3130" t="s">
        <v>2917</v>
      </c>
      <c r="R42" s="3033" t="s">
        <v>2842</v>
      </c>
      <c r="S42" s="3131"/>
      <c r="T42" s="3131"/>
      <c r="U42" s="3016"/>
      <c r="V42" s="3024"/>
    </row>
    <row r="43" spans="1:23" ht="13.35" customHeight="1">
      <c r="A43" s="3028"/>
      <c r="B43" s="3028"/>
      <c r="C43" s="3028"/>
      <c r="D43" s="3028"/>
      <c r="E43" s="3028"/>
      <c r="F43" s="3028"/>
      <c r="I43" s="3011"/>
      <c r="J43" s="3535"/>
      <c r="K43" s="3134"/>
      <c r="L43" s="3135"/>
      <c r="M43" s="3136"/>
      <c r="N43" s="3059"/>
      <c r="O43" s="3059"/>
      <c r="P43" s="3059"/>
      <c r="Q43" s="3123"/>
      <c r="R43" s="3094">
        <f>ROUND(O43*N43*P43*(1-Q43)/10000,0)</f>
        <v>0</v>
      </c>
      <c r="S43" s="3097"/>
      <c r="T43" s="3016"/>
      <c r="V43" s="3177"/>
      <c r="W43" s="3178"/>
    </row>
    <row r="44" spans="1:23" ht="13.35" customHeight="1" thickBot="1">
      <c r="J44" s="3139">
        <v>6</v>
      </c>
      <c r="K44" s="3140" t="s">
        <v>2920</v>
      </c>
      <c r="L44" s="3179" t="s">
        <v>2921</v>
      </c>
      <c r="M44" s="3142"/>
      <c r="N44" s="3179" t="s">
        <v>2922</v>
      </c>
      <c r="O44" s="3142"/>
      <c r="P44" s="3179" t="s">
        <v>2923</v>
      </c>
      <c r="Q44" s="3144">
        <v>1.4999999999999999E-2</v>
      </c>
      <c r="R44" s="31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2106</v>
      </c>
      <c r="B1" s="2002"/>
      <c r="C1" s="2002"/>
      <c r="D1" s="2002"/>
      <c r="E1" s="2003"/>
      <c r="F1" s="2880"/>
      <c r="G1" s="1622"/>
      <c r="H1" s="1622"/>
      <c r="I1" s="1622"/>
      <c r="J1" s="1622"/>
      <c r="K1" s="1622"/>
      <c r="L1" s="1622"/>
      <c r="M1" s="1622"/>
      <c r="N1" s="1622"/>
      <c r="O1" s="1622"/>
      <c r="P1" s="1622"/>
      <c r="Q1" s="1622"/>
      <c r="R1" s="1622"/>
      <c r="S1" s="1622"/>
    </row>
    <row r="2" spans="1:22" ht="15.75">
      <c r="A2" s="2004" t="s">
        <v>1907</v>
      </c>
      <c r="B2" s="2005">
        <f ca="1">SUMIF(B6:B13,"&lt;&gt;#ref!",B6:B13)</f>
        <v>203</v>
      </c>
      <c r="C2" s="2006" t="s">
        <v>2099</v>
      </c>
      <c r="D2" s="2007" t="s">
        <v>2100</v>
      </c>
      <c r="E2" s="2778">
        <f>SUM(E6:E13)</f>
        <v>254.29000000000002</v>
      </c>
      <c r="F2" s="2880"/>
      <c r="G2" s="1622"/>
      <c r="H2" s="1622"/>
      <c r="I2" s="1622"/>
      <c r="J2" s="1622"/>
      <c r="K2" s="1622"/>
      <c r="L2" s="1622"/>
      <c r="M2" s="1622"/>
      <c r="N2" s="1622"/>
      <c r="O2" s="1622"/>
      <c r="P2" s="1622"/>
      <c r="Q2" s="1622"/>
      <c r="R2" s="1622"/>
      <c r="S2" s="1622"/>
    </row>
    <row r="3" spans="1:22" ht="15.75">
      <c r="A3" s="2004" t="s">
        <v>1119</v>
      </c>
      <c r="B3" s="2772">
        <f ca="1">ROUND(B2*10000/E2,0)</f>
        <v>7983</v>
      </c>
      <c r="C3" s="2006" t="s">
        <v>2107</v>
      </c>
      <c r="D3" s="2882"/>
      <c r="E3" s="2884"/>
      <c r="F3" s="2880"/>
      <c r="G3" s="1622"/>
      <c r="H3" s="1622"/>
      <c r="I3" s="1622"/>
      <c r="J3" s="1622"/>
      <c r="K3" s="1622"/>
      <c r="L3" s="1622"/>
      <c r="M3" s="1622"/>
      <c r="N3" s="1622"/>
      <c r="O3" s="1622"/>
      <c r="P3" s="1622"/>
      <c r="Q3" s="1622"/>
      <c r="R3" s="1622"/>
      <c r="S3" s="1622"/>
    </row>
    <row r="4" spans="1:22" ht="15.75">
      <c r="A4" s="2885"/>
      <c r="B4" s="2882"/>
      <c r="C4" s="2882"/>
      <c r="D4" s="2882"/>
      <c r="E4" s="2884"/>
      <c r="F4" s="2880"/>
      <c r="G4" s="1622"/>
      <c r="H4" s="1622"/>
      <c r="I4" s="1622"/>
      <c r="J4" s="1622"/>
      <c r="K4" s="1622"/>
      <c r="L4" s="1622"/>
      <c r="M4" s="1622"/>
      <c r="N4" s="1622"/>
      <c r="O4" s="1622"/>
      <c r="P4" s="1622"/>
      <c r="Q4" s="1622"/>
      <c r="R4" s="1622"/>
      <c r="S4" s="1622"/>
    </row>
    <row r="5" spans="1:22" ht="15">
      <c r="A5" s="2774" t="s">
        <v>2101</v>
      </c>
      <c r="B5" s="3536" t="s">
        <v>2102</v>
      </c>
      <c r="C5" s="3537"/>
      <c r="D5" s="2881"/>
      <c r="E5" s="2008" t="s">
        <v>2103</v>
      </c>
      <c r="F5" s="2009" t="s">
        <v>2104</v>
      </c>
      <c r="G5" s="1622"/>
      <c r="H5" s="1622"/>
      <c r="I5" s="1622"/>
      <c r="J5" s="1622"/>
      <c r="K5" s="1622"/>
      <c r="L5" s="1622"/>
      <c r="M5" s="1622"/>
      <c r="N5" s="1622"/>
      <c r="O5" s="1622"/>
      <c r="P5" s="1622"/>
      <c r="Q5" s="1622"/>
      <c r="R5" s="1622"/>
      <c r="S5" s="1622"/>
    </row>
    <row r="6" spans="1:22">
      <c r="A6" s="2775" t="str">
        <f>'数据-取费表'!AN6</f>
        <v>收益法 (元)</v>
      </c>
      <c r="B6" s="2773">
        <f ca="1">IF(F6="是",'数据-取费表'!AO6,0)</f>
        <v>203</v>
      </c>
      <c r="C6" s="2006" t="s">
        <v>2099</v>
      </c>
      <c r="D6" s="2882"/>
      <c r="E6" s="2777">
        <f>IF(OR(A6=0,F6="否"),0,'数据-取费表'!K6+'数据-取费表'!S6)</f>
        <v>254.29000000000002</v>
      </c>
      <c r="F6" s="2010" t="s">
        <v>2105</v>
      </c>
      <c r="G6" s="1622"/>
      <c r="H6" s="1622"/>
      <c r="I6" s="1622"/>
      <c r="J6" s="1622"/>
      <c r="K6" s="1622"/>
      <c r="L6" s="1622"/>
      <c r="M6" s="1622"/>
      <c r="N6" s="1622"/>
      <c r="O6" s="1622"/>
      <c r="P6" s="1622"/>
      <c r="Q6" s="1622"/>
      <c r="R6" s="1622"/>
      <c r="S6" s="1622"/>
    </row>
    <row r="7" spans="1:22">
      <c r="A7" s="2775">
        <f>'数据-取费表'!AN7</f>
        <v>0</v>
      </c>
      <c r="B7" s="2773" t="e">
        <f ca="1">IF(F7="是",'数据-取费表'!AO7,0)</f>
        <v>#REF!</v>
      </c>
      <c r="C7" s="2006" t="s">
        <v>2099</v>
      </c>
      <c r="D7" s="2882"/>
      <c r="E7" s="2777">
        <f>IF(OR(A7=0,F7="否"),0,'数据-取费表'!K7+'数据-取费表'!S7)</f>
        <v>0</v>
      </c>
      <c r="F7" s="2010" t="s">
        <v>2105</v>
      </c>
      <c r="G7" s="1622"/>
      <c r="H7" s="1622"/>
      <c r="I7" s="1622"/>
      <c r="J7" s="1622"/>
      <c r="K7" s="1622"/>
      <c r="L7" s="1622"/>
      <c r="M7" s="1622"/>
      <c r="N7" s="1622"/>
      <c r="O7" s="1622"/>
      <c r="P7" s="1622"/>
      <c r="Q7" s="1622"/>
      <c r="R7" s="1622"/>
      <c r="S7" s="1622"/>
    </row>
    <row r="8" spans="1:22">
      <c r="A8" s="2775">
        <f>'数据-取费表'!AN8</f>
        <v>0</v>
      </c>
      <c r="B8" s="2773" t="e">
        <f ca="1">IF(F8="是",'数据-取费表'!AO8,0)</f>
        <v>#REF!</v>
      </c>
      <c r="C8" s="2006" t="s">
        <v>2099</v>
      </c>
      <c r="D8" s="2882"/>
      <c r="E8" s="2777">
        <f>IF(OR(A8=0,F8="否"),0,'数据-取费表'!K8+'数据-取费表'!S8)</f>
        <v>0</v>
      </c>
      <c r="F8" s="2010" t="s">
        <v>2105</v>
      </c>
      <c r="G8" s="1622"/>
      <c r="H8" s="1622"/>
      <c r="I8" s="1622"/>
      <c r="J8" s="1622"/>
      <c r="K8" s="1622"/>
      <c r="L8" s="1622"/>
      <c r="M8" s="1622"/>
      <c r="N8" s="1622"/>
      <c r="O8" s="1622"/>
      <c r="P8" s="1622"/>
      <c r="Q8" s="1622"/>
      <c r="R8" s="1622"/>
      <c r="S8" s="1622"/>
    </row>
    <row r="9" spans="1:22">
      <c r="A9" s="2775">
        <f>'数据-取费表'!AN9</f>
        <v>0</v>
      </c>
      <c r="B9" s="2773" t="e">
        <f ca="1">IF(F9="是",'数据-取费表'!AO9,0)</f>
        <v>#REF!</v>
      </c>
      <c r="C9" s="2006" t="s">
        <v>2099</v>
      </c>
      <c r="D9" s="2882"/>
      <c r="E9" s="2777">
        <f>IF(OR(A9=0,F9="否"),0,'数据-取费表'!K9+'数据-取费表'!S9)</f>
        <v>0</v>
      </c>
      <c r="F9" s="2010" t="s">
        <v>2105</v>
      </c>
      <c r="G9" s="1622"/>
      <c r="H9" s="1622"/>
      <c r="I9" s="1622"/>
      <c r="J9" s="1622"/>
      <c r="K9" s="1622"/>
      <c r="L9" s="1622"/>
      <c r="M9" s="1622"/>
      <c r="N9" s="1622"/>
      <c r="O9" s="1622"/>
      <c r="P9" s="1622"/>
      <c r="Q9" s="1622"/>
      <c r="R9" s="1622"/>
      <c r="S9" s="1622"/>
    </row>
    <row r="10" spans="1:22">
      <c r="A10" s="2775">
        <f>'数据-取费表'!AN10</f>
        <v>0</v>
      </c>
      <c r="B10" s="2773" t="e">
        <f ca="1">IF(F10="是",'数据-取费表'!AO10,0)</f>
        <v>#REF!</v>
      </c>
      <c r="C10" s="2006" t="s">
        <v>2099</v>
      </c>
      <c r="D10" s="2882"/>
      <c r="E10" s="2777">
        <f>IF(OR(A10=0,F10="否"),0,'数据-取费表'!K10+'数据-取费表'!S10)</f>
        <v>0</v>
      </c>
      <c r="F10" s="2010" t="s">
        <v>2105</v>
      </c>
      <c r="G10" s="1622"/>
      <c r="H10" s="1622"/>
      <c r="I10" s="1622"/>
      <c r="J10" s="1622"/>
      <c r="K10" s="1622"/>
      <c r="L10" s="1622"/>
      <c r="M10" s="1622"/>
      <c r="N10" s="1622"/>
      <c r="O10" s="1622"/>
      <c r="P10" s="1622"/>
      <c r="Q10" s="1622"/>
      <c r="R10" s="1622"/>
      <c r="S10" s="1622"/>
    </row>
    <row r="11" spans="1:22">
      <c r="A11" s="2775">
        <f>'数据-取费表'!AN11</f>
        <v>0</v>
      </c>
      <c r="B11" s="2773" t="e">
        <f ca="1">IF(F11="是",'数据-取费表'!AO11,0)</f>
        <v>#REF!</v>
      </c>
      <c r="C11" s="2006" t="s">
        <v>2099</v>
      </c>
      <c r="D11" s="2882"/>
      <c r="E11" s="2777">
        <f>IF(OR(A11=0,F11="否"),0,'数据-取费表'!K11+'数据-取费表'!S11)</f>
        <v>0</v>
      </c>
      <c r="F11" s="2010" t="s">
        <v>2105</v>
      </c>
      <c r="G11" s="1622"/>
      <c r="H11" s="1622"/>
      <c r="I11" s="1622"/>
      <c r="J11" s="1622"/>
      <c r="K11" s="1622"/>
      <c r="L11" s="1622"/>
      <c r="M11" s="1622"/>
      <c r="N11" s="1622"/>
      <c r="O11" s="1622"/>
      <c r="P11" s="1622"/>
      <c r="Q11" s="1622"/>
      <c r="R11" s="1622"/>
      <c r="S11" s="1622"/>
    </row>
    <row r="12" spans="1:22">
      <c r="A12" s="2775">
        <f>'数据-取费表'!AN12</f>
        <v>0</v>
      </c>
      <c r="B12" s="2773" t="e">
        <f ca="1">IF(F12="是",'数据-取费表'!AO12,0)</f>
        <v>#REF!</v>
      </c>
      <c r="C12" s="2006" t="s">
        <v>2099</v>
      </c>
      <c r="D12" s="2882"/>
      <c r="E12" s="2777">
        <f>IF(OR(A12=0,F12="否"),0,'数据-取费表'!K12+'数据-取费表'!S12)</f>
        <v>0</v>
      </c>
      <c r="F12" s="2010" t="s">
        <v>2105</v>
      </c>
      <c r="G12" s="1622"/>
      <c r="H12" s="1622"/>
      <c r="I12" s="1622"/>
      <c r="J12" s="1622"/>
      <c r="K12" s="1622"/>
      <c r="L12" s="1622"/>
      <c r="M12" s="1622"/>
      <c r="N12" s="1622"/>
      <c r="O12" s="1622"/>
      <c r="P12" s="1622"/>
      <c r="Q12" s="1622"/>
      <c r="R12" s="1622"/>
      <c r="S12" s="1622"/>
    </row>
    <row r="13" spans="1:22" ht="15" thickBot="1">
      <c r="A13" s="2776">
        <f>'数据-取费表'!AN13</f>
        <v>0</v>
      </c>
      <c r="B13" s="2773" t="e">
        <f ca="1">IF(F13="是",'数据-取费表'!AO13,0)</f>
        <v>#REF!</v>
      </c>
      <c r="C13" s="2011" t="s">
        <v>2099</v>
      </c>
      <c r="D13" s="2883"/>
      <c r="E13" s="2777">
        <f>IF(OR(A13=0,F13="否"),0,'数据-取费表'!K13+'数据-取费表'!S13)</f>
        <v>0</v>
      </c>
      <c r="F13" s="2010"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50"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1" customFormat="1" ht="28.5" customHeight="1" thickBot="1">
      <c r="A1" s="1340" t="s">
        <v>2108</v>
      </c>
      <c r="B1" s="2012" t="s">
        <v>2109</v>
      </c>
      <c r="C1" s="1356" t="s">
        <v>2110</v>
      </c>
      <c r="D1" s="1343"/>
      <c r="E1" s="2492"/>
      <c r="F1" s="2013" t="s">
        <v>2111</v>
      </c>
      <c r="G1" s="1353" t="s">
        <v>2112</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2113</v>
      </c>
      <c r="F2" s="2017"/>
      <c r="G2" s="1016"/>
      <c r="H2" s="1016"/>
      <c r="I2" s="1016"/>
      <c r="J2" s="1016"/>
      <c r="K2" s="2018"/>
      <c r="L2" s="2886"/>
      <c r="M2" s="2887"/>
      <c r="N2" s="2887"/>
      <c r="O2" s="2887"/>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2114</v>
      </c>
      <c r="D3" s="359">
        <f>IF(D1="",'数据-汇总表'!E3,SUMIF('数据-汇总表'!$C19:$C33,D1,'数据-汇总表'!$E19:$E33))</f>
        <v>254.29000000000002</v>
      </c>
      <c r="E3" s="1016"/>
      <c r="F3" s="2022"/>
      <c r="G3" s="1016"/>
      <c r="H3" s="1016"/>
      <c r="I3" s="1016"/>
      <c r="J3" s="1016"/>
      <c r="K3" s="2018"/>
      <c r="L3" s="2886"/>
      <c r="M3" s="2887"/>
      <c r="N3" s="2887"/>
      <c r="O3" s="2887"/>
      <c r="P3" s="2019"/>
      <c r="Q3" s="2020"/>
      <c r="R3" s="2020"/>
      <c r="S3" s="2020"/>
      <c r="T3" s="2020"/>
      <c r="U3" s="2020"/>
      <c r="V3" s="2020"/>
      <c r="W3" s="2020"/>
      <c r="X3" s="2020"/>
      <c r="Y3" s="2020"/>
      <c r="Z3" s="2020"/>
      <c r="AA3" s="2020"/>
      <c r="AB3" s="2020"/>
      <c r="AC3" s="1170"/>
    </row>
    <row r="4" spans="1:29" ht="15">
      <c r="A4" s="361" t="s">
        <v>2115</v>
      </c>
      <c r="B4" s="362"/>
      <c r="C4" s="3468" t="s">
        <v>2116</v>
      </c>
      <c r="D4" s="3469"/>
      <c r="E4" s="3470" t="s">
        <v>2117</v>
      </c>
      <c r="F4" s="3471"/>
      <c r="G4" s="3468" t="s">
        <v>2118</v>
      </c>
      <c r="H4" s="3469"/>
      <c r="I4" s="3468" t="s">
        <v>2119</v>
      </c>
      <c r="J4" s="3469"/>
      <c r="K4" s="2023" t="s">
        <v>2120</v>
      </c>
      <c r="L4" s="2888"/>
      <c r="M4" s="2889"/>
      <c r="N4" s="2889"/>
      <c r="O4" s="2889"/>
      <c r="P4" s="3472" t="s">
        <v>2121</v>
      </c>
      <c r="Q4" s="3473"/>
      <c r="R4" s="3455" t="s">
        <v>2117</v>
      </c>
      <c r="S4" s="3456"/>
      <c r="T4" s="3455" t="s">
        <v>2118</v>
      </c>
      <c r="U4" s="3456"/>
      <c r="V4" s="3480" t="s">
        <v>2119</v>
      </c>
      <c r="W4" s="3480"/>
      <c r="X4" s="1487"/>
      <c r="Y4" s="3455" t="s">
        <v>2121</v>
      </c>
      <c r="Z4" s="3456"/>
      <c r="AA4" s="3450" t="s">
        <v>2117</v>
      </c>
      <c r="AB4" s="3450" t="s">
        <v>2118</v>
      </c>
      <c r="AC4" s="3450" t="s">
        <v>2119</v>
      </c>
    </row>
    <row r="5" spans="1:29" ht="15">
      <c r="A5" s="364"/>
      <c r="B5" s="365"/>
      <c r="C5" s="3461" t="s">
        <v>2122</v>
      </c>
      <c r="D5" s="3462"/>
      <c r="E5" s="3459" t="s">
        <v>2123</v>
      </c>
      <c r="F5" s="3460"/>
      <c r="G5" s="3461" t="s">
        <v>2124</v>
      </c>
      <c r="H5" s="3462"/>
      <c r="I5" s="3461" t="s">
        <v>2125</v>
      </c>
      <c r="J5" s="3462"/>
      <c r="K5" s="2024"/>
      <c r="L5" s="2888"/>
      <c r="M5" s="2889"/>
      <c r="N5" s="2889"/>
      <c r="O5" s="2889"/>
      <c r="P5" s="3474"/>
      <c r="Q5" s="3475"/>
      <c r="R5" s="3457"/>
      <c r="S5" s="3458"/>
      <c r="T5" s="3457"/>
      <c r="U5" s="3458"/>
      <c r="V5" s="3480"/>
      <c r="W5" s="3480"/>
      <c r="X5" s="1487"/>
      <c r="Y5" s="3457"/>
      <c r="Z5" s="3458"/>
      <c r="AA5" s="3451"/>
      <c r="AB5" s="3451"/>
      <c r="AC5" s="3451"/>
    </row>
    <row r="6" spans="1:29" ht="15.75" thickBot="1">
      <c r="A6" s="366"/>
      <c r="B6" s="367"/>
      <c r="C6" s="3463" t="s">
        <v>2126</v>
      </c>
      <c r="D6" s="3464"/>
      <c r="E6" s="3465" t="s">
        <v>2126</v>
      </c>
      <c r="F6" s="3466"/>
      <c r="G6" s="3463" t="s">
        <v>2126</v>
      </c>
      <c r="H6" s="3464"/>
      <c r="I6" s="3463" t="s">
        <v>2126</v>
      </c>
      <c r="J6" s="3464"/>
      <c r="K6" s="2024" t="s">
        <v>2127</v>
      </c>
      <c r="L6" s="2888"/>
      <c r="M6" s="2889"/>
      <c r="N6" s="2889"/>
      <c r="O6" s="2889"/>
      <c r="P6" s="3476"/>
      <c r="Q6" s="3477"/>
      <c r="R6" s="3457"/>
      <c r="S6" s="3458"/>
      <c r="T6" s="3478"/>
      <c r="U6" s="3479"/>
      <c r="V6" s="3480"/>
      <c r="W6" s="3480"/>
      <c r="X6" s="1487"/>
      <c r="Y6" s="3478"/>
      <c r="Z6" s="3479"/>
      <c r="AA6" s="3452"/>
      <c r="AB6" s="3452"/>
      <c r="AC6" s="3452"/>
    </row>
    <row r="7" spans="1:29" s="113" customFormat="1" ht="15.75" thickBot="1">
      <c r="A7" s="368" t="s">
        <v>2128</v>
      </c>
      <c r="B7" s="369"/>
      <c r="C7" s="370">
        <f>'数据-取费表'!B2</f>
        <v>44698</v>
      </c>
      <c r="D7" s="371">
        <v>100</v>
      </c>
      <c r="E7" s="372"/>
      <c r="F7" s="373">
        <f>SUMIF(58:58,YEAR(E7)&amp;"-"&amp;MONTH(E7),59:59)</f>
        <v>0</v>
      </c>
      <c r="G7" s="372"/>
      <c r="H7" s="371">
        <f>SUMIF(58:58,YEAR(G7)&amp;"-"&amp;MONTH(G7),59:59)</f>
        <v>0</v>
      </c>
      <c r="I7" s="372"/>
      <c r="J7" s="371">
        <f>SUMIF(58:58,YEAR(I7)&amp;"-"&amp;MONTH(I7),59:59)</f>
        <v>0</v>
      </c>
      <c r="K7" s="2025"/>
      <c r="L7" s="2890"/>
      <c r="M7" s="2891"/>
      <c r="N7" s="2891"/>
      <c r="O7" s="2891"/>
      <c r="P7" s="3453" t="s">
        <v>2129</v>
      </c>
      <c r="Q7" s="3481"/>
      <c r="R7" s="707" t="s">
        <v>23</v>
      </c>
      <c r="S7" s="708">
        <f t="shared" ref="S7:S15" si="0">F7</f>
        <v>0</v>
      </c>
      <c r="T7" s="707" t="s">
        <v>23</v>
      </c>
      <c r="U7" s="708">
        <f t="shared" ref="U7:U15" si="1">H7</f>
        <v>0</v>
      </c>
      <c r="V7" s="707" t="s">
        <v>23</v>
      </c>
      <c r="W7" s="708">
        <f t="shared" ref="W7:W15" si="2">J7</f>
        <v>0</v>
      </c>
      <c r="X7" s="709"/>
      <c r="Y7" s="3453" t="s">
        <v>2129</v>
      </c>
      <c r="Z7" s="3454"/>
      <c r="AA7" s="710" t="e">
        <f>D7/F7</f>
        <v>#DIV/0!</v>
      </c>
      <c r="AB7" s="710" t="e">
        <f>D7/H7</f>
        <v>#DIV/0!</v>
      </c>
      <c r="AC7" s="710" t="e">
        <f>D7/J7</f>
        <v>#DIV/0!</v>
      </c>
    </row>
    <row r="8" spans="1:29" s="113" customFormat="1" ht="15.75" thickBot="1">
      <c r="A8" s="368" t="s">
        <v>2130</v>
      </c>
      <c r="B8" s="369"/>
      <c r="C8" s="374" t="s">
        <v>2131</v>
      </c>
      <c r="D8" s="371">
        <v>100</v>
      </c>
      <c r="E8" s="2026"/>
      <c r="F8" s="373">
        <f>SUMIF(61:61,E8,62:62)-SUMIF(61:61,C8,62:62)+100</f>
        <v>0</v>
      </c>
      <c r="G8" s="374"/>
      <c r="H8" s="371">
        <f>SUMIF(61:61,G8,62:62)-SUMIF(61:61,C8,62:62)+100</f>
        <v>0</v>
      </c>
      <c r="I8" s="2026"/>
      <c r="J8" s="371">
        <f>SUMIF(61:61,I8,62:62)-SUMIF(61:61,C8,62:62)+100</f>
        <v>0</v>
      </c>
      <c r="K8" s="2025"/>
      <c r="L8" s="2890"/>
      <c r="M8" s="2891"/>
      <c r="N8" s="2891"/>
      <c r="O8" s="2891"/>
      <c r="P8" s="3453" t="s">
        <v>2132</v>
      </c>
      <c r="Q8" s="3454"/>
      <c r="R8" s="707" t="s">
        <v>23</v>
      </c>
      <c r="S8" s="708">
        <f t="shared" si="0"/>
        <v>0</v>
      </c>
      <c r="T8" s="707" t="s">
        <v>23</v>
      </c>
      <c r="U8" s="708">
        <f t="shared" si="1"/>
        <v>0</v>
      </c>
      <c r="V8" s="707" t="s">
        <v>23</v>
      </c>
      <c r="W8" s="708">
        <f t="shared" si="2"/>
        <v>0</v>
      </c>
      <c r="X8" s="709"/>
      <c r="Y8" s="3453" t="s">
        <v>2132</v>
      </c>
      <c r="Z8" s="3454"/>
      <c r="AA8" s="710" t="e">
        <f t="shared" ref="AA8:AA19" si="3">D8/F8</f>
        <v>#DIV/0!</v>
      </c>
      <c r="AB8" s="710" t="e">
        <f t="shared" ref="AB8:AB19" si="4">D8/H8</f>
        <v>#DIV/0!</v>
      </c>
      <c r="AC8" s="710"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5"/>
      <c r="L9" s="2890"/>
      <c r="M9" s="2891"/>
      <c r="N9" s="2891"/>
      <c r="O9" s="2891"/>
      <c r="P9" s="3491"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491"/>
      <c r="Q10" s="1475" t="str">
        <f t="shared" si="6"/>
        <v>土地使用年限（年）</v>
      </c>
      <c r="R10" s="707" t="s">
        <v>17</v>
      </c>
      <c r="S10" s="708">
        <f t="shared" si="0"/>
        <v>100</v>
      </c>
      <c r="T10" s="707" t="s">
        <v>17</v>
      </c>
      <c r="U10" s="708">
        <f t="shared" si="1"/>
        <v>100</v>
      </c>
      <c r="V10" s="707" t="s">
        <v>17</v>
      </c>
      <c r="W10" s="708">
        <f t="shared" si="2"/>
        <v>100</v>
      </c>
      <c r="X10" s="709"/>
      <c r="Y10" s="3423"/>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491"/>
      <c r="Q11" s="1475" t="str">
        <f t="shared" si="6"/>
        <v>容积率</v>
      </c>
      <c r="R11" s="707" t="s">
        <v>21</v>
      </c>
      <c r="S11" s="708" t="e">
        <f t="shared" si="0"/>
        <v>#N/A</v>
      </c>
      <c r="T11" s="707" t="s">
        <v>21</v>
      </c>
      <c r="U11" s="708" t="e">
        <f t="shared" si="1"/>
        <v>#N/A</v>
      </c>
      <c r="V11" s="707" t="s">
        <v>21</v>
      </c>
      <c r="W11" s="708" t="e">
        <f t="shared" si="2"/>
        <v>#N/A</v>
      </c>
      <c r="X11" s="709"/>
      <c r="Y11" s="3423"/>
      <c r="Z11" s="55" t="str">
        <f t="shared" si="7"/>
        <v>容积率</v>
      </c>
      <c r="AA11" s="710" t="e">
        <f t="shared" si="3"/>
        <v>#N/A</v>
      </c>
      <c r="AB11" s="710" t="e">
        <f t="shared" si="4"/>
        <v>#N/A</v>
      </c>
      <c r="AC11" s="710" t="e">
        <f t="shared" si="5"/>
        <v>#N/A</v>
      </c>
    </row>
    <row r="12" spans="1:29" s="113" customFormat="1" ht="1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90"/>
      <c r="M12" s="2891"/>
      <c r="N12" s="2891"/>
      <c r="O12" s="2891"/>
      <c r="P12" s="3491"/>
      <c r="Q12" s="1475">
        <f t="shared" si="6"/>
        <v>111</v>
      </c>
      <c r="R12" s="707" t="s">
        <v>21</v>
      </c>
      <c r="S12" s="708">
        <f t="shared" si="0"/>
        <v>100</v>
      </c>
      <c r="T12" s="707" t="s">
        <v>21</v>
      </c>
      <c r="U12" s="708">
        <f t="shared" si="1"/>
        <v>100</v>
      </c>
      <c r="V12" s="707" t="s">
        <v>21</v>
      </c>
      <c r="W12" s="708">
        <f t="shared" si="2"/>
        <v>100</v>
      </c>
      <c r="X12" s="709"/>
      <c r="Y12" s="3423"/>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5"/>
      <c r="M13" s="2889"/>
      <c r="N13" s="2889"/>
      <c r="O13" s="2889"/>
      <c r="P13" s="3491"/>
      <c r="Q13" s="1475">
        <f t="shared" si="6"/>
        <v>111</v>
      </c>
      <c r="R13" s="707" t="s">
        <v>21</v>
      </c>
      <c r="S13" s="708">
        <f t="shared" si="0"/>
        <v>100</v>
      </c>
      <c r="T13" s="707" t="s">
        <v>21</v>
      </c>
      <c r="U13" s="708">
        <f t="shared" si="1"/>
        <v>100</v>
      </c>
      <c r="V13" s="707" t="s">
        <v>21</v>
      </c>
      <c r="W13" s="708">
        <f t="shared" si="2"/>
        <v>100</v>
      </c>
      <c r="X13" s="709"/>
      <c r="Y13" s="3423"/>
      <c r="Z13" s="55">
        <f t="shared" si="7"/>
        <v>111</v>
      </c>
      <c r="AA13" s="710">
        <f t="shared" si="3"/>
        <v>1</v>
      </c>
      <c r="AB13" s="710">
        <f t="shared" si="4"/>
        <v>1</v>
      </c>
      <c r="AC13" s="710">
        <f t="shared" si="5"/>
        <v>1</v>
      </c>
    </row>
    <row r="14" spans="1:29" ht="15.75"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5"/>
      <c r="M14" s="2889"/>
      <c r="N14" s="2889"/>
      <c r="O14" s="2889"/>
      <c r="P14" s="3491"/>
      <c r="Q14" s="1475">
        <f t="shared" si="6"/>
        <v>111</v>
      </c>
      <c r="R14" s="707" t="s">
        <v>21</v>
      </c>
      <c r="S14" s="708">
        <f t="shared" si="0"/>
        <v>100</v>
      </c>
      <c r="T14" s="707" t="s">
        <v>21</v>
      </c>
      <c r="U14" s="708">
        <f t="shared" si="1"/>
        <v>100</v>
      </c>
      <c r="V14" s="707" t="s">
        <v>21</v>
      </c>
      <c r="W14" s="708">
        <f t="shared" si="2"/>
        <v>100</v>
      </c>
      <c r="X14" s="709"/>
      <c r="Y14" s="3423"/>
      <c r="Z14" s="55">
        <f t="shared" si="7"/>
        <v>111</v>
      </c>
      <c r="AA14" s="710">
        <f t="shared" si="3"/>
        <v>1</v>
      </c>
      <c r="AB14" s="710">
        <f t="shared" si="4"/>
        <v>1</v>
      </c>
      <c r="AC14" s="710">
        <f t="shared" si="5"/>
        <v>1</v>
      </c>
    </row>
    <row r="15" spans="1:29" ht="99.75">
      <c r="A15" s="399" t="s">
        <v>2139</v>
      </c>
      <c r="B15" s="65" t="s">
        <v>1702</v>
      </c>
      <c r="C15" s="203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98" t="s">
        <v>2140</v>
      </c>
      <c r="Q15" s="1484" t="str">
        <f t="shared" si="6"/>
        <v>居住社区成熟度</v>
      </c>
      <c r="R15" s="711" t="s">
        <v>21</v>
      </c>
      <c r="S15" s="712">
        <f t="shared" si="0"/>
        <v>100</v>
      </c>
      <c r="T15" s="711" t="s">
        <v>21</v>
      </c>
      <c r="U15" s="712">
        <f t="shared" si="1"/>
        <v>100</v>
      </c>
      <c r="V15" s="711" t="s">
        <v>21</v>
      </c>
      <c r="W15" s="712">
        <f t="shared" si="2"/>
        <v>100</v>
      </c>
      <c r="X15" s="1487"/>
      <c r="Y15" s="3482" t="s">
        <v>2140</v>
      </c>
      <c r="Z15" s="1488" t="str">
        <f t="shared" si="7"/>
        <v>居住社区成熟度</v>
      </c>
      <c r="AA15" s="1485">
        <f t="shared" si="3"/>
        <v>1</v>
      </c>
      <c r="AB15" s="1485">
        <f t="shared" si="4"/>
        <v>1</v>
      </c>
      <c r="AC15" s="1485">
        <f t="shared" si="5"/>
        <v>1</v>
      </c>
    </row>
    <row r="16" spans="1:29" ht="15">
      <c r="A16" s="387"/>
      <c r="B16" s="405"/>
      <c r="C16" s="406"/>
      <c r="D16" s="407"/>
      <c r="E16" s="2031"/>
      <c r="F16" s="407"/>
      <c r="G16" s="2032"/>
      <c r="H16" s="409"/>
      <c r="I16" s="2032"/>
      <c r="J16" s="407"/>
      <c r="K16" s="2033"/>
      <c r="L16" s="2895"/>
      <c r="M16" s="2889"/>
      <c r="N16" s="2889"/>
      <c r="O16" s="2889"/>
      <c r="P16" s="3499"/>
      <c r="Q16" s="1484"/>
      <c r="R16" s="711"/>
      <c r="S16" s="712"/>
      <c r="T16" s="711"/>
      <c r="U16" s="712"/>
      <c r="V16" s="711"/>
      <c r="W16" s="712"/>
      <c r="X16" s="1487"/>
      <c r="Y16" s="3483"/>
      <c r="Z16" s="1488"/>
      <c r="AA16" s="1485">
        <v>1</v>
      </c>
      <c r="AB16" s="1485">
        <v>1</v>
      </c>
      <c r="AC16" s="1485">
        <v>1</v>
      </c>
    </row>
    <row r="17" spans="1:29" ht="85.5">
      <c r="A17" s="387"/>
      <c r="B17" s="410" t="s">
        <v>1704</v>
      </c>
      <c r="C17" s="203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499"/>
      <c r="Q17" s="1484" t="str">
        <f>B17</f>
        <v>交通便捷度</v>
      </c>
      <c r="R17" s="711" t="s">
        <v>21</v>
      </c>
      <c r="S17" s="712">
        <f>F17</f>
        <v>100</v>
      </c>
      <c r="T17" s="711" t="s">
        <v>21</v>
      </c>
      <c r="U17" s="712">
        <f>H17</f>
        <v>100</v>
      </c>
      <c r="V17" s="711" t="s">
        <v>21</v>
      </c>
      <c r="W17" s="712">
        <f>J17</f>
        <v>100</v>
      </c>
      <c r="X17" s="1487"/>
      <c r="Y17" s="3483"/>
      <c r="Z17" s="1488" t="str">
        <f>Q17</f>
        <v>交通便捷度</v>
      </c>
      <c r="AA17" s="1485">
        <f t="shared" si="3"/>
        <v>1</v>
      </c>
      <c r="AB17" s="1485">
        <f t="shared" si="4"/>
        <v>1</v>
      </c>
      <c r="AC17" s="1485">
        <f t="shared" si="5"/>
        <v>1</v>
      </c>
    </row>
    <row r="18" spans="1:29" ht="15">
      <c r="A18" s="387"/>
      <c r="B18" s="415"/>
      <c r="C18" s="2035"/>
      <c r="D18" s="409"/>
      <c r="E18" s="2036"/>
      <c r="F18" s="409"/>
      <c r="G18" s="2037"/>
      <c r="H18" s="407"/>
      <c r="I18" s="2037"/>
      <c r="J18" s="407"/>
      <c r="K18" s="2033"/>
      <c r="L18" s="2895"/>
      <c r="M18" s="2889"/>
      <c r="N18" s="2889"/>
      <c r="O18" s="2889"/>
      <c r="P18" s="3499"/>
      <c r="Q18" s="1484"/>
      <c r="R18" s="711"/>
      <c r="S18" s="712"/>
      <c r="T18" s="711"/>
      <c r="U18" s="712"/>
      <c r="V18" s="711"/>
      <c r="W18" s="712"/>
      <c r="X18" s="1487"/>
      <c r="Y18" s="3483"/>
      <c r="Z18" s="1488"/>
      <c r="AA18" s="1485">
        <v>1</v>
      </c>
      <c r="AB18" s="1485">
        <v>1</v>
      </c>
      <c r="AC18" s="1485">
        <v>1</v>
      </c>
    </row>
    <row r="19" spans="1:29" ht="42.75">
      <c r="A19" s="387"/>
      <c r="B19" s="410" t="s">
        <v>1703</v>
      </c>
      <c r="C19" s="203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499"/>
      <c r="Q19" s="1484" t="str">
        <f>B19</f>
        <v>公共配套设施</v>
      </c>
      <c r="R19" s="711" t="s">
        <v>21</v>
      </c>
      <c r="S19" s="712">
        <f>F19</f>
        <v>100</v>
      </c>
      <c r="T19" s="711" t="s">
        <v>21</v>
      </c>
      <c r="U19" s="712">
        <f>H19</f>
        <v>100</v>
      </c>
      <c r="V19" s="711" t="s">
        <v>21</v>
      </c>
      <c r="W19" s="712">
        <f>J19</f>
        <v>100</v>
      </c>
      <c r="X19" s="1487"/>
      <c r="Y19" s="3483"/>
      <c r="Z19" s="1488" t="str">
        <f>Q19</f>
        <v>公共配套设施</v>
      </c>
      <c r="AA19" s="1485">
        <f t="shared" si="3"/>
        <v>1</v>
      </c>
      <c r="AB19" s="1485">
        <f t="shared" si="4"/>
        <v>1</v>
      </c>
      <c r="AC19" s="1485">
        <f t="shared" si="5"/>
        <v>1</v>
      </c>
    </row>
    <row r="20" spans="1:29" ht="15">
      <c r="A20" s="387"/>
      <c r="B20" s="415"/>
      <c r="C20" s="406"/>
      <c r="D20" s="407"/>
      <c r="E20" s="2031"/>
      <c r="F20" s="407"/>
      <c r="G20" s="2032"/>
      <c r="H20" s="407"/>
      <c r="I20" s="2032"/>
      <c r="J20" s="407"/>
      <c r="K20" s="2033"/>
      <c r="L20" s="2895"/>
      <c r="M20" s="2889"/>
      <c r="N20" s="2889"/>
      <c r="O20" s="2889"/>
      <c r="P20" s="3499"/>
      <c r="Q20" s="1484"/>
      <c r="R20" s="711"/>
      <c r="S20" s="712"/>
      <c r="T20" s="711"/>
      <c r="U20" s="712"/>
      <c r="V20" s="711"/>
      <c r="W20" s="712"/>
      <c r="X20" s="1487"/>
      <c r="Y20" s="3483"/>
      <c r="Z20" s="1488"/>
      <c r="AA20" s="1485">
        <v>1</v>
      </c>
      <c r="AB20" s="1485">
        <v>1</v>
      </c>
      <c r="AC20" s="1485">
        <v>1</v>
      </c>
    </row>
    <row r="21" spans="1:29" ht="28.5">
      <c r="A21" s="387"/>
      <c r="B21" s="1243" t="s">
        <v>1705</v>
      </c>
      <c r="C21" s="203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499"/>
      <c r="Q21" s="1484" t="str">
        <f>B21</f>
        <v>基础设施水平</v>
      </c>
      <c r="R21" s="711" t="s">
        <v>17</v>
      </c>
      <c r="S21" s="712">
        <f>F21</f>
        <v>100</v>
      </c>
      <c r="T21" s="711" t="s">
        <v>17</v>
      </c>
      <c r="U21" s="712">
        <f>H21</f>
        <v>100</v>
      </c>
      <c r="V21" s="711" t="s">
        <v>17</v>
      </c>
      <c r="W21" s="712">
        <f>J21</f>
        <v>100</v>
      </c>
      <c r="X21" s="1487"/>
      <c r="Y21" s="3483"/>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7"/>
      <c r="G22" s="2038"/>
      <c r="H22" s="407"/>
      <c r="I22" s="406"/>
      <c r="J22" s="407"/>
      <c r="K22" s="2039"/>
      <c r="L22" s="2895"/>
      <c r="M22" s="2889"/>
      <c r="N22" s="2889"/>
      <c r="O22" s="2889"/>
      <c r="P22" s="3499"/>
      <c r="Q22" s="1484"/>
      <c r="R22" s="711"/>
      <c r="S22" s="712"/>
      <c r="T22" s="711"/>
      <c r="U22" s="712"/>
      <c r="V22" s="711"/>
      <c r="W22" s="712"/>
      <c r="X22" s="1487"/>
      <c r="Y22" s="3483"/>
      <c r="Z22" s="1488"/>
      <c r="AA22" s="1485">
        <v>1</v>
      </c>
      <c r="AB22" s="1485">
        <v>1</v>
      </c>
      <c r="AC22" s="1485">
        <v>1</v>
      </c>
    </row>
    <row r="23" spans="1:29" ht="57">
      <c r="A23" s="387"/>
      <c r="B23" s="410" t="s">
        <v>1706</v>
      </c>
      <c r="C23" s="203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499"/>
      <c r="Q23" s="1484" t="str">
        <f>B23</f>
        <v>自然及人文环境</v>
      </c>
      <c r="R23" s="711" t="s">
        <v>21</v>
      </c>
      <c r="S23" s="712">
        <f>F23</f>
        <v>100</v>
      </c>
      <c r="T23" s="711" t="s">
        <v>21</v>
      </c>
      <c r="U23" s="712">
        <f>H23</f>
        <v>100</v>
      </c>
      <c r="V23" s="711" t="s">
        <v>21</v>
      </c>
      <c r="W23" s="712">
        <f>J23</f>
        <v>100</v>
      </c>
      <c r="X23" s="1487"/>
      <c r="Y23" s="3483"/>
      <c r="Z23" s="1488" t="str">
        <f>Q23</f>
        <v>自然及人文环境</v>
      </c>
      <c r="AA23" s="1485">
        <f>D23/F23</f>
        <v>1</v>
      </c>
      <c r="AB23" s="1485">
        <f>D23/H23</f>
        <v>1</v>
      </c>
      <c r="AC23" s="1485">
        <f>D23/J23</f>
        <v>1</v>
      </c>
    </row>
    <row r="24" spans="1:29" ht="15">
      <c r="A24" s="387"/>
      <c r="B24" s="415"/>
      <c r="C24" s="406"/>
      <c r="D24" s="407"/>
      <c r="E24" s="2031"/>
      <c r="F24" s="407"/>
      <c r="G24" s="2032"/>
      <c r="H24" s="407"/>
      <c r="I24" s="2032"/>
      <c r="J24" s="407"/>
      <c r="K24" s="2033"/>
      <c r="L24" s="2895"/>
      <c r="M24" s="2889"/>
      <c r="N24" s="2889"/>
      <c r="O24" s="2889"/>
      <c r="P24" s="3499"/>
      <c r="Q24" s="1484"/>
      <c r="R24" s="711"/>
      <c r="S24" s="712"/>
      <c r="T24" s="711"/>
      <c r="U24" s="712"/>
      <c r="V24" s="711"/>
      <c r="W24" s="712"/>
      <c r="X24" s="1487"/>
      <c r="Y24" s="3483"/>
      <c r="Z24" s="1488"/>
      <c r="AA24" s="1485">
        <v>1</v>
      </c>
      <c r="AB24" s="1485">
        <v>1</v>
      </c>
      <c r="AC24" s="1485">
        <v>1</v>
      </c>
    </row>
    <row r="25" spans="1:29" ht="15">
      <c r="A25" s="387"/>
      <c r="B25" s="381" t="s">
        <v>2141</v>
      </c>
      <c r="C25" s="419"/>
      <c r="D25" s="394">
        <v>100</v>
      </c>
      <c r="E25" s="2040"/>
      <c r="F25" s="394">
        <f>SUMIF(86:86,E25,87:87)-SUMIF(86:86,C25,87:87)+100</f>
        <v>100</v>
      </c>
      <c r="G25" s="2041"/>
      <c r="H25" s="394">
        <f>SUMIF(86:86,G25,87:87)-SUMIF(86:86,C25,87:87)+100</f>
        <v>100</v>
      </c>
      <c r="I25" s="2041"/>
      <c r="J25" s="394">
        <f>SUMIF(86:86,I25,87:87)-SUMIF(86:86,C25,87:87)+100</f>
        <v>100</v>
      </c>
      <c r="K25" s="385"/>
      <c r="L25" s="2895"/>
      <c r="M25" s="2889"/>
      <c r="N25" s="2889"/>
      <c r="O25" s="2889"/>
      <c r="P25" s="3499"/>
      <c r="Q25" s="1484" t="str">
        <f t="shared" ref="Q25:Q46" si="11">B25</f>
        <v>楼层-1</v>
      </c>
      <c r="R25" s="711" t="s">
        <v>21</v>
      </c>
      <c r="S25" s="712">
        <f t="shared" ref="S25:S46" si="12">F25</f>
        <v>100</v>
      </c>
      <c r="T25" s="711" t="s">
        <v>21</v>
      </c>
      <c r="U25" s="712">
        <f t="shared" ref="U25:U46" si="13">H25</f>
        <v>100</v>
      </c>
      <c r="V25" s="711" t="s">
        <v>21</v>
      </c>
      <c r="W25" s="712">
        <f t="shared" ref="W25:W46" si="14">J25</f>
        <v>100</v>
      </c>
      <c r="X25" s="1487"/>
      <c r="Y25" s="3483"/>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40"/>
      <c r="F26" s="394">
        <f>SUMIF(88:88,E26,89:89)-SUMIF(88:88,C26,89:89)+100</f>
        <v>100</v>
      </c>
      <c r="G26" s="2041"/>
      <c r="H26" s="394">
        <f>SUMIF(88:88,G26,89:89)-SUMIF(88:88,C26,89:89)+100</f>
        <v>100</v>
      </c>
      <c r="I26" s="2041"/>
      <c r="J26" s="394">
        <f>SUMIF(88:88,I26,89:89)-SUMIF(88:88,C26,89:89)+100</f>
        <v>100</v>
      </c>
      <c r="K26" s="385"/>
      <c r="L26" s="2895"/>
      <c r="M26" s="2889"/>
      <c r="N26" s="2889"/>
      <c r="O26" s="2889"/>
      <c r="P26" s="3499"/>
      <c r="Q26" s="1484" t="str">
        <f t="shared" si="11"/>
        <v>朝向</v>
      </c>
      <c r="R26" s="711" t="s">
        <v>21</v>
      </c>
      <c r="S26" s="712">
        <f t="shared" si="12"/>
        <v>100</v>
      </c>
      <c r="T26" s="711" t="s">
        <v>21</v>
      </c>
      <c r="U26" s="712">
        <f t="shared" si="13"/>
        <v>100</v>
      </c>
      <c r="V26" s="711" t="s">
        <v>21</v>
      </c>
      <c r="W26" s="712">
        <f t="shared" si="14"/>
        <v>100</v>
      </c>
      <c r="X26" s="1487"/>
      <c r="Y26" s="3483"/>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90"/>
      <c r="M27" s="2891"/>
      <c r="N27" s="2891"/>
      <c r="O27" s="2891"/>
      <c r="P27" s="3499"/>
      <c r="Q27" s="1475">
        <f t="shared" si="11"/>
        <v>111</v>
      </c>
      <c r="R27" s="707" t="s">
        <v>21</v>
      </c>
      <c r="S27" s="708">
        <f t="shared" si="12"/>
        <v>100</v>
      </c>
      <c r="T27" s="707" t="s">
        <v>21</v>
      </c>
      <c r="U27" s="708">
        <f t="shared" si="13"/>
        <v>100</v>
      </c>
      <c r="V27" s="707" t="s">
        <v>21</v>
      </c>
      <c r="W27" s="708">
        <f t="shared" si="14"/>
        <v>100</v>
      </c>
      <c r="X27" s="709"/>
      <c r="Y27" s="3483"/>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5"/>
      <c r="M28" s="2889"/>
      <c r="N28" s="2889"/>
      <c r="O28" s="2889"/>
      <c r="P28" s="3499"/>
      <c r="Q28" s="1484">
        <f t="shared" si="11"/>
        <v>111</v>
      </c>
      <c r="R28" s="711" t="s">
        <v>21</v>
      </c>
      <c r="S28" s="712">
        <f t="shared" si="12"/>
        <v>100</v>
      </c>
      <c r="T28" s="711" t="s">
        <v>21</v>
      </c>
      <c r="U28" s="712">
        <f t="shared" si="13"/>
        <v>100</v>
      </c>
      <c r="V28" s="711" t="s">
        <v>21</v>
      </c>
      <c r="W28" s="712">
        <f t="shared" si="14"/>
        <v>100</v>
      </c>
      <c r="X28" s="1487"/>
      <c r="Y28" s="3483"/>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5"/>
      <c r="M29" s="2889"/>
      <c r="N29" s="2889"/>
      <c r="O29" s="2889"/>
      <c r="P29" s="3499"/>
      <c r="Q29" s="1484">
        <f t="shared" si="11"/>
        <v>111</v>
      </c>
      <c r="R29" s="711" t="s">
        <v>21</v>
      </c>
      <c r="S29" s="712">
        <f t="shared" si="12"/>
        <v>100</v>
      </c>
      <c r="T29" s="711" t="s">
        <v>21</v>
      </c>
      <c r="U29" s="712">
        <f t="shared" si="13"/>
        <v>100</v>
      </c>
      <c r="V29" s="711" t="s">
        <v>21</v>
      </c>
      <c r="W29" s="712">
        <f t="shared" si="14"/>
        <v>100</v>
      </c>
      <c r="X29" s="1487"/>
      <c r="Y29" s="3483"/>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5"/>
      <c r="M30" s="2889"/>
      <c r="N30" s="2889"/>
      <c r="O30" s="2889"/>
      <c r="P30" s="3499"/>
      <c r="Q30" s="1484">
        <f t="shared" si="11"/>
        <v>111</v>
      </c>
      <c r="R30" s="711" t="s">
        <v>21</v>
      </c>
      <c r="S30" s="712">
        <f t="shared" si="12"/>
        <v>100</v>
      </c>
      <c r="T30" s="711" t="s">
        <v>21</v>
      </c>
      <c r="U30" s="712">
        <f t="shared" si="13"/>
        <v>100</v>
      </c>
      <c r="V30" s="711" t="s">
        <v>21</v>
      </c>
      <c r="W30" s="712">
        <f t="shared" si="14"/>
        <v>100</v>
      </c>
      <c r="X30" s="1487"/>
      <c r="Y30" s="3483"/>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5"/>
      <c r="M31" s="2889"/>
      <c r="N31" s="2889"/>
      <c r="O31" s="2889"/>
      <c r="P31" s="3499"/>
      <c r="Q31" s="1484">
        <f t="shared" si="11"/>
        <v>111</v>
      </c>
      <c r="R31" s="711" t="s">
        <v>21</v>
      </c>
      <c r="S31" s="712">
        <f t="shared" si="12"/>
        <v>100</v>
      </c>
      <c r="T31" s="711" t="s">
        <v>21</v>
      </c>
      <c r="U31" s="712">
        <f t="shared" si="13"/>
        <v>100</v>
      </c>
      <c r="V31" s="711" t="s">
        <v>21</v>
      </c>
      <c r="W31" s="712">
        <f t="shared" si="14"/>
        <v>100</v>
      </c>
      <c r="X31" s="1487"/>
      <c r="Y31" s="3483"/>
      <c r="Z31" s="1488">
        <f t="shared" si="18"/>
        <v>111</v>
      </c>
      <c r="AA31" s="1485">
        <f t="shared" si="15"/>
        <v>1</v>
      </c>
      <c r="AB31" s="1485">
        <f t="shared" si="16"/>
        <v>1</v>
      </c>
      <c r="AC31" s="1485">
        <f t="shared" si="17"/>
        <v>1</v>
      </c>
    </row>
    <row r="32" spans="1:29" ht="15">
      <c r="A32" s="399" t="s">
        <v>2143</v>
      </c>
      <c r="B32" s="67" t="s">
        <v>2144</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5"/>
      <c r="M32" s="2889"/>
      <c r="N32" s="2889"/>
      <c r="O32" s="2889"/>
      <c r="P32" s="3500" t="s">
        <v>2145</v>
      </c>
      <c r="Q32" s="1484" t="str">
        <f t="shared" si="11"/>
        <v>建筑类型</v>
      </c>
      <c r="R32" s="711" t="s">
        <v>21</v>
      </c>
      <c r="S32" s="712">
        <f t="shared" si="12"/>
        <v>100</v>
      </c>
      <c r="T32" s="711" t="s">
        <v>21</v>
      </c>
      <c r="U32" s="712">
        <f t="shared" si="13"/>
        <v>100</v>
      </c>
      <c r="V32" s="711" t="s">
        <v>21</v>
      </c>
      <c r="W32" s="712">
        <f t="shared" si="14"/>
        <v>100</v>
      </c>
      <c r="X32" s="1487"/>
      <c r="Y32" s="3485" t="s">
        <v>2145</v>
      </c>
      <c r="Z32" s="1488" t="str">
        <f t="shared" si="18"/>
        <v>建筑类型</v>
      </c>
      <c r="AA32" s="1485">
        <f t="shared" si="15"/>
        <v>1</v>
      </c>
      <c r="AB32" s="1485">
        <f t="shared" si="16"/>
        <v>1</v>
      </c>
      <c r="AC32" s="1485">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4"/>
      <c r="M33" s="2896"/>
      <c r="N33" s="2896"/>
      <c r="O33" s="2896"/>
      <c r="P33" s="3501"/>
      <c r="Q33" s="713" t="str">
        <f t="shared" si="11"/>
        <v>项目建筑规模</v>
      </c>
      <c r="R33" s="714" t="s">
        <v>21</v>
      </c>
      <c r="S33" s="715" t="e">
        <f t="shared" si="12"/>
        <v>#N/A</v>
      </c>
      <c r="T33" s="714" t="s">
        <v>21</v>
      </c>
      <c r="U33" s="715" t="e">
        <f t="shared" si="13"/>
        <v>#N/A</v>
      </c>
      <c r="V33" s="714" t="s">
        <v>21</v>
      </c>
      <c r="W33" s="715" t="e">
        <f t="shared" si="14"/>
        <v>#N/A</v>
      </c>
      <c r="X33" s="716"/>
      <c r="Y33" s="3485"/>
      <c r="Z33" s="717" t="str">
        <f t="shared" si="18"/>
        <v>项目建筑规模</v>
      </c>
      <c r="AA33" s="1485" t="e">
        <f t="shared" si="15"/>
        <v>#N/A</v>
      </c>
      <c r="AB33" s="1485" t="e">
        <f t="shared" si="16"/>
        <v>#N/A</v>
      </c>
      <c r="AC33" s="1485" t="e">
        <f t="shared" si="17"/>
        <v>#N/A</v>
      </c>
    </row>
    <row r="34" spans="1:29" ht="15">
      <c r="A34" s="431"/>
      <c r="B34" s="381" t="s">
        <v>2147</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5"/>
      <c r="M34" s="2889"/>
      <c r="N34" s="2889"/>
      <c r="O34" s="2889"/>
      <c r="P34" s="3501"/>
      <c r="Q34" s="1484" t="str">
        <f t="shared" si="11"/>
        <v>建筑结构</v>
      </c>
      <c r="R34" s="711" t="s">
        <v>21</v>
      </c>
      <c r="S34" s="712">
        <f t="shared" si="12"/>
        <v>100</v>
      </c>
      <c r="T34" s="711" t="s">
        <v>21</v>
      </c>
      <c r="U34" s="712">
        <f t="shared" si="13"/>
        <v>100</v>
      </c>
      <c r="V34" s="711" t="s">
        <v>21</v>
      </c>
      <c r="W34" s="712">
        <f t="shared" si="14"/>
        <v>100</v>
      </c>
      <c r="X34" s="1487"/>
      <c r="Y34" s="3485"/>
      <c r="Z34" s="1488" t="str">
        <f t="shared" si="18"/>
        <v>建筑结构</v>
      </c>
      <c r="AA34" s="1485">
        <f t="shared" si="15"/>
        <v>1</v>
      </c>
      <c r="AB34" s="1485">
        <f t="shared" si="16"/>
        <v>1</v>
      </c>
      <c r="AC34" s="1485">
        <f t="shared" si="17"/>
        <v>1</v>
      </c>
    </row>
    <row r="35" spans="1:29" ht="15">
      <c r="A35" s="431"/>
      <c r="B35" s="381" t="s">
        <v>2148</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5"/>
      <c r="M35" s="2889"/>
      <c r="N35" s="2889"/>
      <c r="O35" s="2889"/>
      <c r="P35" s="3501"/>
      <c r="Q35" s="1484" t="str">
        <f t="shared" si="11"/>
        <v>建筑品质</v>
      </c>
      <c r="R35" s="711" t="s">
        <v>21</v>
      </c>
      <c r="S35" s="712">
        <f t="shared" si="12"/>
        <v>100</v>
      </c>
      <c r="T35" s="711" t="s">
        <v>21</v>
      </c>
      <c r="U35" s="712">
        <f t="shared" si="13"/>
        <v>100</v>
      </c>
      <c r="V35" s="711" t="s">
        <v>21</v>
      </c>
      <c r="W35" s="712">
        <f t="shared" si="14"/>
        <v>100</v>
      </c>
      <c r="X35" s="1487"/>
      <c r="Y35" s="3485"/>
      <c r="Z35" s="1488" t="str">
        <f t="shared" si="18"/>
        <v>建筑品质</v>
      </c>
      <c r="AA35" s="1485">
        <f t="shared" si="15"/>
        <v>1</v>
      </c>
      <c r="AB35" s="1485">
        <f t="shared" si="16"/>
        <v>1</v>
      </c>
      <c r="AC35" s="1485">
        <f t="shared" si="17"/>
        <v>1</v>
      </c>
    </row>
    <row r="36" spans="1:29" ht="15">
      <c r="A36" s="431"/>
      <c r="B36" s="381" t="s">
        <v>2149</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5"/>
      <c r="M36" s="2889"/>
      <c r="N36" s="2889"/>
      <c r="O36" s="2889"/>
      <c r="P36" s="3501"/>
      <c r="Q36" s="1484" t="str">
        <f t="shared" si="11"/>
        <v>公共部分装修</v>
      </c>
      <c r="R36" s="711" t="s">
        <v>21</v>
      </c>
      <c r="S36" s="712">
        <f t="shared" si="12"/>
        <v>100</v>
      </c>
      <c r="T36" s="711" t="s">
        <v>21</v>
      </c>
      <c r="U36" s="712">
        <f t="shared" si="13"/>
        <v>100</v>
      </c>
      <c r="V36" s="711" t="s">
        <v>21</v>
      </c>
      <c r="W36" s="712">
        <f t="shared" si="14"/>
        <v>100</v>
      </c>
      <c r="X36" s="1487"/>
      <c r="Y36" s="3485"/>
      <c r="Z36" s="1488" t="str">
        <f t="shared" si="18"/>
        <v>公共部分装修</v>
      </c>
      <c r="AA36" s="1485">
        <f t="shared" si="15"/>
        <v>1</v>
      </c>
      <c r="AB36" s="1485">
        <f t="shared" si="16"/>
        <v>1</v>
      </c>
      <c r="AC36" s="1485">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501"/>
      <c r="Q37" s="1475" t="str">
        <f t="shared" si="11"/>
        <v>成新度</v>
      </c>
      <c r="R37" s="707" t="s">
        <v>21</v>
      </c>
      <c r="S37" s="708" t="e">
        <f t="shared" si="12"/>
        <v>#N/A</v>
      </c>
      <c r="T37" s="707" t="s">
        <v>21</v>
      </c>
      <c r="U37" s="708" t="e">
        <f t="shared" si="13"/>
        <v>#N/A</v>
      </c>
      <c r="V37" s="707" t="s">
        <v>21</v>
      </c>
      <c r="W37" s="708" t="e">
        <f t="shared" si="14"/>
        <v>#N/A</v>
      </c>
      <c r="X37" s="709"/>
      <c r="Y37" s="3485"/>
      <c r="Z37" s="55" t="str">
        <f t="shared" si="18"/>
        <v>成新度</v>
      </c>
      <c r="AA37" s="710" t="e">
        <f t="shared" si="15"/>
        <v>#N/A</v>
      </c>
      <c r="AB37" s="710" t="e">
        <f t="shared" si="16"/>
        <v>#N/A</v>
      </c>
      <c r="AC37" s="710" t="e">
        <f t="shared" si="17"/>
        <v>#N/A</v>
      </c>
    </row>
    <row r="38" spans="1:29" ht="15">
      <c r="A38" s="431"/>
      <c r="B38" s="381" t="s">
        <v>2151</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5"/>
      <c r="M38" s="2889"/>
      <c r="N38" s="2889"/>
      <c r="O38" s="2889"/>
      <c r="P38" s="3501" t="s">
        <v>2145</v>
      </c>
      <c r="Q38" s="1484" t="str">
        <f t="shared" si="11"/>
        <v>物业管理</v>
      </c>
      <c r="R38" s="711" t="s">
        <v>21</v>
      </c>
      <c r="S38" s="712">
        <f t="shared" si="12"/>
        <v>100</v>
      </c>
      <c r="T38" s="711" t="s">
        <v>21</v>
      </c>
      <c r="U38" s="712">
        <f t="shared" si="13"/>
        <v>100</v>
      </c>
      <c r="V38" s="711" t="s">
        <v>21</v>
      </c>
      <c r="W38" s="712">
        <f t="shared" si="14"/>
        <v>100</v>
      </c>
      <c r="X38" s="1487"/>
      <c r="Y38" s="3485" t="s">
        <v>2145</v>
      </c>
      <c r="Z38" s="1488" t="str">
        <f t="shared" si="18"/>
        <v>物业管理</v>
      </c>
      <c r="AA38" s="1485">
        <f t="shared" si="15"/>
        <v>1</v>
      </c>
      <c r="AB38" s="1485">
        <f t="shared" si="16"/>
        <v>1</v>
      </c>
      <c r="AC38" s="1485">
        <f t="shared" si="17"/>
        <v>1</v>
      </c>
    </row>
    <row r="39" spans="1:29" ht="15">
      <c r="A39" s="431"/>
      <c r="B39" s="381" t="s">
        <v>2152</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5"/>
      <c r="M39" s="2889"/>
      <c r="N39" s="2889"/>
      <c r="O39" s="2889"/>
      <c r="P39" s="3501"/>
      <c r="Q39" s="1484" t="str">
        <f t="shared" si="11"/>
        <v>市政基础设施</v>
      </c>
      <c r="R39" s="711" t="s">
        <v>21</v>
      </c>
      <c r="S39" s="712">
        <f t="shared" si="12"/>
        <v>100</v>
      </c>
      <c r="T39" s="711" t="s">
        <v>21</v>
      </c>
      <c r="U39" s="712">
        <f t="shared" si="13"/>
        <v>100</v>
      </c>
      <c r="V39" s="711" t="s">
        <v>21</v>
      </c>
      <c r="W39" s="712">
        <f t="shared" si="14"/>
        <v>100</v>
      </c>
      <c r="X39" s="1487"/>
      <c r="Y39" s="3485"/>
      <c r="Z39" s="1488" t="str">
        <f t="shared" si="18"/>
        <v>市政基础设施</v>
      </c>
      <c r="AA39" s="1485">
        <f t="shared" si="15"/>
        <v>1</v>
      </c>
      <c r="AB39" s="1485">
        <f t="shared" si="16"/>
        <v>1</v>
      </c>
      <c r="AC39" s="1485">
        <f t="shared" si="17"/>
        <v>1</v>
      </c>
    </row>
    <row r="40" spans="1:29" ht="15">
      <c r="A40" s="431"/>
      <c r="B40" s="381" t="s">
        <v>2153</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5"/>
      <c r="M40" s="2889"/>
      <c r="N40" s="2889"/>
      <c r="O40" s="2889"/>
      <c r="P40" s="3501"/>
      <c r="Q40" s="1484" t="str">
        <f t="shared" si="11"/>
        <v>房型</v>
      </c>
      <c r="R40" s="711" t="s">
        <v>21</v>
      </c>
      <c r="S40" s="712">
        <f t="shared" si="12"/>
        <v>100</v>
      </c>
      <c r="T40" s="711" t="s">
        <v>21</v>
      </c>
      <c r="U40" s="712">
        <f t="shared" si="13"/>
        <v>100</v>
      </c>
      <c r="V40" s="711" t="s">
        <v>21</v>
      </c>
      <c r="W40" s="712">
        <f t="shared" si="14"/>
        <v>100</v>
      </c>
      <c r="X40" s="1487"/>
      <c r="Y40" s="3485"/>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4"/>
      <c r="M41" s="2896"/>
      <c r="N41" s="2896"/>
      <c r="O41" s="2896"/>
      <c r="P41" s="3501"/>
      <c r="Q41" s="713" t="str">
        <f t="shared" si="11"/>
        <v>单套/主力户型建筑面积</v>
      </c>
      <c r="R41" s="714" t="s">
        <v>21</v>
      </c>
      <c r="S41" s="715">
        <f t="shared" si="12"/>
        <v>100</v>
      </c>
      <c r="T41" s="714" t="s">
        <v>21</v>
      </c>
      <c r="U41" s="715">
        <f t="shared" si="13"/>
        <v>100</v>
      </c>
      <c r="V41" s="714" t="s">
        <v>21</v>
      </c>
      <c r="W41" s="715">
        <f t="shared" si="14"/>
        <v>100</v>
      </c>
      <c r="X41" s="716"/>
      <c r="Y41" s="3485"/>
      <c r="Z41" s="717" t="str">
        <f t="shared" si="18"/>
        <v>单套/主力户型建筑面积</v>
      </c>
      <c r="AA41" s="1485">
        <f t="shared" si="15"/>
        <v>1</v>
      </c>
      <c r="AB41" s="1485">
        <f t="shared" si="16"/>
        <v>1</v>
      </c>
      <c r="AC41" s="1485">
        <f t="shared" si="17"/>
        <v>1</v>
      </c>
    </row>
    <row r="42" spans="1:29" ht="15">
      <c r="A42" s="431"/>
      <c r="B42" s="381" t="s">
        <v>2155</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5"/>
      <c r="M42" s="2889"/>
      <c r="N42" s="2889"/>
      <c r="O42" s="2889"/>
      <c r="P42" s="3501"/>
      <c r="Q42" s="1484" t="str">
        <f t="shared" si="11"/>
        <v>内部装修</v>
      </c>
      <c r="R42" s="711" t="s">
        <v>21</v>
      </c>
      <c r="S42" s="712">
        <f t="shared" si="12"/>
        <v>100</v>
      </c>
      <c r="T42" s="711" t="s">
        <v>21</v>
      </c>
      <c r="U42" s="712">
        <f t="shared" si="13"/>
        <v>100</v>
      </c>
      <c r="V42" s="711" t="s">
        <v>21</v>
      </c>
      <c r="W42" s="712">
        <f t="shared" si="14"/>
        <v>100</v>
      </c>
      <c r="X42" s="1487"/>
      <c r="Y42" s="3485"/>
      <c r="Z42" s="1488" t="str">
        <f t="shared" si="18"/>
        <v>内部装修</v>
      </c>
      <c r="AA42" s="1485">
        <f t="shared" si="15"/>
        <v>1</v>
      </c>
      <c r="AB42" s="1485">
        <f t="shared" si="16"/>
        <v>1</v>
      </c>
      <c r="AC42" s="1485">
        <f t="shared" si="17"/>
        <v>1</v>
      </c>
    </row>
    <row r="43" spans="1:29" ht="15">
      <c r="A43" s="431"/>
      <c r="B43" s="381" t="s">
        <v>2156</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5"/>
      <c r="M43" s="2889"/>
      <c r="N43" s="2889"/>
      <c r="O43" s="2889"/>
      <c r="P43" s="3501"/>
      <c r="Q43" s="1484" t="str">
        <f t="shared" si="11"/>
        <v>内部装修维护情况</v>
      </c>
      <c r="R43" s="711" t="s">
        <v>21</v>
      </c>
      <c r="S43" s="712">
        <f t="shared" si="12"/>
        <v>100</v>
      </c>
      <c r="T43" s="711" t="s">
        <v>21</v>
      </c>
      <c r="U43" s="712">
        <f t="shared" si="13"/>
        <v>100</v>
      </c>
      <c r="V43" s="711" t="s">
        <v>21</v>
      </c>
      <c r="W43" s="712">
        <f t="shared" si="14"/>
        <v>100</v>
      </c>
      <c r="X43" s="1487"/>
      <c r="Y43" s="3485"/>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90"/>
      <c r="M44" s="2891"/>
      <c r="N44" s="2891"/>
      <c r="O44" s="2891"/>
      <c r="P44" s="3501"/>
      <c r="Q44" s="1475">
        <f t="shared" si="11"/>
        <v>111</v>
      </c>
      <c r="R44" s="707" t="s">
        <v>21</v>
      </c>
      <c r="S44" s="708">
        <f t="shared" si="12"/>
        <v>100</v>
      </c>
      <c r="T44" s="707" t="s">
        <v>21</v>
      </c>
      <c r="U44" s="708">
        <f t="shared" si="13"/>
        <v>100</v>
      </c>
      <c r="V44" s="707" t="s">
        <v>21</v>
      </c>
      <c r="W44" s="708">
        <f t="shared" si="14"/>
        <v>100</v>
      </c>
      <c r="X44" s="709"/>
      <c r="Y44" s="3485"/>
      <c r="Z44" s="55">
        <f t="shared" si="18"/>
        <v>111</v>
      </c>
      <c r="AA44" s="710">
        <f t="shared" si="15"/>
        <v>1</v>
      </c>
      <c r="AB44" s="710">
        <f t="shared" si="16"/>
        <v>1</v>
      </c>
      <c r="AC44" s="710">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5"/>
      <c r="M45" s="2889"/>
      <c r="N45" s="2889"/>
      <c r="O45" s="2889"/>
      <c r="P45" s="3501"/>
      <c r="Q45" s="1484">
        <f t="shared" si="11"/>
        <v>111</v>
      </c>
      <c r="R45" s="711" t="s">
        <v>21</v>
      </c>
      <c r="S45" s="712">
        <f t="shared" si="12"/>
        <v>100</v>
      </c>
      <c r="T45" s="711" t="s">
        <v>21</v>
      </c>
      <c r="U45" s="712">
        <f t="shared" si="13"/>
        <v>100</v>
      </c>
      <c r="V45" s="711" t="s">
        <v>21</v>
      </c>
      <c r="W45" s="712">
        <f t="shared" si="14"/>
        <v>100</v>
      </c>
      <c r="X45" s="1487"/>
      <c r="Y45" s="3485"/>
      <c r="Z45" s="1488">
        <f t="shared" si="18"/>
        <v>111</v>
      </c>
      <c r="AA45" s="1485">
        <f t="shared" si="15"/>
        <v>1</v>
      </c>
      <c r="AB45" s="1485">
        <f t="shared" si="16"/>
        <v>1</v>
      </c>
      <c r="AC45" s="1485">
        <f t="shared" si="17"/>
        <v>1</v>
      </c>
    </row>
    <row r="46" spans="1:29" ht="15.75"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5"/>
      <c r="M46" s="2889"/>
      <c r="N46" s="2889"/>
      <c r="O46" s="2889"/>
      <c r="P46" s="3502"/>
      <c r="Q46" s="1484">
        <f t="shared" si="11"/>
        <v>111</v>
      </c>
      <c r="R46" s="711" t="s">
        <v>20</v>
      </c>
      <c r="S46" s="712">
        <f t="shared" si="12"/>
        <v>100</v>
      </c>
      <c r="T46" s="711" t="s">
        <v>20</v>
      </c>
      <c r="U46" s="712">
        <f t="shared" si="13"/>
        <v>100</v>
      </c>
      <c r="V46" s="711" t="s">
        <v>20</v>
      </c>
      <c r="W46" s="712">
        <f t="shared" si="14"/>
        <v>100</v>
      </c>
      <c r="X46" s="1487"/>
      <c r="Y46" s="3503"/>
      <c r="Z46" s="1488">
        <f t="shared" si="18"/>
        <v>111</v>
      </c>
      <c r="AA46" s="1485">
        <f t="shared" si="15"/>
        <v>1</v>
      </c>
      <c r="AB46" s="1485">
        <f t="shared" si="16"/>
        <v>1</v>
      </c>
      <c r="AC46" s="1485">
        <f t="shared" si="17"/>
        <v>1</v>
      </c>
    </row>
    <row r="47" spans="1:29" ht="15">
      <c r="A47" s="438" t="s">
        <v>2157</v>
      </c>
      <c r="B47" s="439"/>
      <c r="C47" s="1266" t="s">
        <v>19</v>
      </c>
      <c r="D47" s="1267"/>
      <c r="E47" s="1268"/>
      <c r="F47" s="1269"/>
      <c r="G47" s="1270"/>
      <c r="H47" s="1271"/>
      <c r="I47" s="1268"/>
      <c r="J47" s="1271"/>
      <c r="K47" s="2048"/>
      <c r="L47" s="2897"/>
      <c r="M47" s="2898"/>
      <c r="N47" s="2889"/>
      <c r="O47" s="2898"/>
      <c r="P47" s="3467" t="str">
        <f>A47</f>
        <v>成交单价（元/平方米）</v>
      </c>
      <c r="Q47" s="3467"/>
      <c r="R47" s="3504">
        <f>E47</f>
        <v>0</v>
      </c>
      <c r="S47" s="3504"/>
      <c r="T47" s="3504">
        <f>G47</f>
        <v>0</v>
      </c>
      <c r="U47" s="3504"/>
      <c r="V47" s="3504">
        <f>I47</f>
        <v>0</v>
      </c>
      <c r="W47" s="3504"/>
      <c r="X47" s="696"/>
      <c r="Y47" s="718"/>
      <c r="Z47" s="696"/>
      <c r="AA47" s="696"/>
      <c r="AB47" s="696"/>
      <c r="AC47" s="696"/>
    </row>
    <row r="48" spans="1:29" ht="15.75" thickBot="1">
      <c r="A48" s="445" t="s">
        <v>2158</v>
      </c>
      <c r="B48" s="446"/>
      <c r="C48" s="1272" t="e">
        <f>R49</f>
        <v>#DIV/0!</v>
      </c>
      <c r="D48" s="2486" t="s">
        <v>2637</v>
      </c>
      <c r="E48" s="1273" t="e">
        <f>R48</f>
        <v>#DIV/0!</v>
      </c>
      <c r="F48" s="2487"/>
      <c r="G48" s="1272" t="e">
        <f>T48</f>
        <v>#DIV/0!</v>
      </c>
      <c r="H48" s="2487"/>
      <c r="I48" s="1273" t="e">
        <f>V48</f>
        <v>#DIV/0!</v>
      </c>
      <c r="J48" s="2487"/>
      <c r="K48" s="2488">
        <f>F48+H48+J48</f>
        <v>0</v>
      </c>
      <c r="L48" s="2897"/>
      <c r="M48" s="2898"/>
      <c r="N48" s="2898"/>
      <c r="O48" s="2898"/>
      <c r="P48" s="3467" t="str">
        <f>A48</f>
        <v>比较价值（元/平方米）</v>
      </c>
      <c r="Q48" s="3467"/>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696"/>
      <c r="Y48" s="696"/>
      <c r="Z48" s="696"/>
      <c r="AA48" s="696"/>
      <c r="AB48" s="696"/>
      <c r="AC48" s="696"/>
    </row>
    <row r="49" spans="1:29" ht="15.75" thickBot="1">
      <c r="A49" s="449" t="s">
        <v>2159</v>
      </c>
      <c r="B49" s="450"/>
      <c r="C49" s="1274" t="e">
        <f>R49</f>
        <v>#DIV/0!</v>
      </c>
      <c r="D49" s="1275"/>
      <c r="E49" s="1275"/>
      <c r="F49" s="1275"/>
      <c r="G49" s="1275"/>
      <c r="H49" s="1275"/>
      <c r="I49" s="1275"/>
      <c r="J49" s="1275"/>
      <c r="K49" s="2049"/>
      <c r="L49" s="2897"/>
      <c r="M49" s="2898"/>
      <c r="N49" s="2898"/>
      <c r="O49" s="2898"/>
      <c r="P49" s="3487" t="str">
        <f>A49</f>
        <v>估价对象XX用房的比较价值（楼面单价，元/平方米）</v>
      </c>
      <c r="Q49" s="3488"/>
      <c r="R49" s="3505" t="e">
        <f>IF(F1="售价",ROUND(IF(D48="简单平均",AVERAGE(R48:V48),R48*F48+T48*H48+V48*J48),0),ROUND(IF(D48="简单平均",AVERAGE(R48:V48),R48*F48+T48*H48+V48*J48),1))</f>
        <v>#DIV/0!</v>
      </c>
      <c r="S49" s="3505"/>
      <c r="T49" s="3505"/>
      <c r="U49" s="3505"/>
      <c r="V49" s="3505"/>
      <c r="W49" s="3505"/>
      <c r="X49" s="696"/>
      <c r="Y49" s="696"/>
      <c r="Z49" s="696"/>
      <c r="AA49" s="696"/>
      <c r="AB49" s="696"/>
      <c r="AC49" s="696"/>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1"/>
    </row>
    <row r="55" spans="1:29" s="459" customFormat="1">
      <c r="A55" s="2901"/>
      <c r="B55" s="2904"/>
      <c r="C55" s="2905"/>
      <c r="D55" s="2901"/>
      <c r="E55" s="2901"/>
      <c r="F55" s="2901"/>
      <c r="G55" s="2901"/>
      <c r="H55" s="2901"/>
      <c r="I55" s="2901"/>
      <c r="J55" s="2901"/>
      <c r="K55" s="2906"/>
      <c r="L55" s="2900"/>
      <c r="M55" s="2901"/>
      <c r="N55" s="2901"/>
      <c r="O55" s="2901"/>
      <c r="P55" s="2051"/>
    </row>
    <row r="56" spans="1:29">
      <c r="A56" s="2898"/>
      <c r="B56" s="2904"/>
      <c r="C56" s="2905"/>
      <c r="D56" s="2898"/>
      <c r="E56" s="2898"/>
      <c r="F56" s="2898"/>
      <c r="G56" s="2898"/>
      <c r="H56" s="2898"/>
      <c r="I56" s="2898"/>
      <c r="J56" s="2898"/>
      <c r="K56" s="2903"/>
      <c r="L56" s="2899"/>
      <c r="M56" s="2898"/>
      <c r="N56" s="2898"/>
      <c r="O56" s="2898"/>
    </row>
    <row r="57" spans="1:29" ht="21.75" thickBot="1">
      <c r="A57" s="700" t="s">
        <v>2163</v>
      </c>
      <c r="B57" s="696"/>
      <c r="C57" s="701"/>
      <c r="D57" s="701"/>
      <c r="E57" s="701"/>
      <c r="F57" s="702"/>
      <c r="G57" s="702"/>
      <c r="H57" s="701"/>
      <c r="I57" s="701"/>
      <c r="J57" s="701"/>
      <c r="K57" s="1050"/>
      <c r="L57" s="1051"/>
      <c r="M57" s="1049"/>
      <c r="N57" s="1049"/>
      <c r="O57" s="1049"/>
      <c r="P57" s="2052"/>
      <c r="Q57" s="461"/>
    </row>
    <row r="58" spans="1:29" s="465" customFormat="1" ht="15">
      <c r="A58" s="462" t="s">
        <v>2164</v>
      </c>
      <c r="B58" s="463"/>
      <c r="C58" s="1298" t="str">
        <f>YEAR(C7)&amp;"-"&amp;MONTH(C7)</f>
        <v>2022-5</v>
      </c>
      <c r="D58" s="1297">
        <f>EDATE(C58,-1)</f>
        <v>44652</v>
      </c>
      <c r="E58" s="1297">
        <f>EDATE(D58,-1)</f>
        <v>44621</v>
      </c>
      <c r="F58" s="1297">
        <f t="shared" ref="F58:O58" si="19">EDATE(E58,-1)</f>
        <v>44593</v>
      </c>
      <c r="G58" s="1297">
        <f t="shared" si="19"/>
        <v>44562</v>
      </c>
      <c r="H58" s="1297">
        <f t="shared" si="19"/>
        <v>44531</v>
      </c>
      <c r="I58" s="1297">
        <f t="shared" si="19"/>
        <v>44501</v>
      </c>
      <c r="J58" s="1297">
        <f t="shared" si="19"/>
        <v>44470</v>
      </c>
      <c r="K58" s="1297">
        <f t="shared" si="19"/>
        <v>44440</v>
      </c>
      <c r="L58" s="1297">
        <f t="shared" si="19"/>
        <v>44409</v>
      </c>
      <c r="M58" s="1297">
        <f t="shared" si="19"/>
        <v>44378</v>
      </c>
      <c r="N58" s="1297">
        <f t="shared" si="19"/>
        <v>44348</v>
      </c>
      <c r="O58" s="1297">
        <f t="shared" si="19"/>
        <v>44317</v>
      </c>
      <c r="P58" s="1293"/>
    </row>
    <row r="59" spans="1:29" s="113" customFormat="1" ht="15">
      <c r="A59" s="466"/>
      <c r="B59" s="2053"/>
      <c r="C59" s="1295">
        <v>100</v>
      </c>
      <c r="D59" s="468"/>
      <c r="E59" s="469"/>
      <c r="F59" s="469"/>
      <c r="G59" s="469"/>
      <c r="H59" s="469"/>
      <c r="I59" s="469"/>
      <c r="J59" s="469"/>
      <c r="K59" s="469"/>
      <c r="L59" s="469"/>
      <c r="M59" s="470"/>
      <c r="N59" s="469"/>
      <c r="O59" s="470"/>
      <c r="P59" s="2054"/>
    </row>
    <row r="60" spans="1:29" s="113" customFormat="1" ht="15.75" thickBot="1">
      <c r="A60" s="472" t="s">
        <v>2165</v>
      </c>
      <c r="B60" s="473"/>
      <c r="C60" s="474"/>
      <c r="D60" s="475"/>
      <c r="E60" s="475"/>
      <c r="F60" s="475"/>
      <c r="G60" s="475"/>
      <c r="H60" s="475"/>
      <c r="I60" s="475"/>
      <c r="J60" s="475"/>
      <c r="K60" s="475"/>
      <c r="L60" s="475"/>
      <c r="M60" s="476"/>
      <c r="N60" s="475"/>
      <c r="O60" s="476"/>
      <c r="P60" s="2054"/>
      <c r="Q60" s="461"/>
    </row>
    <row r="61" spans="1:29" s="113" customFormat="1" ht="15">
      <c r="A61" s="478" t="s">
        <v>2166</v>
      </c>
      <c r="B61" s="467"/>
      <c r="C61" s="479" t="s">
        <v>2167</v>
      </c>
      <c r="D61" s="480"/>
      <c r="E61" s="480"/>
      <c r="F61" s="480"/>
      <c r="G61" s="480"/>
      <c r="H61" s="480"/>
      <c r="I61" s="480"/>
      <c r="J61" s="480"/>
      <c r="K61" s="480"/>
      <c r="L61" s="481"/>
      <c r="M61" s="482"/>
      <c r="N61" s="1041"/>
      <c r="O61" s="1041"/>
      <c r="P61" s="2055"/>
      <c r="Q61" s="461"/>
    </row>
    <row r="62" spans="1:29" s="113" customFormat="1" ht="15.75" thickBot="1">
      <c r="A62" s="478"/>
      <c r="B62" s="467"/>
      <c r="C62" s="468">
        <v>100</v>
      </c>
      <c r="D62" s="469"/>
      <c r="E62" s="469"/>
      <c r="F62" s="469"/>
      <c r="G62" s="469"/>
      <c r="H62" s="469"/>
      <c r="I62" s="469"/>
      <c r="J62" s="469"/>
      <c r="K62" s="469"/>
      <c r="L62" s="469"/>
      <c r="M62" s="471"/>
      <c r="N62" s="1041"/>
      <c r="O62" s="1041"/>
      <c r="P62" s="2054"/>
      <c r="Q62" s="461"/>
    </row>
    <row r="63" spans="1:29">
      <c r="A63" s="484" t="s">
        <v>2168</v>
      </c>
      <c r="B63" s="485" t="s">
        <v>2134</v>
      </c>
      <c r="C63" s="486">
        <f>C9</f>
        <v>0</v>
      </c>
      <c r="D63" s="487"/>
      <c r="E63" s="487"/>
      <c r="F63" s="487"/>
      <c r="G63" s="487"/>
      <c r="H63" s="487"/>
      <c r="I63" s="487"/>
      <c r="J63" s="487"/>
      <c r="K63" s="488"/>
      <c r="L63" s="489"/>
      <c r="M63" s="490"/>
      <c r="N63" s="1042"/>
      <c r="O63" s="1042"/>
      <c r="P63" s="2056"/>
      <c r="Q63" s="461"/>
    </row>
    <row r="64" spans="1:29" ht="15.75" thickBot="1">
      <c r="A64" s="491"/>
      <c r="B64" s="492"/>
      <c r="C64" s="493">
        <v>100</v>
      </c>
      <c r="D64" s="493"/>
      <c r="E64" s="493"/>
      <c r="F64" s="493"/>
      <c r="G64" s="493"/>
      <c r="H64" s="493"/>
      <c r="I64" s="493"/>
      <c r="J64" s="493"/>
      <c r="K64" s="493"/>
      <c r="L64" s="493"/>
      <c r="M64" s="494"/>
      <c r="N64" s="1043"/>
      <c r="O64" s="1043"/>
      <c r="P64" s="2056"/>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ht="15">
      <c r="A68" s="491"/>
      <c r="B68" s="505"/>
      <c r="C68" s="506"/>
      <c r="D68" s="506"/>
      <c r="E68" s="506"/>
      <c r="F68" s="506"/>
      <c r="G68" s="506"/>
      <c r="H68" s="506"/>
      <c r="I68" s="506"/>
      <c r="J68" s="506"/>
      <c r="K68" s="507"/>
      <c r="L68" s="508"/>
      <c r="M68" s="509"/>
      <c r="N68" s="1042"/>
      <c r="O68" s="1042"/>
      <c r="P68" s="205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5.75" thickTop="1">
      <c r="A70" s="510"/>
      <c r="B70" s="495">
        <f>B12</f>
        <v>111</v>
      </c>
      <c r="C70" s="511"/>
      <c r="D70" s="511"/>
      <c r="E70" s="511"/>
      <c r="F70" s="511"/>
      <c r="G70" s="511"/>
      <c r="H70" s="512"/>
      <c r="I70" s="512"/>
      <c r="J70" s="512"/>
      <c r="K70" s="512"/>
      <c r="L70" s="513"/>
      <c r="M70" s="514"/>
      <c r="N70" s="1044"/>
      <c r="O70" s="1044"/>
      <c r="P70" s="2057"/>
      <c r="Q70" s="516"/>
    </row>
    <row r="71" spans="1:17" s="430" customFormat="1" ht="15.75" thickBot="1">
      <c r="A71" s="510"/>
      <c r="B71" s="500"/>
      <c r="C71" s="517"/>
      <c r="D71" s="493"/>
      <c r="E71" s="493"/>
      <c r="F71" s="493"/>
      <c r="G71" s="493"/>
      <c r="H71" s="493"/>
      <c r="I71" s="493"/>
      <c r="J71" s="493"/>
      <c r="K71" s="493"/>
      <c r="L71" s="493"/>
      <c r="M71" s="494"/>
      <c r="N71" s="1043"/>
      <c r="O71" s="1043"/>
      <c r="P71" s="2057"/>
      <c r="Q71" s="516"/>
    </row>
    <row r="72" spans="1:17" s="430" customFormat="1" ht="15.75" thickTop="1">
      <c r="A72" s="510"/>
      <c r="B72" s="495">
        <f>B13</f>
        <v>111</v>
      </c>
      <c r="C72" s="511"/>
      <c r="D72" s="511"/>
      <c r="E72" s="511"/>
      <c r="F72" s="511"/>
      <c r="G72" s="511"/>
      <c r="H72" s="512"/>
      <c r="I72" s="512"/>
      <c r="J72" s="512"/>
      <c r="K72" s="512"/>
      <c r="L72" s="513"/>
      <c r="M72" s="514"/>
      <c r="N72" s="1044"/>
      <c r="O72" s="1044"/>
      <c r="P72" s="2058"/>
      <c r="Q72" s="518"/>
    </row>
    <row r="73" spans="1:17" s="430" customFormat="1" ht="15.75" thickBot="1">
      <c r="A73" s="510"/>
      <c r="B73" s="500"/>
      <c r="C73" s="517"/>
      <c r="D73" s="517"/>
      <c r="E73" s="517"/>
      <c r="F73" s="517"/>
      <c r="G73" s="517"/>
      <c r="H73" s="519"/>
      <c r="I73" s="519"/>
      <c r="J73" s="519"/>
      <c r="K73" s="519"/>
      <c r="L73" s="519"/>
      <c r="M73" s="520"/>
      <c r="N73" s="1044"/>
      <c r="O73" s="1044"/>
      <c r="P73" s="2057"/>
      <c r="Q73" s="516"/>
    </row>
    <row r="74" spans="1:17" s="430" customFormat="1" ht="15.75" thickTop="1">
      <c r="A74" s="510"/>
      <c r="B74" s="503">
        <f>B14</f>
        <v>111</v>
      </c>
      <c r="C74" s="511"/>
      <c r="D74" s="511"/>
      <c r="E74" s="511"/>
      <c r="F74" s="511"/>
      <c r="G74" s="480"/>
      <c r="H74" s="521"/>
      <c r="I74" s="521"/>
      <c r="J74" s="521"/>
      <c r="K74" s="521"/>
      <c r="L74" s="522"/>
      <c r="M74" s="523"/>
      <c r="N74" s="1044"/>
      <c r="O74" s="1044"/>
      <c r="P74" s="2059"/>
      <c r="Q74" s="516"/>
    </row>
    <row r="75" spans="1:17" s="430" customFormat="1" ht="15.75" thickBot="1">
      <c r="A75" s="525"/>
      <c r="B75" s="526"/>
      <c r="C75" s="527"/>
      <c r="D75" s="527"/>
      <c r="E75" s="527"/>
      <c r="F75" s="527"/>
      <c r="G75" s="527"/>
      <c r="H75" s="528"/>
      <c r="I75" s="528"/>
      <c r="J75" s="528"/>
      <c r="K75" s="528"/>
      <c r="L75" s="528"/>
      <c r="M75" s="529"/>
      <c r="N75" s="1044"/>
      <c r="O75" s="1044"/>
      <c r="P75" s="2057"/>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6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3"/>
      <c r="O82" s="1043"/>
      <c r="P82" s="2056"/>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3"/>
      <c r="O83" s="1043"/>
      <c r="P83" s="2056"/>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75" thickTop="1">
      <c r="A86" s="536"/>
      <c r="B86" s="495" t="s">
        <v>2190</v>
      </c>
      <c r="C86" s="511"/>
      <c r="D86" s="511"/>
      <c r="E86" s="511"/>
      <c r="F86" s="511"/>
      <c r="G86" s="511"/>
      <c r="H86" s="511"/>
      <c r="I86" s="511"/>
      <c r="J86" s="511"/>
      <c r="K86" s="511"/>
      <c r="L86" s="537"/>
      <c r="M86" s="538"/>
      <c r="N86" s="1041"/>
      <c r="O86" s="1041"/>
      <c r="P86" s="205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5.75" thickTop="1">
      <c r="A88" s="536"/>
      <c r="B88" s="495" t="s">
        <v>2191</v>
      </c>
      <c r="C88" s="511"/>
      <c r="D88" s="511"/>
      <c r="E88" s="511"/>
      <c r="F88" s="2061"/>
      <c r="G88" s="511"/>
      <c r="H88" s="511"/>
      <c r="I88" s="511"/>
      <c r="J88" s="511"/>
      <c r="K88" s="511"/>
      <c r="L88" s="511"/>
      <c r="M88" s="538"/>
      <c r="N88" s="1041"/>
      <c r="O88" s="1041"/>
      <c r="P88" s="205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5.75" thickTop="1">
      <c r="A90" s="510"/>
      <c r="B90" s="495">
        <f>B27</f>
        <v>111</v>
      </c>
      <c r="C90" s="511"/>
      <c r="D90" s="511"/>
      <c r="E90" s="511"/>
      <c r="F90" s="511"/>
      <c r="G90" s="511"/>
      <c r="H90" s="512"/>
      <c r="I90" s="512"/>
      <c r="J90" s="512"/>
      <c r="K90" s="512"/>
      <c r="L90" s="513"/>
      <c r="M90" s="514"/>
      <c r="N90" s="1044"/>
      <c r="O90" s="1044"/>
      <c r="P90" s="2057"/>
      <c r="Q90" s="516"/>
    </row>
    <row r="91" spans="1:17" s="430" customFormat="1" ht="15.75" thickBot="1">
      <c r="A91" s="510"/>
      <c r="B91" s="500"/>
      <c r="C91" s="517"/>
      <c r="D91" s="517"/>
      <c r="E91" s="517"/>
      <c r="F91" s="517"/>
      <c r="G91" s="517"/>
      <c r="H91" s="519"/>
      <c r="I91" s="519"/>
      <c r="J91" s="519"/>
      <c r="K91" s="519"/>
      <c r="L91" s="519"/>
      <c r="M91" s="520"/>
      <c r="N91" s="1044"/>
      <c r="O91" s="1044"/>
      <c r="P91" s="2057"/>
      <c r="Q91" s="516"/>
    </row>
    <row r="92" spans="1:17" ht="15.75" thickTop="1">
      <c r="A92" s="491"/>
      <c r="B92" s="495">
        <f>B28</f>
        <v>111</v>
      </c>
      <c r="C92" s="511"/>
      <c r="D92" s="511"/>
      <c r="E92" s="511"/>
      <c r="F92" s="511"/>
      <c r="G92" s="540"/>
      <c r="H92" s="540"/>
      <c r="I92" s="540"/>
      <c r="J92" s="540"/>
      <c r="K92" s="541"/>
      <c r="L92" s="542"/>
      <c r="M92" s="543"/>
      <c r="N92" s="1042"/>
      <c r="O92" s="1042"/>
      <c r="P92" s="2056"/>
      <c r="Q92" s="461"/>
    </row>
    <row r="93" spans="1:17" ht="15.75" thickBot="1">
      <c r="A93" s="491"/>
      <c r="B93" s="500"/>
      <c r="C93" s="517"/>
      <c r="D93" s="493"/>
      <c r="E93" s="493"/>
      <c r="F93" s="493"/>
      <c r="G93" s="493"/>
      <c r="H93" s="493"/>
      <c r="I93" s="493"/>
      <c r="J93" s="493"/>
      <c r="K93" s="493"/>
      <c r="L93" s="493"/>
      <c r="M93" s="494"/>
      <c r="N93" s="1043"/>
      <c r="O93" s="1043"/>
      <c r="P93" s="2056"/>
      <c r="Q93" s="461"/>
    </row>
    <row r="94" spans="1:17" ht="15.75" thickTop="1">
      <c r="A94" s="491"/>
      <c r="B94" s="495">
        <f>B29</f>
        <v>111</v>
      </c>
      <c r="C94" s="511"/>
      <c r="D94" s="511"/>
      <c r="E94" s="511"/>
      <c r="F94" s="511"/>
      <c r="G94" s="540"/>
      <c r="H94" s="540"/>
      <c r="I94" s="540"/>
      <c r="J94" s="540"/>
      <c r="K94" s="541"/>
      <c r="L94" s="542"/>
      <c r="M94" s="543"/>
      <c r="N94" s="1042"/>
      <c r="O94" s="1042"/>
      <c r="P94" s="2056"/>
      <c r="Q94" s="461"/>
    </row>
    <row r="95" spans="1:17" ht="15.75" thickBot="1">
      <c r="A95" s="491"/>
      <c r="B95" s="500"/>
      <c r="C95" s="517"/>
      <c r="D95" s="517"/>
      <c r="E95" s="517"/>
      <c r="F95" s="517"/>
      <c r="G95" s="493"/>
      <c r="H95" s="493"/>
      <c r="I95" s="493"/>
      <c r="J95" s="493"/>
      <c r="K95" s="493"/>
      <c r="L95" s="493"/>
      <c r="M95" s="494"/>
      <c r="N95" s="1043"/>
      <c r="O95" s="1043"/>
      <c r="P95" s="2056"/>
      <c r="Q95" s="461"/>
    </row>
    <row r="96" spans="1:17" ht="15.75" thickTop="1">
      <c r="A96" s="491"/>
      <c r="B96" s="495">
        <f>B30</f>
        <v>111</v>
      </c>
      <c r="C96" s="511"/>
      <c r="D96" s="511"/>
      <c r="E96" s="511"/>
      <c r="F96" s="511"/>
      <c r="G96" s="540"/>
      <c r="H96" s="540"/>
      <c r="I96" s="540"/>
      <c r="J96" s="540"/>
      <c r="K96" s="541"/>
      <c r="L96" s="542"/>
      <c r="M96" s="543"/>
      <c r="N96" s="1042"/>
      <c r="O96" s="1042"/>
      <c r="P96" s="2056"/>
      <c r="Q96" s="461"/>
    </row>
    <row r="97" spans="1:17" ht="15.75" thickBot="1">
      <c r="A97" s="491"/>
      <c r="B97" s="500"/>
      <c r="C97" s="527"/>
      <c r="D97" s="527"/>
      <c r="E97" s="527"/>
      <c r="F97" s="527"/>
      <c r="G97" s="493"/>
      <c r="H97" s="493"/>
      <c r="I97" s="493"/>
      <c r="J97" s="493"/>
      <c r="K97" s="493"/>
      <c r="L97" s="493"/>
      <c r="M97" s="494"/>
      <c r="N97" s="1043"/>
      <c r="O97" s="1043"/>
      <c r="P97" s="2056"/>
      <c r="Q97" s="461"/>
    </row>
    <row r="98" spans="1:17" ht="15.75" thickTop="1">
      <c r="A98" s="491"/>
      <c r="B98" s="503">
        <f>B31</f>
        <v>111</v>
      </c>
      <c r="C98" s="544"/>
      <c r="D98" s="544"/>
      <c r="E98" s="544"/>
      <c r="F98" s="544"/>
      <c r="G98" s="544"/>
      <c r="H98" s="544"/>
      <c r="I98" s="544"/>
      <c r="J98" s="544"/>
      <c r="K98" s="545"/>
      <c r="L98" s="546"/>
      <c r="M98" s="547"/>
      <c r="N98" s="1042"/>
      <c r="O98" s="1042"/>
      <c r="P98" s="2056"/>
      <c r="Q98" s="461"/>
    </row>
    <row r="99" spans="1:17" ht="15.75" thickBot="1">
      <c r="A99" s="2062"/>
      <c r="B99" s="526"/>
      <c r="C99" s="548"/>
      <c r="D99" s="548"/>
      <c r="E99" s="548"/>
      <c r="F99" s="548"/>
      <c r="G99" s="548"/>
      <c r="H99" s="548"/>
      <c r="I99" s="548"/>
      <c r="J99" s="548"/>
      <c r="K99" s="548"/>
      <c r="L99" s="548"/>
      <c r="M99" s="549"/>
      <c r="N99" s="1043"/>
      <c r="O99" s="1043"/>
      <c r="P99" s="2056"/>
      <c r="Q99" s="461"/>
    </row>
    <row r="100" spans="1:17">
      <c r="A100" s="484" t="s">
        <v>2143</v>
      </c>
      <c r="B100" s="485" t="s">
        <v>2192</v>
      </c>
      <c r="C100" s="487"/>
      <c r="D100" s="487"/>
      <c r="E100" s="487"/>
      <c r="F100" s="487"/>
      <c r="G100" s="487"/>
      <c r="H100" s="487"/>
      <c r="I100" s="487"/>
      <c r="J100" s="487"/>
      <c r="K100" s="488"/>
      <c r="L100" s="489"/>
      <c r="M100" s="490"/>
      <c r="N100" s="1042"/>
      <c r="O100" s="1042"/>
      <c r="P100" s="205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7"/>
      <c r="Q104" s="516"/>
    </row>
    <row r="105" spans="1:17" ht="15" thickTop="1">
      <c r="A105" s="556"/>
      <c r="B105" s="495" t="s">
        <v>2194</v>
      </c>
      <c r="C105" s="511"/>
      <c r="D105" s="511"/>
      <c r="E105" s="540"/>
      <c r="F105" s="540"/>
      <c r="G105" s="540"/>
      <c r="H105" s="540"/>
      <c r="I105" s="540"/>
      <c r="J105" s="540"/>
      <c r="K105" s="541"/>
      <c r="L105" s="542"/>
      <c r="M105" s="543"/>
      <c r="N105" s="1042"/>
      <c r="O105" s="1042"/>
      <c r="P105" s="205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5" thickTop="1">
      <c r="A107" s="556"/>
      <c r="B107" s="495" t="s">
        <v>2195</v>
      </c>
      <c r="C107" s="540"/>
      <c r="D107" s="540"/>
      <c r="E107" s="540"/>
      <c r="F107" s="540"/>
      <c r="G107" s="540"/>
      <c r="H107" s="540"/>
      <c r="I107" s="540"/>
      <c r="J107" s="540"/>
      <c r="K107" s="541"/>
      <c r="L107" s="542"/>
      <c r="M107" s="543"/>
      <c r="N107" s="1042"/>
      <c r="O107" s="1042"/>
      <c r="P107" s="205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5" thickTop="1">
      <c r="A109" s="556"/>
      <c r="B109" s="495" t="s">
        <v>2196</v>
      </c>
      <c r="C109" s="511"/>
      <c r="D109" s="511"/>
      <c r="E109" s="511"/>
      <c r="F109" s="540"/>
      <c r="G109" s="540"/>
      <c r="H109" s="540"/>
      <c r="I109" s="540"/>
      <c r="J109" s="540"/>
      <c r="K109" s="541"/>
      <c r="L109" s="542"/>
      <c r="M109" s="543"/>
      <c r="N109" s="1042"/>
      <c r="O109" s="1042"/>
      <c r="P109" s="205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5" thickTop="1">
      <c r="A114" s="556"/>
      <c r="B114" s="495" t="s">
        <v>2197</v>
      </c>
      <c r="C114" s="511"/>
      <c r="D114" s="511"/>
      <c r="E114" s="540"/>
      <c r="F114" s="540"/>
      <c r="G114" s="540"/>
      <c r="H114" s="540"/>
      <c r="I114" s="540"/>
      <c r="J114" s="540"/>
      <c r="K114" s="541"/>
      <c r="L114" s="542"/>
      <c r="M114" s="543"/>
      <c r="N114" s="1042"/>
      <c r="O114" s="1042"/>
      <c r="P114" s="205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5" thickTop="1">
      <c r="A116" s="556"/>
      <c r="B116" s="495" t="s">
        <v>2198</v>
      </c>
      <c r="C116" s="511"/>
      <c r="D116" s="511"/>
      <c r="E116" s="511"/>
      <c r="F116" s="511"/>
      <c r="G116" s="511"/>
      <c r="H116" s="540"/>
      <c r="I116" s="540"/>
      <c r="J116" s="540"/>
      <c r="K116" s="541"/>
      <c r="L116" s="542"/>
      <c r="M116" s="543"/>
      <c r="N116" s="1042"/>
      <c r="O116" s="1042"/>
      <c r="P116" s="205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5" thickTop="1">
      <c r="A118" s="556"/>
      <c r="B118" s="495" t="s">
        <v>2199</v>
      </c>
      <c r="C118" s="540"/>
      <c r="D118" s="540"/>
      <c r="E118" s="540"/>
      <c r="F118" s="540"/>
      <c r="G118" s="540"/>
      <c r="H118" s="540"/>
      <c r="I118" s="540"/>
      <c r="J118" s="540"/>
      <c r="K118" s="541"/>
      <c r="L118" s="542"/>
      <c r="M118" s="543"/>
      <c r="N118" s="1042"/>
      <c r="O118" s="1042"/>
      <c r="P118" s="205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7"/>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7"/>
      <c r="Q121" s="516"/>
    </row>
    <row r="122" spans="1:17" ht="15" thickTop="1">
      <c r="A122" s="556"/>
      <c r="B122" s="495" t="s">
        <v>2200</v>
      </c>
      <c r="C122" s="511"/>
      <c r="D122" s="511"/>
      <c r="E122" s="511"/>
      <c r="F122" s="540"/>
      <c r="G122" s="540"/>
      <c r="H122" s="540"/>
      <c r="I122" s="540"/>
      <c r="J122" s="540"/>
      <c r="K122" s="541"/>
      <c r="L122" s="542"/>
      <c r="M122" s="543"/>
      <c r="N122" s="1042"/>
      <c r="O122" s="1042"/>
      <c r="P122" s="205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7"/>
      <c r="Q127" s="516"/>
    </row>
    <row r="128" spans="1:17" ht="15" thickTop="1">
      <c r="A128" s="556"/>
      <c r="B128" s="495">
        <f>B45</f>
        <v>111</v>
      </c>
      <c r="C128" s="511"/>
      <c r="D128" s="511"/>
      <c r="E128" s="511"/>
      <c r="F128" s="511"/>
      <c r="G128" s="540"/>
      <c r="H128" s="540"/>
      <c r="I128" s="540"/>
      <c r="J128" s="540"/>
      <c r="K128" s="541"/>
      <c r="L128" s="542"/>
      <c r="M128" s="543"/>
      <c r="N128" s="1042"/>
      <c r="O128" s="1042"/>
      <c r="P128" s="2056"/>
      <c r="Q128" s="461"/>
    </row>
    <row r="129" spans="1:17" ht="15.75" thickBot="1">
      <c r="A129" s="491"/>
      <c r="B129" s="500"/>
      <c r="C129" s="517"/>
      <c r="D129" s="517"/>
      <c r="E129" s="517"/>
      <c r="F129" s="517"/>
      <c r="G129" s="493"/>
      <c r="H129" s="493"/>
      <c r="I129" s="493"/>
      <c r="J129" s="493"/>
      <c r="K129" s="493"/>
      <c r="L129" s="493"/>
      <c r="M129" s="494"/>
      <c r="N129" s="1043"/>
      <c r="O129" s="1043"/>
      <c r="P129" s="2056"/>
      <c r="Q129" s="461"/>
    </row>
    <row r="130" spans="1:17" ht="15" thickTop="1">
      <c r="A130" s="556"/>
      <c r="B130" s="503">
        <f>B46</f>
        <v>111</v>
      </c>
      <c r="C130" s="511"/>
      <c r="D130" s="511"/>
      <c r="E130" s="511"/>
      <c r="F130" s="511"/>
      <c r="G130" s="544"/>
      <c r="H130" s="544"/>
      <c r="I130" s="544"/>
      <c r="J130" s="544"/>
      <c r="K130" s="480"/>
      <c r="L130" s="481"/>
      <c r="M130" s="547"/>
      <c r="N130" s="1042"/>
      <c r="O130" s="1042"/>
      <c r="P130" s="2056"/>
      <c r="Q130" s="461"/>
    </row>
    <row r="131" spans="1:17" ht="15.75" thickBot="1">
      <c r="A131" s="2062"/>
      <c r="B131" s="526"/>
      <c r="C131" s="527"/>
      <c r="D131" s="527"/>
      <c r="E131" s="527"/>
      <c r="F131" s="527"/>
      <c r="G131" s="548"/>
      <c r="H131" s="548"/>
      <c r="I131" s="548"/>
      <c r="J131" s="548"/>
      <c r="K131" s="548"/>
      <c r="L131" s="548"/>
      <c r="M131" s="549"/>
      <c r="N131" s="1043"/>
      <c r="O131" s="1043"/>
      <c r="P131" s="2056"/>
      <c r="Q131" s="461"/>
    </row>
    <row r="136" spans="1:17" ht="15" thickBot="1">
      <c r="B136" s="2063" t="s">
        <v>2202</v>
      </c>
    </row>
    <row r="137" spans="1:17" ht="15">
      <c r="B137" s="2064" t="s">
        <v>2203</v>
      </c>
      <c r="C137" s="2065"/>
      <c r="D137" s="2065"/>
      <c r="E137" s="2065"/>
      <c r="F137" s="2065"/>
      <c r="G137" s="2066"/>
      <c r="H137" s="2067"/>
      <c r="I137" s="2068" t="s">
        <v>2204</v>
      </c>
      <c r="J137" s="2065"/>
      <c r="K137" s="2069"/>
    </row>
    <row r="138" spans="1:17" ht="15">
      <c r="B138" s="2070"/>
      <c r="C138" s="142" t="s">
        <v>2205</v>
      </c>
      <c r="D138" s="142" t="s">
        <v>2206</v>
      </c>
      <c r="E138" s="2071" t="s">
        <v>2207</v>
      </c>
      <c r="F138" s="2072" t="s">
        <v>2208</v>
      </c>
      <c r="G138" s="142" t="s">
        <v>2206</v>
      </c>
      <c r="H138" s="143" t="s">
        <v>2207</v>
      </c>
      <c r="I138" s="2073"/>
      <c r="J138" s="142" t="s">
        <v>2209</v>
      </c>
      <c r="K138" s="143" t="s">
        <v>2210</v>
      </c>
    </row>
    <row r="139" spans="1:17" ht="15">
      <c r="B139" s="976">
        <v>6</v>
      </c>
      <c r="C139" s="977">
        <v>96</v>
      </c>
      <c r="D139" s="2074" t="s">
        <v>2211</v>
      </c>
      <c r="E139" s="978">
        <v>100</v>
      </c>
      <c r="F139" s="979">
        <v>102.5</v>
      </c>
      <c r="G139" s="2074" t="s">
        <v>2211</v>
      </c>
      <c r="H139" s="980">
        <v>105</v>
      </c>
      <c r="I139" s="2075" t="s">
        <v>2212</v>
      </c>
      <c r="J139" s="977">
        <v>20</v>
      </c>
      <c r="K139" s="981">
        <f>C145/(J139-2)</f>
        <v>4.0555555555555553E-3</v>
      </c>
    </row>
    <row r="140" spans="1:17" ht="15">
      <c r="B140" s="982">
        <v>5</v>
      </c>
      <c r="C140" s="983">
        <v>100</v>
      </c>
      <c r="D140" s="983"/>
      <c r="E140" s="984"/>
      <c r="F140" s="985">
        <v>102</v>
      </c>
      <c r="G140" s="983"/>
      <c r="H140" s="986"/>
      <c r="I140" s="2076" t="s">
        <v>2213</v>
      </c>
      <c r="J140" s="277">
        <f>ROUNDUP((J139-1)/2,0)</f>
        <v>10</v>
      </c>
      <c r="K140" s="987">
        <v>100</v>
      </c>
    </row>
    <row r="141" spans="1:17" ht="15">
      <c r="B141" s="982">
        <v>4</v>
      </c>
      <c r="C141" s="983">
        <v>102</v>
      </c>
      <c r="D141" s="983"/>
      <c r="E141" s="984"/>
      <c r="F141" s="985">
        <v>101.5</v>
      </c>
      <c r="G141" s="983"/>
      <c r="H141" s="986"/>
      <c r="I141" s="2076" t="s">
        <v>2214</v>
      </c>
      <c r="J141" s="277">
        <v>1</v>
      </c>
      <c r="K141" s="988">
        <f>ROUND(100+(J141-J140)*K139*100,1)</f>
        <v>96.4</v>
      </c>
    </row>
    <row r="142" spans="1:17" ht="15">
      <c r="B142" s="982">
        <v>3</v>
      </c>
      <c r="C142" s="983">
        <v>103</v>
      </c>
      <c r="D142" s="983"/>
      <c r="E142" s="984"/>
      <c r="F142" s="985">
        <v>101</v>
      </c>
      <c r="G142" s="983"/>
      <c r="H142" s="986"/>
      <c r="I142" s="2076" t="s">
        <v>2215</v>
      </c>
      <c r="J142" s="277">
        <f>J139</f>
        <v>20</v>
      </c>
      <c r="K142" s="989">
        <v>95</v>
      </c>
    </row>
    <row r="143" spans="1:17" ht="15">
      <c r="B143" s="982">
        <v>2</v>
      </c>
      <c r="C143" s="983">
        <v>100</v>
      </c>
      <c r="D143" s="983"/>
      <c r="E143" s="984"/>
      <c r="F143" s="985">
        <v>100.5</v>
      </c>
      <c r="G143" s="983"/>
      <c r="H143" s="986"/>
      <c r="I143" s="2076" t="s">
        <v>2216</v>
      </c>
      <c r="J143" s="983">
        <v>15</v>
      </c>
      <c r="K143" s="988">
        <f>ROUND(100+(J143-J140)*K139*100,1)</f>
        <v>102</v>
      </c>
    </row>
    <row r="144" spans="1:17" ht="15">
      <c r="B144" s="982">
        <v>1</v>
      </c>
      <c r="C144" s="983">
        <v>98</v>
      </c>
      <c r="D144" s="2077" t="s">
        <v>2217</v>
      </c>
      <c r="E144" s="984">
        <v>102</v>
      </c>
      <c r="F144" s="990">
        <v>100</v>
      </c>
      <c r="G144" s="2077" t="s">
        <v>2217</v>
      </c>
      <c r="H144" s="986">
        <v>105</v>
      </c>
      <c r="I144" s="2076" t="s">
        <v>2216</v>
      </c>
      <c r="J144" s="983">
        <v>18</v>
      </c>
      <c r="K144" s="988">
        <f>ROUND(100+(J144-J140)*K139*100,1)</f>
        <v>103.2</v>
      </c>
    </row>
    <row r="145" spans="2:11" ht="15.75" thickBot="1">
      <c r="B145" s="2078" t="s">
        <v>2218</v>
      </c>
      <c r="C145" s="991">
        <f>ROUND(MAX(C139:C144)/MIN(C139:C144)-1,3)</f>
        <v>7.2999999999999995E-2</v>
      </c>
      <c r="D145" s="992"/>
      <c r="E145" s="992"/>
      <c r="F145" s="2079" t="s">
        <v>2219</v>
      </c>
      <c r="G145" s="2080"/>
      <c r="H145" s="2081"/>
      <c r="I145" s="2082" t="s">
        <v>2216</v>
      </c>
      <c r="J145" s="993">
        <v>8</v>
      </c>
      <c r="K145" s="994">
        <f>ROUND(100+(J145-J140)*K139*100,1)</f>
        <v>99.2</v>
      </c>
    </row>
    <row r="147" spans="2:11">
      <c r="B147" s="2063" t="s">
        <v>2220</v>
      </c>
    </row>
    <row r="148" spans="2:11">
      <c r="B148" s="2063"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15"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1" customFormat="1" ht="28.5" customHeight="1" thickBot="1">
      <c r="A1" s="1340" t="s">
        <v>2108</v>
      </c>
      <c r="B1" s="2091" t="s">
        <v>2266</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IF(C2="——",ROUND(C50*D3/10000,0),ROUND(C50*D3/10000,0)-D2)</f>
        <v>#DIV/0!</v>
      </c>
      <c r="C2" s="2015"/>
      <c r="D2" s="1225" t="e">
        <f ca="1">SUMIF(INDIRECT("'"&amp;F2&amp;"'"&amp;"!A:A"),"承租人权益价值",INDIRECT("'"&amp;F2&amp;"'"&amp;"!c:c"))</f>
        <v>#REF!</v>
      </c>
      <c r="E2" s="2016" t="s">
        <v>1908</v>
      </c>
      <c r="F2" s="2017"/>
      <c r="G2" s="1017"/>
      <c r="H2" s="1017"/>
      <c r="I2" s="1017"/>
      <c r="J2" s="1017"/>
      <c r="K2" s="1017"/>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t="e">
        <f ca="1">IF(C2="——",C50,ROUND(B2*10000/D3,0))</f>
        <v>#DIV/0!</v>
      </c>
      <c r="C3" s="360" t="s">
        <v>2224</v>
      </c>
      <c r="D3" s="359">
        <f>IF(D1="",'数据-汇总表'!E3,SUMIF('数据-汇总表'!$C19:$C33,D1,'数据-汇总表'!$E19:$E33))</f>
        <v>254.29000000000002</v>
      </c>
      <c r="E3" s="2088"/>
      <c r="F3" s="1018"/>
      <c r="G3" s="1017"/>
      <c r="H3" s="1017"/>
      <c r="I3" s="1017"/>
      <c r="J3" s="1017"/>
      <c r="K3" s="1019"/>
      <c r="L3" s="2907"/>
      <c r="M3" s="2908"/>
      <c r="N3" s="2908"/>
      <c r="O3" s="2908"/>
      <c r="P3" s="705"/>
      <c r="Q3" s="705"/>
      <c r="R3" s="705"/>
      <c r="S3" s="705"/>
      <c r="T3" s="705"/>
      <c r="U3" s="705"/>
      <c r="V3" s="705"/>
      <c r="W3" s="705"/>
      <c r="X3" s="705"/>
      <c r="Y3" s="705"/>
      <c r="Z3" s="705"/>
      <c r="AA3" s="705"/>
      <c r="AB3" s="705"/>
      <c r="AC3" s="706"/>
    </row>
    <row r="4" spans="1:29" ht="15">
      <c r="A4" s="361" t="s">
        <v>2225</v>
      </c>
      <c r="B4" s="362"/>
      <c r="C4" s="3468" t="s">
        <v>2226</v>
      </c>
      <c r="D4" s="3469"/>
      <c r="E4" s="3470" t="s">
        <v>2227</v>
      </c>
      <c r="F4" s="3471"/>
      <c r="G4" s="3468" t="s">
        <v>2228</v>
      </c>
      <c r="H4" s="3469"/>
      <c r="I4" s="3468" t="s">
        <v>2229</v>
      </c>
      <c r="J4" s="3469"/>
      <c r="K4" s="567" t="s">
        <v>2230</v>
      </c>
      <c r="L4" s="2888"/>
      <c r="M4" s="2889"/>
      <c r="N4" s="2889"/>
      <c r="O4" s="2889"/>
      <c r="P4" s="3544" t="s">
        <v>2231</v>
      </c>
      <c r="Q4" s="3545"/>
      <c r="R4" s="3539" t="s">
        <v>2227</v>
      </c>
      <c r="S4" s="3540"/>
      <c r="T4" s="3539" t="s">
        <v>2228</v>
      </c>
      <c r="U4" s="3540"/>
      <c r="V4" s="3548" t="s">
        <v>2229</v>
      </c>
      <c r="W4" s="3548"/>
      <c r="X4" s="2092"/>
      <c r="Y4" s="3539" t="s">
        <v>2231</v>
      </c>
      <c r="Z4" s="3540"/>
      <c r="AA4" s="3538" t="s">
        <v>2227</v>
      </c>
      <c r="AB4" s="3538" t="s">
        <v>2228</v>
      </c>
      <c r="AC4" s="3541" t="s">
        <v>2229</v>
      </c>
    </row>
    <row r="5" spans="1:29" ht="15">
      <c r="A5" s="364"/>
      <c r="B5" s="365"/>
      <c r="C5" s="3461" t="s">
        <v>2122</v>
      </c>
      <c r="D5" s="3462"/>
      <c r="E5" s="3459" t="s">
        <v>2123</v>
      </c>
      <c r="F5" s="3460"/>
      <c r="G5" s="3461" t="s">
        <v>2124</v>
      </c>
      <c r="H5" s="3462"/>
      <c r="I5" s="3461" t="s">
        <v>2125</v>
      </c>
      <c r="J5" s="3462"/>
      <c r="K5" s="567"/>
      <c r="L5" s="2888"/>
      <c r="M5" s="2889"/>
      <c r="N5" s="2889"/>
      <c r="O5" s="2889"/>
      <c r="P5" s="3546"/>
      <c r="Q5" s="3475"/>
      <c r="R5" s="3457"/>
      <c r="S5" s="3458"/>
      <c r="T5" s="3457"/>
      <c r="U5" s="3458"/>
      <c r="V5" s="3480"/>
      <c r="W5" s="3480"/>
      <c r="X5" s="1487"/>
      <c r="Y5" s="3457"/>
      <c r="Z5" s="3458"/>
      <c r="AA5" s="3451"/>
      <c r="AB5" s="3451"/>
      <c r="AC5" s="3542"/>
    </row>
    <row r="6" spans="1:29" ht="15.75" thickBot="1">
      <c r="A6" s="366"/>
      <c r="B6" s="367"/>
      <c r="C6" s="3463" t="s">
        <v>2126</v>
      </c>
      <c r="D6" s="3464"/>
      <c r="E6" s="3465" t="s">
        <v>2126</v>
      </c>
      <c r="F6" s="3466"/>
      <c r="G6" s="3463" t="s">
        <v>2126</v>
      </c>
      <c r="H6" s="3464"/>
      <c r="I6" s="3463" t="s">
        <v>2126</v>
      </c>
      <c r="J6" s="3464"/>
      <c r="K6" s="567" t="s">
        <v>2127</v>
      </c>
      <c r="L6" s="2888"/>
      <c r="M6" s="2889"/>
      <c r="N6" s="2889"/>
      <c r="O6" s="2889"/>
      <c r="P6" s="3547"/>
      <c r="Q6" s="3477"/>
      <c r="R6" s="3457"/>
      <c r="S6" s="3458"/>
      <c r="T6" s="3478"/>
      <c r="U6" s="3479"/>
      <c r="V6" s="3480"/>
      <c r="W6" s="3480"/>
      <c r="X6" s="1487"/>
      <c r="Y6" s="3478"/>
      <c r="Z6" s="3479"/>
      <c r="AA6" s="3452"/>
      <c r="AB6" s="3452"/>
      <c r="AC6" s="3543"/>
    </row>
    <row r="7" spans="1:29" s="113" customFormat="1" ht="15.75" thickBot="1">
      <c r="A7" s="368" t="s">
        <v>2128</v>
      </c>
      <c r="B7" s="369"/>
      <c r="C7" s="370">
        <f>'数据-取费表'!B2</f>
        <v>44698</v>
      </c>
      <c r="D7" s="371">
        <v>100</v>
      </c>
      <c r="E7" s="372"/>
      <c r="F7" s="373">
        <f>SUMIF(59:59,YEAR(E7)&amp;"-"&amp;MONTH(E7),60:60)</f>
        <v>0</v>
      </c>
      <c r="G7" s="372"/>
      <c r="H7" s="371">
        <f>SUMIF(59:59,YEAR(G7)&amp;"-"&amp;MONTH(G7),60:60)</f>
        <v>0</v>
      </c>
      <c r="I7" s="372"/>
      <c r="J7" s="371">
        <f>SUMIF(59:59,YEAR(I7)&amp;"-"&amp;MONTH(I7),60:60)</f>
        <v>0</v>
      </c>
      <c r="K7" s="568"/>
      <c r="L7" s="2890"/>
      <c r="M7" s="2891"/>
      <c r="N7" s="2891"/>
      <c r="O7" s="2891"/>
      <c r="P7" s="3549" t="s">
        <v>2129</v>
      </c>
      <c r="Q7" s="3481"/>
      <c r="R7" s="707" t="s">
        <v>17</v>
      </c>
      <c r="S7" s="708">
        <f t="shared" ref="S7:S15" si="0">F7</f>
        <v>0</v>
      </c>
      <c r="T7" s="707" t="s">
        <v>17</v>
      </c>
      <c r="U7" s="708">
        <f t="shared" ref="U7:U15" si="1">H7</f>
        <v>0</v>
      </c>
      <c r="V7" s="707" t="s">
        <v>17</v>
      </c>
      <c r="W7" s="708">
        <f t="shared" ref="W7:W15" si="2">J7</f>
        <v>0</v>
      </c>
      <c r="X7" s="709"/>
      <c r="Y7" s="3453" t="s">
        <v>2129</v>
      </c>
      <c r="Z7" s="3454"/>
      <c r="AA7" s="710" t="e">
        <f>D7/F7</f>
        <v>#DIV/0!</v>
      </c>
      <c r="AB7" s="710" t="e">
        <f>D7/H7</f>
        <v>#DIV/0!</v>
      </c>
      <c r="AC7" s="2093"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0"/>
      <c r="M8" s="2891"/>
      <c r="N8" s="2891"/>
      <c r="O8" s="2891"/>
      <c r="P8" s="3549" t="s">
        <v>2132</v>
      </c>
      <c r="Q8" s="3454"/>
      <c r="R8" s="707" t="s">
        <v>17</v>
      </c>
      <c r="S8" s="708">
        <f t="shared" si="0"/>
        <v>0</v>
      </c>
      <c r="T8" s="707" t="s">
        <v>17</v>
      </c>
      <c r="U8" s="708">
        <f t="shared" si="1"/>
        <v>0</v>
      </c>
      <c r="V8" s="707" t="s">
        <v>17</v>
      </c>
      <c r="W8" s="708">
        <f t="shared" si="2"/>
        <v>0</v>
      </c>
      <c r="X8" s="709"/>
      <c r="Y8" s="3453" t="s">
        <v>2132</v>
      </c>
      <c r="Z8" s="3454"/>
      <c r="AA8" s="710" t="e">
        <f t="shared" ref="AA8:AA47" si="3">D8/F8</f>
        <v>#DIV/0!</v>
      </c>
      <c r="AB8" s="710" t="e">
        <f t="shared" ref="AB8:AB47" si="4">D8/H8</f>
        <v>#DIV/0!</v>
      </c>
      <c r="AC8" s="2093"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0"/>
      <c r="M9" s="2891"/>
      <c r="N9" s="2891"/>
      <c r="O9" s="2891"/>
      <c r="P9" s="3491"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2093">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2"/>
      <c r="M10" s="2893"/>
      <c r="N10" s="2893"/>
      <c r="O10" s="2893"/>
      <c r="P10" s="3491"/>
      <c r="Q10" s="1475" t="str">
        <f t="shared" si="6"/>
        <v>土地使用年限（年）</v>
      </c>
      <c r="R10" s="707" t="s">
        <v>17</v>
      </c>
      <c r="S10" s="708">
        <f t="shared" si="0"/>
        <v>100</v>
      </c>
      <c r="T10" s="707" t="s">
        <v>17</v>
      </c>
      <c r="U10" s="708">
        <f t="shared" si="1"/>
        <v>100</v>
      </c>
      <c r="V10" s="707" t="s">
        <v>17</v>
      </c>
      <c r="W10" s="708">
        <f t="shared" si="2"/>
        <v>100</v>
      </c>
      <c r="X10" s="709"/>
      <c r="Y10" s="3423"/>
      <c r="Z10" s="55" t="str">
        <f t="shared" si="7"/>
        <v>土地使用年限（年）</v>
      </c>
      <c r="AA10" s="710">
        <f t="shared" si="3"/>
        <v>1</v>
      </c>
      <c r="AB10" s="710">
        <f t="shared" si="4"/>
        <v>1</v>
      </c>
      <c r="AC10" s="2093">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4"/>
      <c r="M11" s="2889"/>
      <c r="N11" s="2889"/>
      <c r="O11" s="2889"/>
      <c r="P11" s="3491"/>
      <c r="Q11" s="1475" t="str">
        <f t="shared" si="6"/>
        <v>容积率</v>
      </c>
      <c r="R11" s="707" t="s">
        <v>17</v>
      </c>
      <c r="S11" s="708" t="e">
        <f t="shared" si="0"/>
        <v>#N/A</v>
      </c>
      <c r="T11" s="707" t="s">
        <v>17</v>
      </c>
      <c r="U11" s="708" t="e">
        <f t="shared" si="1"/>
        <v>#N/A</v>
      </c>
      <c r="V11" s="707" t="s">
        <v>17</v>
      </c>
      <c r="W11" s="708" t="e">
        <f t="shared" si="2"/>
        <v>#N/A</v>
      </c>
      <c r="X11" s="709"/>
      <c r="Y11" s="3423"/>
      <c r="Z11" s="55" t="str">
        <f t="shared" si="7"/>
        <v>容积率</v>
      </c>
      <c r="AA11" s="710" t="e">
        <f t="shared" si="3"/>
        <v>#N/A</v>
      </c>
      <c r="AB11" s="710" t="e">
        <f t="shared" si="4"/>
        <v>#N/A</v>
      </c>
      <c r="AC11" s="2093" t="e">
        <f t="shared" si="5"/>
        <v>#N/A</v>
      </c>
    </row>
    <row r="12" spans="1:29" s="113" customFormat="1" ht="15">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90"/>
      <c r="M12" s="2891"/>
      <c r="N12" s="2891"/>
      <c r="O12" s="2891"/>
      <c r="P12" s="3491"/>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2093">
        <f>D12/J12</f>
        <v>1</v>
      </c>
    </row>
    <row r="13" spans="1:29" ht="15">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5"/>
      <c r="M13" s="2889"/>
      <c r="N13" s="2889"/>
      <c r="O13" s="2889"/>
      <c r="P13" s="3491"/>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2093">
        <f t="shared" si="5"/>
        <v>1</v>
      </c>
    </row>
    <row r="14" spans="1:29" ht="15.75" thickBot="1">
      <c r="A14" s="395"/>
      <c r="B14" s="2029">
        <v>111</v>
      </c>
      <c r="C14" s="396"/>
      <c r="D14" s="397">
        <v>100</v>
      </c>
      <c r="E14" s="583"/>
      <c r="F14" s="397">
        <f>SUMIF(75:75,E14,76:76)-SUMIF(75:75,C14,76:76)+100</f>
        <v>100</v>
      </c>
      <c r="G14" s="2094"/>
      <c r="H14" s="397">
        <f>SUMIF(75:75,G14,76:76)-SUMIF(75:75,C14,76:76)+100</f>
        <v>100</v>
      </c>
      <c r="I14" s="391"/>
      <c r="J14" s="397">
        <f>SUMIF(75:75,I14,76:76)-SUMIF(75:75,C14,76:76)+100</f>
        <v>100</v>
      </c>
      <c r="K14" s="570"/>
      <c r="L14" s="2895"/>
      <c r="M14" s="2889"/>
      <c r="N14" s="2889"/>
      <c r="O14" s="2889"/>
      <c r="P14" s="3491"/>
      <c r="Q14" s="1475">
        <f t="shared" si="6"/>
        <v>111</v>
      </c>
      <c r="R14" s="707" t="s">
        <v>17</v>
      </c>
      <c r="S14" s="708">
        <f t="shared" si="0"/>
        <v>100</v>
      </c>
      <c r="T14" s="707" t="s">
        <v>17</v>
      </c>
      <c r="U14" s="708">
        <f t="shared" si="1"/>
        <v>100</v>
      </c>
      <c r="V14" s="707" t="s">
        <v>17</v>
      </c>
      <c r="W14" s="708">
        <f t="shared" si="2"/>
        <v>100</v>
      </c>
      <c r="X14" s="709"/>
      <c r="Y14" s="3423"/>
      <c r="Z14" s="55">
        <f t="shared" si="7"/>
        <v>111</v>
      </c>
      <c r="AA14" s="710">
        <f t="shared" si="3"/>
        <v>1</v>
      </c>
      <c r="AB14" s="710">
        <f t="shared" si="4"/>
        <v>1</v>
      </c>
      <c r="AC14" s="2093">
        <f t="shared" si="5"/>
        <v>1</v>
      </c>
    </row>
    <row r="15" spans="1:29" ht="71.25">
      <c r="A15" s="399" t="s">
        <v>2139</v>
      </c>
      <c r="B15" s="584" t="s">
        <v>2267</v>
      </c>
      <c r="C15" s="209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5"/>
      <c r="M15" s="2889"/>
      <c r="N15" s="2889"/>
      <c r="O15" s="2889"/>
      <c r="P15" s="3498" t="s">
        <v>2140</v>
      </c>
      <c r="Q15" s="1484" t="str">
        <f t="shared" si="6"/>
        <v>办公集聚程度</v>
      </c>
      <c r="R15" s="711" t="s">
        <v>17</v>
      </c>
      <c r="S15" s="712">
        <f t="shared" si="0"/>
        <v>100</v>
      </c>
      <c r="T15" s="711" t="s">
        <v>17</v>
      </c>
      <c r="U15" s="712">
        <f t="shared" si="1"/>
        <v>100</v>
      </c>
      <c r="V15" s="711" t="s">
        <v>17</v>
      </c>
      <c r="W15" s="712">
        <f t="shared" si="2"/>
        <v>100</v>
      </c>
      <c r="X15" s="1487"/>
      <c r="Y15" s="3482" t="s">
        <v>2140</v>
      </c>
      <c r="Z15" s="1488" t="str">
        <f t="shared" si="7"/>
        <v>办公集聚程度</v>
      </c>
      <c r="AA15" s="1485">
        <f t="shared" si="3"/>
        <v>1</v>
      </c>
      <c r="AB15" s="1485">
        <f t="shared" si="4"/>
        <v>1</v>
      </c>
      <c r="AC15" s="2096">
        <f t="shared" si="5"/>
        <v>1</v>
      </c>
    </row>
    <row r="16" spans="1:29" ht="15">
      <c r="A16" s="387"/>
      <c r="B16" s="585"/>
      <c r="C16" s="2038"/>
      <c r="D16" s="407"/>
      <c r="E16" s="406"/>
      <c r="F16" s="407"/>
      <c r="G16" s="2038"/>
      <c r="H16" s="409"/>
      <c r="I16" s="406"/>
      <c r="J16" s="407"/>
      <c r="K16" s="572"/>
      <c r="L16" s="2895"/>
      <c r="M16" s="2889"/>
      <c r="N16" s="2889"/>
      <c r="O16" s="2889"/>
      <c r="P16" s="3499"/>
      <c r="Q16" s="1484"/>
      <c r="R16" s="711"/>
      <c r="S16" s="712"/>
      <c r="T16" s="711"/>
      <c r="U16" s="712"/>
      <c r="V16" s="711"/>
      <c r="W16" s="712"/>
      <c r="X16" s="1487"/>
      <c r="Y16" s="3483"/>
      <c r="Z16" s="1488"/>
      <c r="AA16" s="1485">
        <v>1</v>
      </c>
      <c r="AB16" s="1485">
        <v>1</v>
      </c>
      <c r="AC16" s="2096">
        <v>1</v>
      </c>
    </row>
    <row r="17" spans="1:29" ht="71.25">
      <c r="A17" s="387"/>
      <c r="B17" s="586" t="s">
        <v>1704</v>
      </c>
      <c r="C17" s="209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5"/>
      <c r="M17" s="2889"/>
      <c r="N17" s="2889"/>
      <c r="O17" s="2889"/>
      <c r="P17" s="3499"/>
      <c r="Q17" s="1484" t="str">
        <f>B17</f>
        <v>交通便捷度</v>
      </c>
      <c r="R17" s="711" t="s">
        <v>17</v>
      </c>
      <c r="S17" s="712">
        <f>F17</f>
        <v>100</v>
      </c>
      <c r="T17" s="711" t="s">
        <v>17</v>
      </c>
      <c r="U17" s="712">
        <f>H17</f>
        <v>100</v>
      </c>
      <c r="V17" s="711" t="s">
        <v>17</v>
      </c>
      <c r="W17" s="712">
        <f>J17</f>
        <v>100</v>
      </c>
      <c r="X17" s="1487"/>
      <c r="Y17" s="3483"/>
      <c r="Z17" s="1488" t="str">
        <f>Q17</f>
        <v>交通便捷度</v>
      </c>
      <c r="AA17" s="1485">
        <f t="shared" si="3"/>
        <v>1</v>
      </c>
      <c r="AB17" s="1485">
        <f t="shared" si="4"/>
        <v>1</v>
      </c>
      <c r="AC17" s="2096">
        <f t="shared" si="5"/>
        <v>1</v>
      </c>
    </row>
    <row r="18" spans="1:29" ht="15">
      <c r="A18" s="387"/>
      <c r="B18" s="587"/>
      <c r="C18" s="2098"/>
      <c r="D18" s="409"/>
      <c r="E18" s="2036"/>
      <c r="F18" s="409"/>
      <c r="G18" s="2037"/>
      <c r="H18" s="407"/>
      <c r="I18" s="2037"/>
      <c r="J18" s="407"/>
      <c r="K18" s="572"/>
      <c r="L18" s="2895"/>
      <c r="M18" s="2889"/>
      <c r="N18" s="2889"/>
      <c r="O18" s="2889"/>
      <c r="P18" s="3499"/>
      <c r="Q18" s="1484"/>
      <c r="R18" s="711"/>
      <c r="S18" s="712"/>
      <c r="T18" s="711"/>
      <c r="U18" s="712"/>
      <c r="V18" s="711"/>
      <c r="W18" s="712"/>
      <c r="X18" s="1487"/>
      <c r="Y18" s="3483"/>
      <c r="Z18" s="1488"/>
      <c r="AA18" s="1485">
        <v>1</v>
      </c>
      <c r="AB18" s="1485">
        <v>1</v>
      </c>
      <c r="AC18" s="2096">
        <v>1</v>
      </c>
    </row>
    <row r="19" spans="1:29" ht="42.75">
      <c r="A19" s="387"/>
      <c r="B19" s="586" t="s">
        <v>2268</v>
      </c>
      <c r="C19" s="209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5"/>
      <c r="M19" s="2889"/>
      <c r="N19" s="2889"/>
      <c r="O19" s="2889"/>
      <c r="P19" s="3499"/>
      <c r="Q19" s="1484" t="str">
        <f>B19</f>
        <v>公共配套设施</v>
      </c>
      <c r="R19" s="711" t="s">
        <v>17</v>
      </c>
      <c r="S19" s="712">
        <f>F19</f>
        <v>100</v>
      </c>
      <c r="T19" s="711" t="s">
        <v>17</v>
      </c>
      <c r="U19" s="712">
        <f>H19</f>
        <v>100</v>
      </c>
      <c r="V19" s="711" t="s">
        <v>17</v>
      </c>
      <c r="W19" s="712">
        <f>J19</f>
        <v>100</v>
      </c>
      <c r="X19" s="1487"/>
      <c r="Y19" s="3483"/>
      <c r="Z19" s="1488" t="str">
        <f>Q19</f>
        <v>公共配套设施</v>
      </c>
      <c r="AA19" s="1485">
        <f t="shared" si="3"/>
        <v>1</v>
      </c>
      <c r="AB19" s="1485">
        <f t="shared" si="4"/>
        <v>1</v>
      </c>
      <c r="AC19" s="2096">
        <f t="shared" si="5"/>
        <v>1</v>
      </c>
    </row>
    <row r="20" spans="1:29" ht="15">
      <c r="A20" s="387"/>
      <c r="B20" s="587"/>
      <c r="C20" s="2038"/>
      <c r="D20" s="407"/>
      <c r="E20" s="2031"/>
      <c r="F20" s="407"/>
      <c r="G20" s="2032"/>
      <c r="H20" s="407"/>
      <c r="I20" s="2032"/>
      <c r="J20" s="407"/>
      <c r="K20" s="572"/>
      <c r="L20" s="2895"/>
      <c r="M20" s="2889"/>
      <c r="N20" s="2889"/>
      <c r="O20" s="2889"/>
      <c r="P20" s="3499"/>
      <c r="Q20" s="1484"/>
      <c r="R20" s="711"/>
      <c r="S20" s="712"/>
      <c r="T20" s="711"/>
      <c r="U20" s="712"/>
      <c r="V20" s="711"/>
      <c r="W20" s="712"/>
      <c r="X20" s="1487"/>
      <c r="Y20" s="3483"/>
      <c r="Z20" s="1488"/>
      <c r="AA20" s="1485">
        <v>1</v>
      </c>
      <c r="AB20" s="1485">
        <v>1</v>
      </c>
      <c r="AC20" s="2096">
        <v>1</v>
      </c>
    </row>
    <row r="21" spans="1:29" ht="28.5">
      <c r="A21" s="387"/>
      <c r="B21" s="588" t="s">
        <v>2269</v>
      </c>
      <c r="C21" s="209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5"/>
      <c r="M21" s="2889"/>
      <c r="N21" s="2889"/>
      <c r="O21" s="2889"/>
      <c r="P21" s="3499"/>
      <c r="Q21" s="1484" t="str">
        <f>B21</f>
        <v>基础设施水平</v>
      </c>
      <c r="R21" s="711" t="s">
        <v>17</v>
      </c>
      <c r="S21" s="712">
        <f>F21</f>
        <v>100</v>
      </c>
      <c r="T21" s="711" t="s">
        <v>17</v>
      </c>
      <c r="U21" s="712">
        <f>H21</f>
        <v>100</v>
      </c>
      <c r="V21" s="711" t="s">
        <v>17</v>
      </c>
      <c r="W21" s="712">
        <f>J21</f>
        <v>100</v>
      </c>
      <c r="X21" s="1487"/>
      <c r="Y21" s="3483"/>
      <c r="Z21" s="1488" t="str">
        <f>Q21</f>
        <v>基础设施水平</v>
      </c>
      <c r="AA21" s="1485">
        <f t="shared" ref="AA21" si="8">D21/F21</f>
        <v>1</v>
      </c>
      <c r="AB21" s="1485">
        <f t="shared" ref="AB21" si="9">D21/H21</f>
        <v>1</v>
      </c>
      <c r="AC21" s="2096">
        <f t="shared" ref="AC21" si="10">D21/J21</f>
        <v>1</v>
      </c>
    </row>
    <row r="22" spans="1:29" ht="15">
      <c r="A22" s="387"/>
      <c r="B22" s="588"/>
      <c r="C22" s="2098"/>
      <c r="D22" s="407"/>
      <c r="E22" s="406"/>
      <c r="F22" s="407"/>
      <c r="G22" s="2038"/>
      <c r="H22" s="407"/>
      <c r="I22" s="2038"/>
      <c r="J22" s="407"/>
      <c r="K22" s="1242"/>
      <c r="L22" s="2895"/>
      <c r="M22" s="2889"/>
      <c r="N22" s="2889"/>
      <c r="O22" s="2889"/>
      <c r="P22" s="3499"/>
      <c r="Q22" s="1484"/>
      <c r="R22" s="711"/>
      <c r="S22" s="712"/>
      <c r="T22" s="711"/>
      <c r="U22" s="712"/>
      <c r="V22" s="711"/>
      <c r="W22" s="712"/>
      <c r="X22" s="1487"/>
      <c r="Y22" s="3483"/>
      <c r="Z22" s="1488"/>
      <c r="AA22" s="1485">
        <v>1</v>
      </c>
      <c r="AB22" s="1485">
        <v>1</v>
      </c>
      <c r="AC22" s="2096">
        <v>1</v>
      </c>
    </row>
    <row r="23" spans="1:29" ht="42.75">
      <c r="A23" s="387"/>
      <c r="B23" s="586" t="s">
        <v>2270</v>
      </c>
      <c r="C23" s="209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5"/>
      <c r="M23" s="2889"/>
      <c r="N23" s="2889"/>
      <c r="O23" s="2889"/>
      <c r="P23" s="3499"/>
      <c r="Q23" s="1484" t="str">
        <f>B23</f>
        <v>环境质量</v>
      </c>
      <c r="R23" s="711" t="s">
        <v>17</v>
      </c>
      <c r="S23" s="712">
        <f>F23</f>
        <v>100</v>
      </c>
      <c r="T23" s="711" t="s">
        <v>17</v>
      </c>
      <c r="U23" s="712">
        <f>H23</f>
        <v>100</v>
      </c>
      <c r="V23" s="711" t="s">
        <v>17</v>
      </c>
      <c r="W23" s="712">
        <f>J23</f>
        <v>100</v>
      </c>
      <c r="X23" s="1487"/>
      <c r="Y23" s="3483"/>
      <c r="Z23" s="1488" t="str">
        <f>Q23</f>
        <v>环境质量</v>
      </c>
      <c r="AA23" s="1485">
        <f t="shared" si="3"/>
        <v>1</v>
      </c>
      <c r="AB23" s="1485">
        <f t="shared" si="4"/>
        <v>1</v>
      </c>
      <c r="AC23" s="2096">
        <f t="shared" si="5"/>
        <v>1</v>
      </c>
    </row>
    <row r="24" spans="1:29" ht="15">
      <c r="A24" s="387"/>
      <c r="B24" s="588"/>
      <c r="C24" s="2038"/>
      <c r="D24" s="407"/>
      <c r="E24" s="2031"/>
      <c r="F24" s="407"/>
      <c r="G24" s="2032"/>
      <c r="H24" s="407"/>
      <c r="I24" s="2032"/>
      <c r="J24" s="407"/>
      <c r="K24" s="572"/>
      <c r="L24" s="2895"/>
      <c r="M24" s="2889"/>
      <c r="N24" s="2889"/>
      <c r="O24" s="2889"/>
      <c r="P24" s="3499"/>
      <c r="Q24" s="1484"/>
      <c r="R24" s="711"/>
      <c r="S24" s="712"/>
      <c r="T24" s="711"/>
      <c r="U24" s="712"/>
      <c r="V24" s="711"/>
      <c r="W24" s="712"/>
      <c r="X24" s="1487"/>
      <c r="Y24" s="3483"/>
      <c r="Z24" s="1488"/>
      <c r="AA24" s="1485">
        <v>1</v>
      </c>
      <c r="AB24" s="1485">
        <v>1</v>
      </c>
      <c r="AC24" s="2096">
        <v>1</v>
      </c>
    </row>
    <row r="25" spans="1:29" ht="27">
      <c r="A25" s="364"/>
      <c r="B25" s="586" t="s">
        <v>2271</v>
      </c>
      <c r="C25" s="2042"/>
      <c r="D25" s="394">
        <v>100</v>
      </c>
      <c r="E25" s="393"/>
      <c r="F25" s="394">
        <f>SUMIF(87:87,E26,88:88)-SUMIF(87:87,C26,88:88)+100</f>
        <v>100</v>
      </c>
      <c r="G25" s="2042"/>
      <c r="H25" s="394">
        <f>SUMIF(87:87,G26,88:88)-SUMIF(87:87,C26,88:88)+100</f>
        <v>100</v>
      </c>
      <c r="I25" s="393"/>
      <c r="J25" s="394">
        <f>SUMIF(87:87,I26,88:88)-SUMIF(87:87,C26,88:88)+100</f>
        <v>100</v>
      </c>
      <c r="K25" s="571"/>
      <c r="L25" s="2895"/>
      <c r="M25" s="2889"/>
      <c r="N25" s="2889"/>
      <c r="O25" s="2889"/>
      <c r="P25" s="3499"/>
      <c r="Q25" s="1484" t="str">
        <f>B25</f>
        <v>毗邻道路的类型与等级</v>
      </c>
      <c r="R25" s="711" t="s">
        <v>17</v>
      </c>
      <c r="S25" s="712">
        <f>F25</f>
        <v>100</v>
      </c>
      <c r="T25" s="711" t="s">
        <v>17</v>
      </c>
      <c r="U25" s="712">
        <f>H25</f>
        <v>100</v>
      </c>
      <c r="V25" s="711" t="s">
        <v>17</v>
      </c>
      <c r="W25" s="712">
        <f>J25</f>
        <v>100</v>
      </c>
      <c r="X25" s="1487"/>
      <c r="Y25" s="3483"/>
      <c r="Z25" s="1488" t="str">
        <f>Q25</f>
        <v>毗邻道路的类型与等级</v>
      </c>
      <c r="AA25" s="1485">
        <f t="shared" si="3"/>
        <v>1</v>
      </c>
      <c r="AB25" s="1485">
        <f t="shared" si="4"/>
        <v>1</v>
      </c>
      <c r="AC25" s="2096">
        <f t="shared" si="5"/>
        <v>1</v>
      </c>
    </row>
    <row r="26" spans="1:29" ht="15">
      <c r="A26" s="364"/>
      <c r="B26" s="587"/>
      <c r="C26" s="589"/>
      <c r="D26" s="394"/>
      <c r="E26" s="573"/>
      <c r="F26" s="394"/>
      <c r="G26" s="589"/>
      <c r="H26" s="394"/>
      <c r="I26" s="573"/>
      <c r="J26" s="394"/>
      <c r="K26" s="572"/>
      <c r="L26" s="2895"/>
      <c r="M26" s="2889"/>
      <c r="N26" s="2889"/>
      <c r="O26" s="2889"/>
      <c r="P26" s="3499"/>
      <c r="Q26" s="1484"/>
      <c r="R26" s="711"/>
      <c r="S26" s="712"/>
      <c r="T26" s="711"/>
      <c r="U26" s="712"/>
      <c r="V26" s="711"/>
      <c r="W26" s="712"/>
      <c r="X26" s="1487"/>
      <c r="Y26" s="3483"/>
      <c r="Z26" s="1488"/>
      <c r="AA26" s="1485">
        <v>1</v>
      </c>
      <c r="AB26" s="1485">
        <v>1</v>
      </c>
      <c r="AC26" s="2096">
        <v>1</v>
      </c>
    </row>
    <row r="27" spans="1:29" ht="15">
      <c r="A27" s="387"/>
      <c r="B27" s="587" t="s">
        <v>2239</v>
      </c>
      <c r="C27" s="589"/>
      <c r="D27" s="394">
        <v>100</v>
      </c>
      <c r="E27" s="573"/>
      <c r="F27" s="394">
        <f>SUMIF(89:89,E27,90:90)-SUMIF(89:89,C27,90:90)+100</f>
        <v>100</v>
      </c>
      <c r="G27" s="589"/>
      <c r="H27" s="394">
        <f>SUMIF(89:89,G27,90:90)-SUMIF(89:89,C27,90:90)+100</f>
        <v>100</v>
      </c>
      <c r="I27" s="573"/>
      <c r="J27" s="394">
        <f>SUMIF(89:89,I27,90:90)-SUMIF(89:89,C27,90:90)+100</f>
        <v>100</v>
      </c>
      <c r="K27" s="569"/>
      <c r="L27" s="2895"/>
      <c r="M27" s="2889"/>
      <c r="N27" s="2889"/>
      <c r="O27" s="2889"/>
      <c r="P27" s="3499"/>
      <c r="Q27" s="1484" t="str">
        <f t="shared" ref="Q27:Q47" si="11">B27</f>
        <v>楼层</v>
      </c>
      <c r="R27" s="711" t="s">
        <v>17</v>
      </c>
      <c r="S27" s="712">
        <f>F27</f>
        <v>100</v>
      </c>
      <c r="T27" s="711" t="s">
        <v>17</v>
      </c>
      <c r="U27" s="712">
        <f>H27</f>
        <v>100</v>
      </c>
      <c r="V27" s="711" t="s">
        <v>17</v>
      </c>
      <c r="W27" s="712">
        <f>J27</f>
        <v>100</v>
      </c>
      <c r="X27" s="1487"/>
      <c r="Y27" s="3483"/>
      <c r="Z27" s="1488" t="str">
        <f>Q27</f>
        <v>楼层</v>
      </c>
      <c r="AA27" s="1485">
        <f t="shared" si="3"/>
        <v>1</v>
      </c>
      <c r="AB27" s="1485">
        <f t="shared" si="4"/>
        <v>1</v>
      </c>
      <c r="AC27" s="2096">
        <f t="shared" si="5"/>
        <v>1</v>
      </c>
    </row>
    <row r="28" spans="1:29" s="113" customFormat="1" ht="15">
      <c r="A28" s="390"/>
      <c r="B28" s="586" t="s">
        <v>2272</v>
      </c>
      <c r="C28" s="2099"/>
      <c r="D28" s="421">
        <v>100</v>
      </c>
      <c r="E28" s="2090"/>
      <c r="F28" s="421">
        <f>SUMIF(91:91,E28,92:92)-SUMIF(91:91,C28,92:92)+100</f>
        <v>100</v>
      </c>
      <c r="G28" s="2099"/>
      <c r="H28" s="421">
        <f>SUMIF(91:91,G28,92:92)-SUMIF(91:91,C28,92:92)+100</f>
        <v>100</v>
      </c>
      <c r="I28" s="2090"/>
      <c r="J28" s="421">
        <f>SUMIF(91:91,I28,92:92)-SUMIF(91:91,C28,92:92)+100</f>
        <v>100</v>
      </c>
      <c r="K28" s="569"/>
      <c r="L28" s="2890"/>
      <c r="M28" s="2891"/>
      <c r="N28" s="2891"/>
      <c r="O28" s="2891"/>
      <c r="P28" s="3499"/>
      <c r="Q28" s="1475" t="str">
        <f t="shared" si="11"/>
        <v>朝向</v>
      </c>
      <c r="R28" s="707" t="s">
        <v>17</v>
      </c>
      <c r="S28" s="708">
        <f>F28</f>
        <v>100</v>
      </c>
      <c r="T28" s="707" t="s">
        <v>17</v>
      </c>
      <c r="U28" s="708">
        <f>H28</f>
        <v>100</v>
      </c>
      <c r="V28" s="707" t="s">
        <v>17</v>
      </c>
      <c r="W28" s="708">
        <f>J28</f>
        <v>100</v>
      </c>
      <c r="X28" s="709"/>
      <c r="Y28" s="3483"/>
      <c r="Z28" s="55" t="str">
        <f>Q28</f>
        <v>朝向</v>
      </c>
      <c r="AA28" s="1485">
        <f>D28/F28</f>
        <v>1</v>
      </c>
      <c r="AB28" s="1485">
        <f>D28/H28</f>
        <v>1</v>
      </c>
      <c r="AC28" s="2096">
        <f>D28/J28</f>
        <v>1</v>
      </c>
    </row>
    <row r="29" spans="1:29" ht="15">
      <c r="A29" s="387"/>
      <c r="B29" s="2100">
        <v>111</v>
      </c>
      <c r="C29" s="2042"/>
      <c r="D29" s="394">
        <v>100</v>
      </c>
      <c r="E29" s="391"/>
      <c r="F29" s="394">
        <f>SUMIF(93:93,E29,94:94)-SUMIF(93:93,C29,94:94)+100</f>
        <v>100</v>
      </c>
      <c r="G29" s="2094"/>
      <c r="H29" s="394">
        <f>SUMIF(93:93,G29,94:94)-SUMIF(93:93,C29,94:94)+100</f>
        <v>100</v>
      </c>
      <c r="I29" s="391"/>
      <c r="J29" s="394">
        <f>SUMIF(93:93,I29,94:94)-SUMIF(93:93,C29,94:94)+100</f>
        <v>100</v>
      </c>
      <c r="K29" s="570"/>
      <c r="L29" s="2895"/>
      <c r="M29" s="2889"/>
      <c r="N29" s="2889"/>
      <c r="O29" s="2889"/>
      <c r="P29" s="3499"/>
      <c r="Q29" s="1484">
        <f t="shared" si="11"/>
        <v>111</v>
      </c>
      <c r="R29" s="711" t="s">
        <v>17</v>
      </c>
      <c r="S29" s="712">
        <f t="shared" ref="S29:S47" si="12">F29</f>
        <v>100</v>
      </c>
      <c r="T29" s="711" t="s">
        <v>17</v>
      </c>
      <c r="U29" s="712">
        <f t="shared" ref="U29:U47" si="13">H29</f>
        <v>100</v>
      </c>
      <c r="V29" s="711" t="s">
        <v>17</v>
      </c>
      <c r="W29" s="712">
        <f t="shared" ref="W29:W47" si="14">J29</f>
        <v>100</v>
      </c>
      <c r="X29" s="1487"/>
      <c r="Y29" s="3483"/>
      <c r="Z29" s="1488">
        <f t="shared" ref="Z29:Z47" si="15">Q29</f>
        <v>111</v>
      </c>
      <c r="AA29" s="1485">
        <f t="shared" si="3"/>
        <v>1</v>
      </c>
      <c r="AB29" s="1485">
        <f t="shared" si="4"/>
        <v>1</v>
      </c>
      <c r="AC29" s="2096">
        <f t="shared" si="5"/>
        <v>1</v>
      </c>
    </row>
    <row r="30" spans="1:29" ht="15">
      <c r="A30" s="387"/>
      <c r="B30" s="2100">
        <v>111</v>
      </c>
      <c r="C30" s="2042"/>
      <c r="D30" s="394">
        <v>100</v>
      </c>
      <c r="E30" s="391"/>
      <c r="F30" s="394">
        <f>SUMIF(95:95,E30,96:96)-SUMIF(95:95,C30,96:96)+100</f>
        <v>100</v>
      </c>
      <c r="G30" s="2094"/>
      <c r="H30" s="394">
        <f>SUMIF(95:95,G30,96:96)-SUMIF(95:95,C30,96:96)+100</f>
        <v>100</v>
      </c>
      <c r="I30" s="391"/>
      <c r="J30" s="394">
        <f>SUMIF(95:95,I30,96:96)-SUMIF(95:95,C30,96:96)+100</f>
        <v>100</v>
      </c>
      <c r="K30" s="570"/>
      <c r="L30" s="2895"/>
      <c r="M30" s="2889"/>
      <c r="N30" s="2889"/>
      <c r="O30" s="2889"/>
      <c r="P30" s="3499"/>
      <c r="Q30" s="1484">
        <f t="shared" si="11"/>
        <v>111</v>
      </c>
      <c r="R30" s="711" t="s">
        <v>17</v>
      </c>
      <c r="S30" s="712">
        <f t="shared" si="12"/>
        <v>100</v>
      </c>
      <c r="T30" s="711" t="s">
        <v>17</v>
      </c>
      <c r="U30" s="712">
        <f t="shared" si="13"/>
        <v>100</v>
      </c>
      <c r="V30" s="711" t="s">
        <v>17</v>
      </c>
      <c r="W30" s="712">
        <f t="shared" si="14"/>
        <v>100</v>
      </c>
      <c r="X30" s="1487"/>
      <c r="Y30" s="3483"/>
      <c r="Z30" s="1488">
        <f t="shared" si="15"/>
        <v>111</v>
      </c>
      <c r="AA30" s="1485">
        <f t="shared" si="3"/>
        <v>1</v>
      </c>
      <c r="AB30" s="1485">
        <f t="shared" si="4"/>
        <v>1</v>
      </c>
      <c r="AC30" s="2096">
        <f t="shared" si="5"/>
        <v>1</v>
      </c>
    </row>
    <row r="31" spans="1:29" ht="15">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5"/>
      <c r="M31" s="2889"/>
      <c r="N31" s="2889"/>
      <c r="O31" s="2889"/>
      <c r="P31" s="3499"/>
      <c r="Q31" s="1484">
        <f t="shared" si="11"/>
        <v>111</v>
      </c>
      <c r="R31" s="711" t="s">
        <v>17</v>
      </c>
      <c r="S31" s="712">
        <f t="shared" si="12"/>
        <v>100</v>
      </c>
      <c r="T31" s="711" t="s">
        <v>17</v>
      </c>
      <c r="U31" s="712">
        <f t="shared" si="13"/>
        <v>100</v>
      </c>
      <c r="V31" s="711" t="s">
        <v>17</v>
      </c>
      <c r="W31" s="712">
        <f t="shared" si="14"/>
        <v>100</v>
      </c>
      <c r="X31" s="1487"/>
      <c r="Y31" s="3483"/>
      <c r="Z31" s="1488">
        <f t="shared" si="15"/>
        <v>111</v>
      </c>
      <c r="AA31" s="1485">
        <f t="shared" si="3"/>
        <v>1</v>
      </c>
      <c r="AB31" s="1485">
        <f t="shared" si="4"/>
        <v>1</v>
      </c>
      <c r="AC31" s="2096">
        <f t="shared" si="5"/>
        <v>1</v>
      </c>
    </row>
    <row r="32" spans="1:29" ht="15.75" thickBot="1">
      <c r="A32" s="395"/>
      <c r="B32" s="590">
        <v>111</v>
      </c>
      <c r="C32" s="2043"/>
      <c r="D32" s="397">
        <v>100</v>
      </c>
      <c r="E32" s="583"/>
      <c r="F32" s="397">
        <f>SUMIF(99:99,E32,100:100)-SUMIF(99:99,C32,100:100)+100</f>
        <v>100</v>
      </c>
      <c r="G32" s="2094"/>
      <c r="H32" s="397">
        <f>SUMIF(99:99,G32,100:100)-SUMIF(99:99,C32,100:100)+100</f>
        <v>100</v>
      </c>
      <c r="I32" s="391"/>
      <c r="J32" s="397">
        <f>SUMIF(99:99,I32,100:100)-SUMIF(99:99,C32,100:100)+100</f>
        <v>100</v>
      </c>
      <c r="K32" s="570"/>
      <c r="L32" s="2895"/>
      <c r="M32" s="2889"/>
      <c r="N32" s="2889"/>
      <c r="O32" s="2889"/>
      <c r="P32" s="3499"/>
      <c r="Q32" s="1484">
        <f t="shared" si="11"/>
        <v>111</v>
      </c>
      <c r="R32" s="711" t="s">
        <v>17</v>
      </c>
      <c r="S32" s="712">
        <f t="shared" si="12"/>
        <v>100</v>
      </c>
      <c r="T32" s="711" t="s">
        <v>17</v>
      </c>
      <c r="U32" s="712">
        <f t="shared" si="13"/>
        <v>100</v>
      </c>
      <c r="V32" s="711" t="s">
        <v>17</v>
      </c>
      <c r="W32" s="712">
        <f t="shared" si="14"/>
        <v>100</v>
      </c>
      <c r="X32" s="1487"/>
      <c r="Y32" s="3483"/>
      <c r="Z32" s="1488">
        <f t="shared" si="15"/>
        <v>111</v>
      </c>
      <c r="AA32" s="1485">
        <f t="shared" si="3"/>
        <v>1</v>
      </c>
      <c r="AB32" s="1485">
        <f t="shared" si="4"/>
        <v>1</v>
      </c>
      <c r="AC32" s="2096">
        <f t="shared" si="5"/>
        <v>1</v>
      </c>
    </row>
    <row r="33" spans="1:29" ht="15">
      <c r="A33" s="399" t="s">
        <v>2143</v>
      </c>
      <c r="B33" s="67" t="s">
        <v>2273</v>
      </c>
      <c r="C33" s="2101"/>
      <c r="D33" s="426">
        <v>100</v>
      </c>
      <c r="E33" s="2101"/>
      <c r="F33" s="420">
        <f>SUMIF(101:101,E33,102:102)-SUMIF(101:101,C33,102:102)+100</f>
        <v>100</v>
      </c>
      <c r="G33" s="2101"/>
      <c r="H33" s="394">
        <f>SUMIF(101:101,G33,102:102)-SUMIF(101:101,C33,102:102)+100</f>
        <v>100</v>
      </c>
      <c r="I33" s="2101"/>
      <c r="J33" s="426">
        <f>SUMIF(101:101,I33,102:102)-SUMIF(101:101,C33,102:102)+100</f>
        <v>100</v>
      </c>
      <c r="K33" s="569"/>
      <c r="L33" s="2895"/>
      <c r="M33" s="2889"/>
      <c r="N33" s="2889"/>
      <c r="O33" s="2889"/>
      <c r="P33" s="3500" t="s">
        <v>2145</v>
      </c>
      <c r="Q33" s="1484" t="str">
        <f t="shared" si="11"/>
        <v>建筑类型</v>
      </c>
      <c r="R33" s="711" t="s">
        <v>17</v>
      </c>
      <c r="S33" s="712">
        <f t="shared" si="12"/>
        <v>100</v>
      </c>
      <c r="T33" s="711" t="s">
        <v>17</v>
      </c>
      <c r="U33" s="712">
        <f t="shared" si="13"/>
        <v>100</v>
      </c>
      <c r="V33" s="711" t="s">
        <v>17</v>
      </c>
      <c r="W33" s="712">
        <f t="shared" si="14"/>
        <v>100</v>
      </c>
      <c r="X33" s="1487"/>
      <c r="Y33" s="3485" t="s">
        <v>2145</v>
      </c>
      <c r="Z33" s="1488" t="str">
        <f t="shared" si="15"/>
        <v>建筑类型</v>
      </c>
      <c r="AA33" s="1485">
        <f t="shared" si="3"/>
        <v>1</v>
      </c>
      <c r="AB33" s="1485">
        <f t="shared" si="4"/>
        <v>1</v>
      </c>
      <c r="AC33" s="2096">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4"/>
      <c r="M34" s="2896"/>
      <c r="N34" s="2896"/>
      <c r="O34" s="2896"/>
      <c r="P34" s="3501"/>
      <c r="Q34" s="713" t="str">
        <f t="shared" si="11"/>
        <v>项目建筑规模</v>
      </c>
      <c r="R34" s="714" t="s">
        <v>17</v>
      </c>
      <c r="S34" s="715" t="e">
        <f t="shared" si="12"/>
        <v>#N/A</v>
      </c>
      <c r="T34" s="714" t="s">
        <v>17</v>
      </c>
      <c r="U34" s="715" t="e">
        <f t="shared" si="13"/>
        <v>#N/A</v>
      </c>
      <c r="V34" s="714" t="s">
        <v>17</v>
      </c>
      <c r="W34" s="715" t="e">
        <f t="shared" si="14"/>
        <v>#N/A</v>
      </c>
      <c r="X34" s="716"/>
      <c r="Y34" s="3485"/>
      <c r="Z34" s="717" t="str">
        <f t="shared" si="15"/>
        <v>项目建筑规模</v>
      </c>
      <c r="AA34" s="1485" t="e">
        <f t="shared" si="3"/>
        <v>#N/A</v>
      </c>
      <c r="AB34" s="1485" t="e">
        <f t="shared" si="4"/>
        <v>#N/A</v>
      </c>
      <c r="AC34" s="2096"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5"/>
      <c r="M35" s="2889"/>
      <c r="N35" s="2889"/>
      <c r="O35" s="2889"/>
      <c r="P35" s="3501"/>
      <c r="Q35" s="1484" t="str">
        <f t="shared" si="11"/>
        <v>建筑结构</v>
      </c>
      <c r="R35" s="711" t="s">
        <v>17</v>
      </c>
      <c r="S35" s="712">
        <f t="shared" si="12"/>
        <v>100</v>
      </c>
      <c r="T35" s="711" t="s">
        <v>17</v>
      </c>
      <c r="U35" s="712">
        <f t="shared" si="13"/>
        <v>100</v>
      </c>
      <c r="V35" s="711" t="s">
        <v>17</v>
      </c>
      <c r="W35" s="712">
        <f t="shared" si="14"/>
        <v>100</v>
      </c>
      <c r="X35" s="1487"/>
      <c r="Y35" s="3485"/>
      <c r="Z35" s="1488" t="str">
        <f t="shared" si="15"/>
        <v>建筑结构</v>
      </c>
      <c r="AA35" s="1485">
        <f t="shared" si="3"/>
        <v>1</v>
      </c>
      <c r="AB35" s="1485">
        <f t="shared" si="4"/>
        <v>1</v>
      </c>
      <c r="AC35" s="2096">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5"/>
      <c r="M36" s="2889"/>
      <c r="N36" s="2889"/>
      <c r="O36" s="2889"/>
      <c r="P36" s="3501"/>
      <c r="Q36" s="1484" t="str">
        <f t="shared" si="11"/>
        <v>公共部分装修</v>
      </c>
      <c r="R36" s="711" t="s">
        <v>17</v>
      </c>
      <c r="S36" s="712">
        <f t="shared" si="12"/>
        <v>100</v>
      </c>
      <c r="T36" s="711" t="s">
        <v>17</v>
      </c>
      <c r="U36" s="712">
        <f t="shared" si="13"/>
        <v>100</v>
      </c>
      <c r="V36" s="711" t="s">
        <v>17</v>
      </c>
      <c r="W36" s="712">
        <f t="shared" si="14"/>
        <v>100</v>
      </c>
      <c r="X36" s="1487"/>
      <c r="Y36" s="3485"/>
      <c r="Z36" s="1488" t="str">
        <f t="shared" si="15"/>
        <v>公共部分装修</v>
      </c>
      <c r="AA36" s="1485">
        <f t="shared" si="3"/>
        <v>1</v>
      </c>
      <c r="AB36" s="1485">
        <f t="shared" si="4"/>
        <v>1</v>
      </c>
      <c r="AC36" s="2096">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5"/>
      <c r="M37" s="2889"/>
      <c r="N37" s="2889"/>
      <c r="O37" s="2889"/>
      <c r="P37" s="3501"/>
      <c r="Q37" s="1484" t="str">
        <f t="shared" si="11"/>
        <v>成新度</v>
      </c>
      <c r="R37" s="711" t="s">
        <v>17</v>
      </c>
      <c r="S37" s="712" t="e">
        <f t="shared" si="12"/>
        <v>#N/A</v>
      </c>
      <c r="T37" s="711" t="s">
        <v>17</v>
      </c>
      <c r="U37" s="712" t="e">
        <f t="shared" si="13"/>
        <v>#N/A</v>
      </c>
      <c r="V37" s="711" t="s">
        <v>17</v>
      </c>
      <c r="W37" s="712" t="e">
        <f t="shared" si="14"/>
        <v>#N/A</v>
      </c>
      <c r="X37" s="1487"/>
      <c r="Y37" s="3485"/>
      <c r="Z37" s="1488" t="str">
        <f t="shared" si="15"/>
        <v>成新度</v>
      </c>
      <c r="AA37" s="1485" t="e">
        <f t="shared" si="3"/>
        <v>#N/A</v>
      </c>
      <c r="AB37" s="1485" t="e">
        <f t="shared" si="4"/>
        <v>#N/A</v>
      </c>
      <c r="AC37" s="2096"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501"/>
      <c r="Q38" s="1475" t="str">
        <f t="shared" si="11"/>
        <v>写字楼等级</v>
      </c>
      <c r="R38" s="707" t="s">
        <v>17</v>
      </c>
      <c r="S38" s="708">
        <f t="shared" si="12"/>
        <v>100</v>
      </c>
      <c r="T38" s="707" t="s">
        <v>17</v>
      </c>
      <c r="U38" s="708">
        <f t="shared" si="13"/>
        <v>100</v>
      </c>
      <c r="V38" s="707" t="s">
        <v>17</v>
      </c>
      <c r="W38" s="708">
        <f t="shared" si="14"/>
        <v>100</v>
      </c>
      <c r="X38" s="709"/>
      <c r="Y38" s="3485"/>
      <c r="Z38" s="55" t="str">
        <f t="shared" si="15"/>
        <v>写字楼等级</v>
      </c>
      <c r="AA38" s="710">
        <f t="shared" si="3"/>
        <v>1</v>
      </c>
      <c r="AB38" s="710">
        <f t="shared" si="4"/>
        <v>1</v>
      </c>
      <c r="AC38" s="2093">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5"/>
      <c r="M39" s="2889"/>
      <c r="N39" s="2889"/>
      <c r="O39" s="2889"/>
      <c r="P39" s="3501" t="s">
        <v>2145</v>
      </c>
      <c r="Q39" s="1484" t="str">
        <f t="shared" si="11"/>
        <v>物业管理</v>
      </c>
      <c r="R39" s="711" t="s">
        <v>17</v>
      </c>
      <c r="S39" s="712">
        <f t="shared" si="12"/>
        <v>100</v>
      </c>
      <c r="T39" s="711" t="s">
        <v>17</v>
      </c>
      <c r="U39" s="712">
        <f t="shared" si="13"/>
        <v>100</v>
      </c>
      <c r="V39" s="711" t="s">
        <v>17</v>
      </c>
      <c r="W39" s="712">
        <f t="shared" si="14"/>
        <v>100</v>
      </c>
      <c r="X39" s="1487"/>
      <c r="Y39" s="3485" t="s">
        <v>2145</v>
      </c>
      <c r="Z39" s="1488" t="str">
        <f t="shared" si="15"/>
        <v>物业管理</v>
      </c>
      <c r="AA39" s="1485">
        <f t="shared" si="3"/>
        <v>1</v>
      </c>
      <c r="AB39" s="1485">
        <f t="shared" si="4"/>
        <v>1</v>
      </c>
      <c r="AC39" s="2096">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5"/>
      <c r="M40" s="2889"/>
      <c r="N40" s="2889"/>
      <c r="O40" s="2889"/>
      <c r="P40" s="3501"/>
      <c r="Q40" s="1484" t="str">
        <f t="shared" si="11"/>
        <v>市政基础设施</v>
      </c>
      <c r="R40" s="711" t="s">
        <v>17</v>
      </c>
      <c r="S40" s="712">
        <f t="shared" si="12"/>
        <v>100</v>
      </c>
      <c r="T40" s="711" t="s">
        <v>17</v>
      </c>
      <c r="U40" s="712">
        <f t="shared" si="13"/>
        <v>100</v>
      </c>
      <c r="V40" s="711" t="s">
        <v>17</v>
      </c>
      <c r="W40" s="712">
        <f t="shared" si="14"/>
        <v>100</v>
      </c>
      <c r="X40" s="1487"/>
      <c r="Y40" s="3485"/>
      <c r="Z40" s="1488" t="str">
        <f t="shared" si="15"/>
        <v>市政基础设施</v>
      </c>
      <c r="AA40" s="1485">
        <f t="shared" si="3"/>
        <v>1</v>
      </c>
      <c r="AB40" s="1485">
        <f t="shared" si="4"/>
        <v>1</v>
      </c>
      <c r="AC40" s="2096">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5"/>
      <c r="M41" s="2889"/>
      <c r="N41" s="2889"/>
      <c r="O41" s="2889"/>
      <c r="P41" s="3501"/>
      <c r="Q41" s="1484" t="str">
        <f t="shared" si="11"/>
        <v>层高</v>
      </c>
      <c r="R41" s="711" t="s">
        <v>17</v>
      </c>
      <c r="S41" s="712">
        <f t="shared" si="12"/>
        <v>100</v>
      </c>
      <c r="T41" s="711" t="s">
        <v>17</v>
      </c>
      <c r="U41" s="712">
        <f t="shared" si="13"/>
        <v>100</v>
      </c>
      <c r="V41" s="711" t="s">
        <v>17</v>
      </c>
      <c r="W41" s="712">
        <f t="shared" si="14"/>
        <v>100</v>
      </c>
      <c r="X41" s="1487"/>
      <c r="Y41" s="3485"/>
      <c r="Z41" s="1488" t="str">
        <f t="shared" si="15"/>
        <v>层高</v>
      </c>
      <c r="AA41" s="1485">
        <f t="shared" si="3"/>
        <v>1</v>
      </c>
      <c r="AB41" s="1485">
        <f t="shared" si="4"/>
        <v>1</v>
      </c>
      <c r="AC41" s="2096">
        <f t="shared" si="5"/>
        <v>1</v>
      </c>
    </row>
    <row r="42" spans="1:29" s="430" customFormat="1" ht="15">
      <c r="A42" s="427"/>
      <c r="B42" s="1486"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4"/>
      <c r="M42" s="2896"/>
      <c r="N42" s="2896"/>
      <c r="O42" s="2896"/>
      <c r="P42" s="3501"/>
      <c r="Q42" s="713" t="str">
        <f t="shared" si="11"/>
        <v>单套建筑面积</v>
      </c>
      <c r="R42" s="714" t="s">
        <v>17</v>
      </c>
      <c r="S42" s="715">
        <f t="shared" si="12"/>
        <v>100</v>
      </c>
      <c r="T42" s="714" t="s">
        <v>17</v>
      </c>
      <c r="U42" s="715">
        <f t="shared" si="13"/>
        <v>100</v>
      </c>
      <c r="V42" s="714" t="s">
        <v>17</v>
      </c>
      <c r="W42" s="715">
        <f t="shared" si="14"/>
        <v>100</v>
      </c>
      <c r="X42" s="716"/>
      <c r="Y42" s="3485"/>
      <c r="Z42" s="717" t="str">
        <f t="shared" si="15"/>
        <v>单套建筑面积</v>
      </c>
      <c r="AA42" s="1485">
        <f t="shared" si="3"/>
        <v>1</v>
      </c>
      <c r="AB42" s="1485">
        <f t="shared" si="4"/>
        <v>1</v>
      </c>
      <c r="AC42" s="2096">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5"/>
      <c r="M43" s="2889"/>
      <c r="N43" s="2889"/>
      <c r="O43" s="2889"/>
      <c r="P43" s="3501"/>
      <c r="Q43" s="1484" t="str">
        <f t="shared" si="11"/>
        <v>内部装修</v>
      </c>
      <c r="R43" s="711" t="s">
        <v>17</v>
      </c>
      <c r="S43" s="712">
        <f t="shared" si="12"/>
        <v>100</v>
      </c>
      <c r="T43" s="711" t="s">
        <v>17</v>
      </c>
      <c r="U43" s="712">
        <f t="shared" si="13"/>
        <v>100</v>
      </c>
      <c r="V43" s="711" t="s">
        <v>17</v>
      </c>
      <c r="W43" s="712">
        <f t="shared" si="14"/>
        <v>100</v>
      </c>
      <c r="X43" s="1487"/>
      <c r="Y43" s="3485"/>
      <c r="Z43" s="1488" t="str">
        <f t="shared" si="15"/>
        <v>内部装修</v>
      </c>
      <c r="AA43" s="1485">
        <f t="shared" si="3"/>
        <v>1</v>
      </c>
      <c r="AB43" s="1485">
        <f t="shared" si="4"/>
        <v>1</v>
      </c>
      <c r="AC43" s="2096">
        <f t="shared" si="5"/>
        <v>1</v>
      </c>
    </row>
    <row r="44" spans="1:29" ht="15">
      <c r="A44" s="431"/>
      <c r="B44" s="381" t="s">
        <v>2156</v>
      </c>
      <c r="C44" s="419"/>
      <c r="D44" s="394">
        <v>100</v>
      </c>
      <c r="E44" s="2040"/>
      <c r="F44" s="420">
        <f>SUMIF(125:125,E44,126:126)-SUMIF(125:125,C44,126:126)+100</f>
        <v>100</v>
      </c>
      <c r="G44" s="2040"/>
      <c r="H44" s="394">
        <f>SUMIF(125:125,G44,126:126)-SUMIF(125:125,C44,126:126)+100</f>
        <v>100</v>
      </c>
      <c r="I44" s="2040"/>
      <c r="J44" s="394">
        <f>SUMIF(125:125,I44,126:126)-SUMIF(125:125,C44,126:126)+100</f>
        <v>100</v>
      </c>
      <c r="K44" s="569"/>
      <c r="L44" s="2895"/>
      <c r="M44" s="2889"/>
      <c r="N44" s="2889"/>
      <c r="O44" s="2889"/>
      <c r="P44" s="3501"/>
      <c r="Q44" s="1484" t="str">
        <f t="shared" si="11"/>
        <v>内部装修维护情况</v>
      </c>
      <c r="R44" s="711" t="s">
        <v>17</v>
      </c>
      <c r="S44" s="712">
        <f t="shared" si="12"/>
        <v>100</v>
      </c>
      <c r="T44" s="711" t="s">
        <v>17</v>
      </c>
      <c r="U44" s="712">
        <f t="shared" si="13"/>
        <v>100</v>
      </c>
      <c r="V44" s="711" t="s">
        <v>17</v>
      </c>
      <c r="W44" s="712">
        <f t="shared" si="14"/>
        <v>100</v>
      </c>
      <c r="X44" s="1487"/>
      <c r="Y44" s="3485"/>
      <c r="Z44" s="1488" t="str">
        <f t="shared" si="15"/>
        <v>内部装修维护情况</v>
      </c>
      <c r="AA44" s="1485">
        <f t="shared" si="3"/>
        <v>1</v>
      </c>
      <c r="AB44" s="1485">
        <f t="shared" si="4"/>
        <v>1</v>
      </c>
      <c r="AC44" s="2096">
        <f t="shared" si="5"/>
        <v>1</v>
      </c>
    </row>
    <row r="45" spans="1:29" s="113" customFormat="1" ht="15">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501"/>
      <c r="Q45" s="1475">
        <f t="shared" si="11"/>
        <v>111</v>
      </c>
      <c r="R45" s="707" t="s">
        <v>17</v>
      </c>
      <c r="S45" s="708">
        <f t="shared" si="12"/>
        <v>100</v>
      </c>
      <c r="T45" s="707" t="s">
        <v>17</v>
      </c>
      <c r="U45" s="708">
        <f t="shared" si="13"/>
        <v>100</v>
      </c>
      <c r="V45" s="707" t="s">
        <v>17</v>
      </c>
      <c r="W45" s="708">
        <f t="shared" si="14"/>
        <v>100</v>
      </c>
      <c r="X45" s="709"/>
      <c r="Y45" s="3485"/>
      <c r="Z45" s="55">
        <f t="shared" si="15"/>
        <v>111</v>
      </c>
      <c r="AA45" s="710">
        <f t="shared" si="3"/>
        <v>1</v>
      </c>
      <c r="AB45" s="710">
        <f t="shared" si="4"/>
        <v>1</v>
      </c>
      <c r="AC45" s="2093">
        <f t="shared" si="5"/>
        <v>1</v>
      </c>
    </row>
    <row r="46" spans="1:29" ht="15">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501"/>
      <c r="Q46" s="1484">
        <f t="shared" si="11"/>
        <v>111</v>
      </c>
      <c r="R46" s="711" t="s">
        <v>17</v>
      </c>
      <c r="S46" s="712">
        <f t="shared" si="12"/>
        <v>100</v>
      </c>
      <c r="T46" s="711" t="s">
        <v>17</v>
      </c>
      <c r="U46" s="712">
        <f t="shared" si="13"/>
        <v>100</v>
      </c>
      <c r="V46" s="711" t="s">
        <v>17</v>
      </c>
      <c r="W46" s="712">
        <f t="shared" si="14"/>
        <v>100</v>
      </c>
      <c r="X46" s="1487"/>
      <c r="Y46" s="3485"/>
      <c r="Z46" s="1488">
        <f t="shared" si="15"/>
        <v>111</v>
      </c>
      <c r="AA46" s="1485">
        <f t="shared" si="3"/>
        <v>1</v>
      </c>
      <c r="AB46" s="1485">
        <f t="shared" si="4"/>
        <v>1</v>
      </c>
      <c r="AC46" s="2096">
        <f t="shared" si="5"/>
        <v>1</v>
      </c>
    </row>
    <row r="47" spans="1:29" ht="15.75"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502"/>
      <c r="Q47" s="1484">
        <f t="shared" si="11"/>
        <v>111</v>
      </c>
      <c r="R47" s="711" t="s">
        <v>17</v>
      </c>
      <c r="S47" s="712">
        <f t="shared" si="12"/>
        <v>100</v>
      </c>
      <c r="T47" s="711" t="s">
        <v>17</v>
      </c>
      <c r="U47" s="712">
        <f t="shared" si="13"/>
        <v>100</v>
      </c>
      <c r="V47" s="711" t="s">
        <v>17</v>
      </c>
      <c r="W47" s="712">
        <f t="shared" si="14"/>
        <v>100</v>
      </c>
      <c r="X47" s="1487"/>
      <c r="Y47" s="3503"/>
      <c r="Z47" s="1488">
        <f t="shared" si="15"/>
        <v>111</v>
      </c>
      <c r="AA47" s="1485">
        <f t="shared" si="3"/>
        <v>1</v>
      </c>
      <c r="AB47" s="1485">
        <f t="shared" si="4"/>
        <v>1</v>
      </c>
      <c r="AC47" s="2096">
        <f t="shared" si="5"/>
        <v>1</v>
      </c>
    </row>
    <row r="48" spans="1:29" ht="15">
      <c r="A48" s="438" t="s">
        <v>2157</v>
      </c>
      <c r="B48" s="439"/>
      <c r="C48" s="1266" t="s">
        <v>1</v>
      </c>
      <c r="D48" s="1267"/>
      <c r="E48" s="1268"/>
      <c r="F48" s="1269"/>
      <c r="G48" s="1270"/>
      <c r="H48" s="1271"/>
      <c r="I48" s="1268"/>
      <c r="J48" s="444"/>
      <c r="K48" s="720"/>
      <c r="L48" s="2897"/>
      <c r="M48" s="2889"/>
      <c r="N48" s="2889"/>
      <c r="O48" s="2889"/>
      <c r="P48" s="3491" t="str">
        <f>A48</f>
        <v>成交单价（元/平方米）</v>
      </c>
      <c r="Q48" s="3467"/>
      <c r="R48" s="3504">
        <f>E48</f>
        <v>0</v>
      </c>
      <c r="S48" s="3504"/>
      <c r="T48" s="3504">
        <f>G48</f>
        <v>0</v>
      </c>
      <c r="U48" s="3504"/>
      <c r="V48" s="3504">
        <f>I48</f>
        <v>0</v>
      </c>
      <c r="W48" s="3504"/>
      <c r="X48" s="405"/>
      <c r="Y48" s="718"/>
      <c r="Z48" s="405"/>
      <c r="AA48" s="405"/>
      <c r="AB48" s="405"/>
      <c r="AC48" s="585"/>
    </row>
    <row r="49" spans="1:29" ht="15.75" thickBot="1">
      <c r="A49" s="445" t="s">
        <v>2249</v>
      </c>
      <c r="B49" s="446"/>
      <c r="C49" s="1272" t="e">
        <f>R50</f>
        <v>#DIV/0!</v>
      </c>
      <c r="D49" s="2486" t="s">
        <v>2637</v>
      </c>
      <c r="E49" s="1273" t="e">
        <f>R49</f>
        <v>#DIV/0!</v>
      </c>
      <c r="F49" s="2487"/>
      <c r="G49" s="1272" t="e">
        <f>T49</f>
        <v>#DIV/0!</v>
      </c>
      <c r="H49" s="2487"/>
      <c r="I49" s="1273" t="e">
        <f>V49</f>
        <v>#DIV/0!</v>
      </c>
      <c r="J49" s="2487"/>
      <c r="K49" s="2489">
        <f>F49+H49+J49</f>
        <v>0</v>
      </c>
      <c r="L49" s="2897"/>
      <c r="M49" s="2889"/>
      <c r="N49" s="2889"/>
      <c r="O49" s="2889"/>
      <c r="P49" s="3491" t="str">
        <f>A49</f>
        <v>比较价值（元/平方米）</v>
      </c>
      <c r="Q49" s="3467"/>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405"/>
      <c r="Y49" s="405"/>
      <c r="Z49" s="405"/>
      <c r="AA49" s="405"/>
      <c r="AB49" s="405"/>
      <c r="AC49" s="585"/>
    </row>
    <row r="50" spans="1:29" ht="15.75" thickBot="1">
      <c r="A50" s="449" t="s">
        <v>2250</v>
      </c>
      <c r="B50" s="450"/>
      <c r="C50" s="1275" t="e">
        <f>R50</f>
        <v>#DIV/0!</v>
      </c>
      <c r="D50" s="1275"/>
      <c r="E50" s="1275"/>
      <c r="F50" s="1275"/>
      <c r="G50" s="1275"/>
      <c r="H50" s="1275"/>
      <c r="I50" s="1275"/>
      <c r="J50" s="451"/>
      <c r="K50" s="721"/>
      <c r="L50" s="2897"/>
      <c r="M50" s="2889"/>
      <c r="N50" s="2889"/>
      <c r="O50" s="2889"/>
      <c r="P50" s="3550" t="str">
        <f>A50</f>
        <v>估价对象XX用房的比较价值（楼面单价，元/平方米）</v>
      </c>
      <c r="Q50" s="3551"/>
      <c r="R50" s="3552" t="e">
        <f>IF(F1="售价",ROUND(IF(D49="简单平均",AVERAGE(R49:V49),R49*F49+T49*H49+V49*J49),0),ROUND(IF(D49="简单平均",AVERAGE(R49:V49),R49*F49+T49*H49+V49*J49),1))</f>
        <v>#DIV/0!</v>
      </c>
      <c r="S50" s="3552"/>
      <c r="T50" s="3552"/>
      <c r="U50" s="3552"/>
      <c r="V50" s="3552"/>
      <c r="W50" s="3552"/>
      <c r="X50" s="2080"/>
      <c r="Y50" s="2080"/>
      <c r="Z50" s="2080"/>
      <c r="AA50" s="2080"/>
      <c r="AB50" s="2080"/>
      <c r="AC50" s="2081"/>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0" t="s">
        <v>2254</v>
      </c>
      <c r="B58" s="696"/>
      <c r="C58" s="701"/>
      <c r="D58" s="701"/>
      <c r="E58" s="701"/>
      <c r="F58" s="702"/>
      <c r="G58" s="702"/>
      <c r="H58" s="701"/>
      <c r="I58" s="701"/>
      <c r="J58" s="701"/>
      <c r="K58" s="703"/>
      <c r="L58" s="1051"/>
      <c r="M58" s="1049"/>
      <c r="N58" s="2942"/>
      <c r="O58" s="2942"/>
      <c r="P58" s="2931"/>
      <c r="Q58" s="2912"/>
      <c r="R58" s="2898"/>
      <c r="S58" s="2898"/>
      <c r="T58" s="2898"/>
      <c r="U58" s="2898"/>
      <c r="V58" s="2898"/>
      <c r="W58" s="2898"/>
      <c r="X58" s="2898"/>
      <c r="Y58" s="2898"/>
      <c r="Z58" s="2898"/>
      <c r="AA58" s="2898"/>
      <c r="AB58" s="2898"/>
      <c r="AC58" s="2898"/>
    </row>
    <row r="59" spans="1:29" s="465" customFormat="1" ht="15">
      <c r="A59" s="462" t="s">
        <v>2128</v>
      </c>
      <c r="B59" s="463"/>
      <c r="C59" s="1296" t="str">
        <f>YEAR(C7)&amp;"-"&amp;MONTH(C7)</f>
        <v>2022-5</v>
      </c>
      <c r="D59" s="1297">
        <f>EDATE(C59,-1)</f>
        <v>44652</v>
      </c>
      <c r="E59" s="1297">
        <f>EDATE(D59,-1)</f>
        <v>44621</v>
      </c>
      <c r="F59" s="1297">
        <f t="shared" ref="F59:O59" si="16">EDATE(E59,-1)</f>
        <v>44593</v>
      </c>
      <c r="G59" s="1297">
        <f t="shared" si="16"/>
        <v>44562</v>
      </c>
      <c r="H59" s="1297">
        <f t="shared" si="16"/>
        <v>44531</v>
      </c>
      <c r="I59" s="1297">
        <f t="shared" si="16"/>
        <v>44501</v>
      </c>
      <c r="J59" s="1297">
        <f t="shared" si="16"/>
        <v>44470</v>
      </c>
      <c r="K59" s="1297">
        <f t="shared" si="16"/>
        <v>44440</v>
      </c>
      <c r="L59" s="1297">
        <f t="shared" si="16"/>
        <v>44409</v>
      </c>
      <c r="M59" s="1297">
        <f t="shared" si="16"/>
        <v>44378</v>
      </c>
      <c r="N59" s="1297">
        <f t="shared" si="16"/>
        <v>44348</v>
      </c>
      <c r="O59" s="1297">
        <f t="shared" si="16"/>
        <v>44317</v>
      </c>
      <c r="P59" s="2932"/>
      <c r="Q59" s="2914"/>
      <c r="R59" s="2914"/>
      <c r="S59" s="2914"/>
      <c r="T59" s="2914"/>
      <c r="U59" s="2914"/>
      <c r="V59" s="2914"/>
      <c r="W59" s="2914"/>
      <c r="X59" s="2914"/>
      <c r="Y59" s="2914"/>
      <c r="Z59" s="2914"/>
      <c r="AA59" s="2914"/>
      <c r="AB59" s="2914"/>
      <c r="AC59" s="2914"/>
    </row>
    <row r="60" spans="1:29" s="113" customFormat="1" ht="15">
      <c r="A60" s="466"/>
      <c r="B60" s="467"/>
      <c r="C60" s="1295">
        <v>100</v>
      </c>
      <c r="D60" s="469"/>
      <c r="E60" s="469"/>
      <c r="F60" s="469"/>
      <c r="G60" s="469"/>
      <c r="H60" s="469"/>
      <c r="I60" s="469"/>
      <c r="J60" s="469"/>
      <c r="K60" s="469"/>
      <c r="L60" s="469"/>
      <c r="M60" s="470"/>
      <c r="N60" s="469"/>
      <c r="O60" s="470"/>
      <c r="P60" s="2933"/>
      <c r="Q60" s="2833"/>
      <c r="R60" s="2833"/>
      <c r="S60" s="2833"/>
      <c r="T60" s="2833"/>
      <c r="U60" s="2833"/>
      <c r="V60" s="2833"/>
      <c r="W60" s="2833"/>
      <c r="X60" s="2833"/>
      <c r="Y60" s="2833"/>
      <c r="Z60" s="2833"/>
      <c r="AA60" s="2833"/>
      <c r="AB60" s="2833"/>
      <c r="AC60" s="2833"/>
    </row>
    <row r="61" spans="1:29" s="113" customFormat="1" ht="15.75" thickBot="1">
      <c r="A61" s="472" t="s">
        <v>2165</v>
      </c>
      <c r="B61" s="473"/>
      <c r="C61" s="474"/>
      <c r="D61" s="475"/>
      <c r="E61" s="475"/>
      <c r="F61" s="475"/>
      <c r="G61" s="475"/>
      <c r="H61" s="475"/>
      <c r="I61" s="475"/>
      <c r="J61" s="475"/>
      <c r="K61" s="475"/>
      <c r="L61" s="475"/>
      <c r="M61" s="476"/>
      <c r="N61" s="475"/>
      <c r="O61" s="476"/>
      <c r="P61" s="2933"/>
      <c r="Q61" s="2912"/>
      <c r="R61" s="2833"/>
      <c r="S61" s="2833"/>
      <c r="T61" s="2833"/>
      <c r="U61" s="2833"/>
      <c r="V61" s="2833"/>
      <c r="W61" s="2833"/>
      <c r="X61" s="2833"/>
      <c r="Y61" s="2833"/>
      <c r="Z61" s="2833"/>
      <c r="AA61" s="2833"/>
      <c r="AB61" s="2833"/>
      <c r="AC61" s="2833"/>
    </row>
    <row r="62" spans="1:29" s="113" customFormat="1" ht="15">
      <c r="A62" s="478" t="s">
        <v>2130</v>
      </c>
      <c r="B62" s="467"/>
      <c r="C62" s="479" t="s">
        <v>2232</v>
      </c>
      <c r="D62" s="480"/>
      <c r="E62" s="480"/>
      <c r="F62" s="480"/>
      <c r="G62" s="480"/>
      <c r="H62" s="480"/>
      <c r="I62" s="480"/>
      <c r="J62" s="480"/>
      <c r="K62" s="480"/>
      <c r="L62" s="481"/>
      <c r="M62" s="482"/>
      <c r="N62" s="2925"/>
      <c r="O62" s="2925"/>
      <c r="P62" s="2934"/>
      <c r="Q62" s="2912"/>
      <c r="R62" s="2833"/>
      <c r="S62" s="2833"/>
      <c r="T62" s="2833"/>
      <c r="U62" s="2833"/>
      <c r="V62" s="2833"/>
      <c r="W62" s="2833"/>
      <c r="X62" s="2833"/>
      <c r="Y62" s="2833"/>
      <c r="Z62" s="2833"/>
      <c r="AA62" s="2833"/>
      <c r="AB62" s="2833"/>
      <c r="AC62" s="2833"/>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3"/>
      <c r="S63" s="2833"/>
      <c r="T63" s="2833"/>
      <c r="U63" s="2833"/>
      <c r="V63" s="2833"/>
      <c r="W63" s="2833"/>
      <c r="X63" s="2833"/>
      <c r="Y63" s="2833"/>
      <c r="Z63" s="2833"/>
      <c r="AA63" s="2833"/>
      <c r="AB63" s="2833"/>
      <c r="AC63" s="2833"/>
    </row>
    <row r="64" spans="1:29">
      <c r="A64" s="484" t="s">
        <v>2168</v>
      </c>
      <c r="B64" s="485" t="s">
        <v>2134</v>
      </c>
      <c r="C64" s="486">
        <f>C9</f>
        <v>0</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c r="D69" s="506"/>
      <c r="E69" s="506"/>
      <c r="F69" s="506"/>
      <c r="G69" s="506"/>
      <c r="H69" s="506"/>
      <c r="I69" s="506"/>
      <c r="J69" s="506"/>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2139</v>
      </c>
      <c r="B77" s="485" t="s">
        <v>2277</v>
      </c>
      <c r="C77" s="530" t="s">
        <v>2177</v>
      </c>
      <c r="D77" s="530" t="s">
        <v>2178</v>
      </c>
      <c r="E77" s="530" t="s">
        <v>2179</v>
      </c>
      <c r="F77" s="530" t="s">
        <v>2180</v>
      </c>
      <c r="G77" s="530" t="s">
        <v>2181</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2182</v>
      </c>
      <c r="C79" s="535" t="s">
        <v>2177</v>
      </c>
      <c r="D79" s="535" t="s">
        <v>2178</v>
      </c>
      <c r="E79" s="535" t="s">
        <v>2179</v>
      </c>
      <c r="F79" s="535" t="s">
        <v>2180</v>
      </c>
      <c r="G79" s="535" t="s">
        <v>2181</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2183</v>
      </c>
      <c r="C81" s="535" t="s">
        <v>2177</v>
      </c>
      <c r="D81" s="535" t="s">
        <v>2178</v>
      </c>
      <c r="E81" s="535" t="s">
        <v>2179</v>
      </c>
      <c r="F81" s="535" t="s">
        <v>2180</v>
      </c>
      <c r="G81" s="535" t="s">
        <v>2181</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2269</v>
      </c>
      <c r="C83" s="615" t="s">
        <v>2255</v>
      </c>
      <c r="D83" s="615" t="s">
        <v>2256</v>
      </c>
      <c r="E83" s="615" t="s">
        <v>2257</v>
      </c>
      <c r="F83" s="615" t="s">
        <v>2258</v>
      </c>
      <c r="G83" s="615" t="s">
        <v>2259</v>
      </c>
      <c r="H83" s="496"/>
      <c r="I83" s="496"/>
      <c r="J83" s="496"/>
      <c r="K83" s="496"/>
      <c r="L83" s="496"/>
      <c r="M83" s="1241"/>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100</v>
      </c>
      <c r="E84" s="501">
        <f>D84-$K21</f>
        <v>100</v>
      </c>
      <c r="F84" s="501">
        <f>E84-$K21</f>
        <v>100</v>
      </c>
      <c r="G84" s="501">
        <f>F84-$K21</f>
        <v>100</v>
      </c>
      <c r="H84" s="615"/>
      <c r="I84" s="615"/>
      <c r="J84" s="615"/>
      <c r="K84" s="615"/>
      <c r="L84" s="615"/>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2278</v>
      </c>
      <c r="C85" s="535" t="s">
        <v>2177</v>
      </c>
      <c r="D85" s="535" t="s">
        <v>2178</v>
      </c>
      <c r="E85" s="535" t="s">
        <v>2179</v>
      </c>
      <c r="F85" s="535" t="s">
        <v>2180</v>
      </c>
      <c r="G85" s="535" t="s">
        <v>2181</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2279</v>
      </c>
      <c r="C87" s="511"/>
      <c r="D87" s="511"/>
      <c r="E87" s="511"/>
      <c r="F87" s="511"/>
      <c r="G87" s="511"/>
      <c r="H87" s="511"/>
      <c r="I87" s="511"/>
      <c r="J87" s="511"/>
      <c r="K87" s="511"/>
      <c r="L87" s="537"/>
      <c r="M87" s="538"/>
      <c r="N87" s="2925"/>
      <c r="O87" s="2925"/>
      <c r="P87" s="2935"/>
      <c r="Q87" s="2912"/>
      <c r="R87" s="2833"/>
      <c r="S87" s="2833"/>
      <c r="T87" s="2833"/>
      <c r="U87" s="2833"/>
      <c r="V87" s="2833"/>
      <c r="W87" s="2833"/>
      <c r="X87" s="2833"/>
      <c r="Y87" s="2833"/>
      <c r="Z87" s="2833"/>
      <c r="AA87" s="2833"/>
      <c r="AB87" s="2833"/>
      <c r="AC87" s="283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7"/>
      <c r="O88" s="2927"/>
      <c r="P88" s="2935"/>
      <c r="Q88" s="2912"/>
      <c r="R88" s="2833"/>
      <c r="S88" s="2833"/>
      <c r="T88" s="2833"/>
      <c r="U88" s="2833"/>
      <c r="V88" s="2833"/>
      <c r="W88" s="2833"/>
      <c r="X88" s="2833"/>
      <c r="Y88" s="2833"/>
      <c r="Z88" s="2833"/>
      <c r="AA88" s="2833"/>
      <c r="AB88" s="2833"/>
      <c r="AC88" s="2833"/>
    </row>
    <row r="89" spans="1:29" s="113" customFormat="1" ht="15.75" thickTop="1">
      <c r="A89" s="536"/>
      <c r="B89" s="495" t="str">
        <f>B27</f>
        <v>楼层</v>
      </c>
      <c r="C89" s="511"/>
      <c r="D89" s="511"/>
      <c r="E89" s="511"/>
      <c r="F89" s="2061"/>
      <c r="G89" s="511"/>
      <c r="H89" s="511"/>
      <c r="I89" s="511"/>
      <c r="J89" s="511"/>
      <c r="K89" s="511"/>
      <c r="L89" s="511"/>
      <c r="M89" s="538"/>
      <c r="N89" s="2925"/>
      <c r="O89" s="2925"/>
      <c r="P89" s="2935"/>
      <c r="Q89" s="2912"/>
      <c r="R89" s="2833"/>
      <c r="S89" s="2833"/>
      <c r="T89" s="2833"/>
      <c r="U89" s="2833"/>
      <c r="V89" s="2833"/>
      <c r="W89" s="2833"/>
      <c r="X89" s="2833"/>
      <c r="Y89" s="2833"/>
      <c r="Z89" s="2833"/>
      <c r="AA89" s="2833"/>
      <c r="AB89" s="2833"/>
      <c r="AC89" s="283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7"/>
      <c r="O90" s="2927"/>
      <c r="P90" s="2935"/>
      <c r="Q90" s="2912"/>
      <c r="R90" s="2833"/>
      <c r="S90" s="2833"/>
      <c r="T90" s="2833"/>
      <c r="U90" s="2833"/>
      <c r="V90" s="2833"/>
      <c r="W90" s="2833"/>
      <c r="X90" s="2833"/>
      <c r="Y90" s="2833"/>
      <c r="Z90" s="2833"/>
      <c r="AA90" s="2833"/>
      <c r="AB90" s="2833"/>
      <c r="AC90" s="2833"/>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2"/>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2143</v>
      </c>
      <c r="B101" s="485" t="s">
        <v>2192</v>
      </c>
      <c r="C101" s="487"/>
      <c r="D101" s="487"/>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7"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552"/>
      <c r="D104" s="552"/>
      <c r="E104" s="552"/>
      <c r="F104" s="552"/>
      <c r="G104" s="552"/>
      <c r="H104" s="552"/>
      <c r="I104" s="552"/>
      <c r="J104" s="553"/>
      <c r="K104" s="553"/>
      <c r="L104" s="554"/>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517"/>
      <c r="D105" s="493"/>
      <c r="E105" s="493"/>
      <c r="F105" s="493"/>
      <c r="G105" s="493"/>
      <c r="H105" s="493"/>
      <c r="I105" s="493"/>
      <c r="J105" s="493"/>
      <c r="K105" s="493"/>
      <c r="L105" s="493"/>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2194</v>
      </c>
      <c r="C106" s="511"/>
      <c r="D106" s="511"/>
      <c r="E106" s="540"/>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2196</v>
      </c>
      <c r="C108" s="511"/>
      <c r="D108" s="511"/>
      <c r="E108" s="511"/>
      <c r="F108" s="540"/>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8"/>
      <c r="J111" s="578"/>
      <c r="K111" s="579"/>
      <c r="L111" s="580"/>
      <c r="M111" s="581"/>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2280</v>
      </c>
      <c r="C113" s="511"/>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2197</v>
      </c>
      <c r="C115" s="511"/>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2198</v>
      </c>
      <c r="C117" s="511"/>
      <c r="D117" s="511"/>
      <c r="E117" s="511"/>
      <c r="F117" s="511"/>
      <c r="G117" s="511"/>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1" t="s">
        <v>2281</v>
      </c>
      <c r="C119" s="540"/>
      <c r="D119" s="540"/>
      <c r="E119" s="540"/>
      <c r="F119" s="540"/>
      <c r="G119" s="540"/>
      <c r="H119" s="540"/>
      <c r="I119" s="540"/>
      <c r="J119" s="540"/>
      <c r="K119" s="540"/>
      <c r="L119" s="2102"/>
      <c r="M119" s="2103"/>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2264</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2200</v>
      </c>
      <c r="C123" s="511"/>
      <c r="D123" s="511"/>
      <c r="E123" s="511"/>
      <c r="F123" s="540"/>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2"/>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1" customFormat="1" ht="28.5" customHeight="1" thickBot="1">
      <c r="A1" s="1340" t="s">
        <v>2108</v>
      </c>
      <c r="B1" s="2091" t="s">
        <v>2282</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IF(C2="——",ROUND(C43*D3/10000,0),ROUND(C43*D3/10000,0)-D2)</f>
        <v>#DIV/0!</v>
      </c>
      <c r="C2" s="2015"/>
      <c r="D2" s="1016" t="e">
        <f ca="1">SUMIF(INDIRECT("'"&amp;F2&amp;"'"&amp;"!A:A"),"承租人权益价值",INDIRECT("'"&amp;F2&amp;"'"&amp;"!c:c"))</f>
        <v>#REF!</v>
      </c>
      <c r="E2" s="2016" t="s">
        <v>1908</v>
      </c>
      <c r="F2" s="2017"/>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254.29000000000002</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468" t="s">
        <v>2226</v>
      </c>
      <c r="D4" s="3469"/>
      <c r="E4" s="3470" t="s">
        <v>2227</v>
      </c>
      <c r="F4" s="3471"/>
      <c r="G4" s="3468" t="s">
        <v>2228</v>
      </c>
      <c r="H4" s="3469"/>
      <c r="I4" s="3468" t="s">
        <v>2229</v>
      </c>
      <c r="J4" s="3469"/>
      <c r="K4" s="567" t="s">
        <v>2230</v>
      </c>
      <c r="L4" s="1022"/>
      <c r="M4" s="1023"/>
      <c r="N4" s="1023"/>
      <c r="O4" s="1023"/>
      <c r="P4" s="3472" t="s">
        <v>2231</v>
      </c>
      <c r="Q4" s="3473"/>
      <c r="R4" s="3455" t="s">
        <v>2227</v>
      </c>
      <c r="S4" s="3456"/>
      <c r="T4" s="3455" t="s">
        <v>2228</v>
      </c>
      <c r="U4" s="3456"/>
      <c r="V4" s="3480" t="s">
        <v>2229</v>
      </c>
      <c r="W4" s="3480"/>
      <c r="X4" s="1487"/>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1022"/>
      <c r="M5" s="1023"/>
      <c r="N5" s="1023"/>
      <c r="O5" s="1023"/>
      <c r="P5" s="3474"/>
      <c r="Q5" s="3475"/>
      <c r="R5" s="3457"/>
      <c r="S5" s="3458"/>
      <c r="T5" s="3457"/>
      <c r="U5" s="3458"/>
      <c r="V5" s="3480"/>
      <c r="W5" s="3480"/>
      <c r="X5" s="1487"/>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1022"/>
      <c r="M6" s="1023"/>
      <c r="N6" s="1023"/>
      <c r="O6" s="1023"/>
      <c r="P6" s="3476"/>
      <c r="Q6" s="3477"/>
      <c r="R6" s="3457"/>
      <c r="S6" s="3458"/>
      <c r="T6" s="3478"/>
      <c r="U6" s="3479"/>
      <c r="V6" s="3480"/>
      <c r="W6" s="3480"/>
      <c r="X6" s="1487"/>
      <c r="Y6" s="3478"/>
      <c r="Z6" s="3479"/>
      <c r="AA6" s="3452"/>
      <c r="AB6" s="3452"/>
      <c r="AC6" s="3452"/>
    </row>
    <row r="7" spans="1:29" s="113" customFormat="1" ht="15.75" thickBot="1">
      <c r="A7" s="368" t="s">
        <v>2128</v>
      </c>
      <c r="B7" s="369"/>
      <c r="C7" s="370">
        <f>'数据-取费表'!B2</f>
        <v>44698</v>
      </c>
      <c r="D7" s="371">
        <v>100</v>
      </c>
      <c r="E7" s="372"/>
      <c r="F7" s="373">
        <f>SUMIF(52:52,YEAR(E7)&amp;"-"&amp;MONTH(E7),53:53)</f>
        <v>0</v>
      </c>
      <c r="G7" s="372"/>
      <c r="H7" s="371">
        <f>SUMIF(52:52,YEAR(G7)&amp;"-"&amp;MONTH(G7),53:53)</f>
        <v>0</v>
      </c>
      <c r="I7" s="372"/>
      <c r="J7" s="371">
        <f>SUMIF(52:52,YEAR(I7)&amp;"-"&amp;MONTH(I7),53:53)</f>
        <v>0</v>
      </c>
      <c r="K7" s="568"/>
      <c r="L7" s="1024"/>
      <c r="M7" s="1025"/>
      <c r="N7" s="1025"/>
      <c r="O7" s="1025"/>
      <c r="P7" s="3453" t="s">
        <v>2129</v>
      </c>
      <c r="Q7" s="3481"/>
      <c r="R7" s="707" t="s">
        <v>17</v>
      </c>
      <c r="S7" s="708">
        <f t="shared" ref="S7:S15" si="0">F7</f>
        <v>0</v>
      </c>
      <c r="T7" s="707" t="s">
        <v>17</v>
      </c>
      <c r="U7" s="708">
        <f t="shared" ref="U7:U15" si="1">H7</f>
        <v>0</v>
      </c>
      <c r="V7" s="707" t="s">
        <v>17</v>
      </c>
      <c r="W7" s="708">
        <f t="shared" ref="W7:W15" si="2">J7</f>
        <v>0</v>
      </c>
      <c r="X7" s="709"/>
      <c r="Y7" s="3453" t="s">
        <v>2129</v>
      </c>
      <c r="Z7" s="3454"/>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453" t="s">
        <v>2132</v>
      </c>
      <c r="Q8" s="3454"/>
      <c r="R8" s="707" t="s">
        <v>17</v>
      </c>
      <c r="S8" s="708">
        <f t="shared" si="0"/>
        <v>0</v>
      </c>
      <c r="T8" s="707" t="s">
        <v>17</v>
      </c>
      <c r="U8" s="708">
        <f t="shared" si="1"/>
        <v>0</v>
      </c>
      <c r="V8" s="707" t="s">
        <v>17</v>
      </c>
      <c r="W8" s="708">
        <f t="shared" si="2"/>
        <v>0</v>
      </c>
      <c r="X8" s="709"/>
      <c r="Y8" s="3453" t="s">
        <v>2132</v>
      </c>
      <c r="Z8" s="3454"/>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467"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467"/>
      <c r="Q10" s="1475" t="str">
        <f t="shared" si="6"/>
        <v>土地使用年限（年）</v>
      </c>
      <c r="R10" s="707" t="s">
        <v>17</v>
      </c>
      <c r="S10" s="708">
        <f t="shared" si="0"/>
        <v>100</v>
      </c>
      <c r="T10" s="707" t="s">
        <v>17</v>
      </c>
      <c r="U10" s="708">
        <f t="shared" si="1"/>
        <v>100</v>
      </c>
      <c r="V10" s="707" t="s">
        <v>17</v>
      </c>
      <c r="W10" s="708">
        <f t="shared" si="2"/>
        <v>100</v>
      </c>
      <c r="X10" s="709"/>
      <c r="Y10" s="3423"/>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467"/>
      <c r="Q11" s="1475" t="str">
        <f t="shared" si="6"/>
        <v>容积率</v>
      </c>
      <c r="R11" s="707" t="s">
        <v>17</v>
      </c>
      <c r="S11" s="708" t="e">
        <f t="shared" si="0"/>
        <v>#N/A</v>
      </c>
      <c r="T11" s="707" t="s">
        <v>17</v>
      </c>
      <c r="U11" s="708" t="e">
        <f t="shared" si="1"/>
        <v>#N/A</v>
      </c>
      <c r="V11" s="707" t="s">
        <v>17</v>
      </c>
      <c r="W11" s="708" t="e">
        <f t="shared" si="2"/>
        <v>#N/A</v>
      </c>
      <c r="X11" s="709"/>
      <c r="Y11" s="3423"/>
      <c r="Z11" s="55" t="str">
        <f t="shared" si="7"/>
        <v>容积率</v>
      </c>
      <c r="AA11" s="710" t="e">
        <f t="shared" si="3"/>
        <v>#N/A</v>
      </c>
      <c r="AB11" s="710" t="e">
        <f t="shared" si="4"/>
        <v>#N/A</v>
      </c>
      <c r="AC11" s="710" t="e">
        <f t="shared" si="5"/>
        <v>#N/A</v>
      </c>
    </row>
    <row r="12" spans="1:29" s="113" customFormat="1" ht="15">
      <c r="A12" s="390"/>
      <c r="B12" s="2027">
        <v>111</v>
      </c>
      <c r="C12" s="391"/>
      <c r="D12" s="392">
        <v>100</v>
      </c>
      <c r="E12" s="393"/>
      <c r="F12" s="132">
        <f>SUMIF(64:64,E12,65:65)-SUMIF(64:64,C12,65:65)+100</f>
        <v>100</v>
      </c>
      <c r="G12" s="2104"/>
      <c r="H12" s="132">
        <f>SUMIF(64:64,G12,65:65)-SUMIF(64:64,C12,65:65)+100</f>
        <v>100</v>
      </c>
      <c r="I12" s="428"/>
      <c r="J12" s="132">
        <f>SUMIF(64:64,I12,65:65)-SUMIF(64:64,C12,65:65)+100</f>
        <v>100</v>
      </c>
      <c r="K12" s="570"/>
      <c r="L12" s="1024"/>
      <c r="M12" s="1025"/>
      <c r="N12" s="1025"/>
      <c r="O12" s="1026"/>
      <c r="P12" s="3467"/>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710">
        <f>D12/J12</f>
        <v>1</v>
      </c>
    </row>
    <row r="13" spans="1:29" ht="15">
      <c r="A13" s="387"/>
      <c r="B13" s="2027">
        <v>111</v>
      </c>
      <c r="C13" s="393"/>
      <c r="D13" s="394">
        <v>100</v>
      </c>
      <c r="E13" s="393"/>
      <c r="F13" s="132">
        <f>SUMIF(66:66,E13,67:67)-SUMIF(66:66,C13,67:67)+100</f>
        <v>100</v>
      </c>
      <c r="G13" s="2104"/>
      <c r="H13" s="394">
        <f>SUMIF(66:66,G13,67:67)-SUMIF(66:66,C13,67:67)+100</f>
        <v>100</v>
      </c>
      <c r="I13" s="428"/>
      <c r="J13" s="394">
        <f>SUMIF(66:66,I13,67:67)-SUMIF(66:66,C13,67:67)+100</f>
        <v>100</v>
      </c>
      <c r="K13" s="570"/>
      <c r="L13" s="1032"/>
      <c r="M13" s="1023"/>
      <c r="N13" s="1023"/>
      <c r="O13" s="1031"/>
      <c r="P13" s="3467"/>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710">
        <f t="shared" si="5"/>
        <v>1</v>
      </c>
    </row>
    <row r="14" spans="1:29" ht="15.75" thickBot="1">
      <c r="A14" s="395"/>
      <c r="B14" s="2029">
        <v>111</v>
      </c>
      <c r="C14" s="396"/>
      <c r="D14" s="397">
        <v>100</v>
      </c>
      <c r="E14" s="396"/>
      <c r="F14" s="397">
        <f>SUMIF(68:68,E14,69:69)-SUMIF(68:68,C14,69:69)+100</f>
        <v>100</v>
      </c>
      <c r="G14" s="2104"/>
      <c r="H14" s="397">
        <f>SUMIF(68:68,G14,69:69)-SUMIF(68:68,C14,69:69)+100</f>
        <v>100</v>
      </c>
      <c r="I14" s="428"/>
      <c r="J14" s="397">
        <f>SUMIF(68:68,I14,69:69)-SUMIF(68:68,C14,69:69)+100</f>
        <v>100</v>
      </c>
      <c r="K14" s="570"/>
      <c r="L14" s="1032"/>
      <c r="M14" s="1023"/>
      <c r="N14" s="1023"/>
      <c r="O14" s="1031"/>
      <c r="P14" s="3467"/>
      <c r="Q14" s="1475">
        <f t="shared" si="6"/>
        <v>111</v>
      </c>
      <c r="R14" s="707" t="s">
        <v>17</v>
      </c>
      <c r="S14" s="708">
        <f t="shared" si="0"/>
        <v>100</v>
      </c>
      <c r="T14" s="707" t="s">
        <v>17</v>
      </c>
      <c r="U14" s="708">
        <f t="shared" si="1"/>
        <v>100</v>
      </c>
      <c r="V14" s="707" t="s">
        <v>17</v>
      </c>
      <c r="W14" s="708">
        <f t="shared" si="2"/>
        <v>100</v>
      </c>
      <c r="X14" s="709"/>
      <c r="Y14" s="3423"/>
      <c r="Z14" s="55">
        <f t="shared" si="7"/>
        <v>111</v>
      </c>
      <c r="AA14" s="710">
        <f t="shared" si="3"/>
        <v>1</v>
      </c>
      <c r="AB14" s="710">
        <f t="shared" si="4"/>
        <v>1</v>
      </c>
      <c r="AC14" s="710">
        <f t="shared" si="5"/>
        <v>1</v>
      </c>
    </row>
    <row r="15" spans="1:29" ht="57">
      <c r="A15" s="399" t="s">
        <v>2139</v>
      </c>
      <c r="B15" s="65" t="s">
        <v>2283</v>
      </c>
      <c r="C15" s="210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482" t="s">
        <v>2140</v>
      </c>
      <c r="Q15" s="1484" t="str">
        <f t="shared" si="6"/>
        <v>产业集聚程度</v>
      </c>
      <c r="R15" s="711" t="s">
        <v>17</v>
      </c>
      <c r="S15" s="712">
        <f t="shared" si="0"/>
        <v>100</v>
      </c>
      <c r="T15" s="711" t="s">
        <v>17</v>
      </c>
      <c r="U15" s="712">
        <f t="shared" si="1"/>
        <v>100</v>
      </c>
      <c r="V15" s="711" t="s">
        <v>17</v>
      </c>
      <c r="W15" s="712">
        <f t="shared" si="2"/>
        <v>100</v>
      </c>
      <c r="X15" s="1487"/>
      <c r="Y15" s="3482"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483"/>
      <c r="Q16" s="1484"/>
      <c r="R16" s="711"/>
      <c r="S16" s="712"/>
      <c r="T16" s="711"/>
      <c r="U16" s="712"/>
      <c r="V16" s="711"/>
      <c r="W16" s="712"/>
      <c r="X16" s="1487"/>
      <c r="Y16" s="3483"/>
      <c r="Z16" s="1488"/>
      <c r="AA16" s="1485">
        <v>1</v>
      </c>
      <c r="AB16" s="1485">
        <v>1</v>
      </c>
      <c r="AC16" s="1485">
        <v>1</v>
      </c>
    </row>
    <row r="17" spans="1:29" ht="85.5">
      <c r="A17" s="387"/>
      <c r="B17" s="410" t="s">
        <v>1704</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483"/>
      <c r="Q17" s="1484" t="str">
        <f>B17</f>
        <v>交通便捷度</v>
      </c>
      <c r="R17" s="711" t="s">
        <v>17</v>
      </c>
      <c r="S17" s="712">
        <f>F17</f>
        <v>100</v>
      </c>
      <c r="T17" s="711" t="s">
        <v>17</v>
      </c>
      <c r="U17" s="712">
        <f>H17</f>
        <v>100</v>
      </c>
      <c r="V17" s="711" t="s">
        <v>17</v>
      </c>
      <c r="W17" s="712">
        <f>J17</f>
        <v>100</v>
      </c>
      <c r="X17" s="1487"/>
      <c r="Y17" s="3483"/>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1032"/>
      <c r="M18" s="1023"/>
      <c r="N18" s="1023"/>
      <c r="O18" s="1031"/>
      <c r="P18" s="3483"/>
      <c r="Q18" s="1484"/>
      <c r="R18" s="711"/>
      <c r="S18" s="712"/>
      <c r="T18" s="711"/>
      <c r="U18" s="712"/>
      <c r="V18" s="711"/>
      <c r="W18" s="712"/>
      <c r="X18" s="1487"/>
      <c r="Y18" s="3483"/>
      <c r="Z18" s="1488"/>
      <c r="AA18" s="1485">
        <v>1</v>
      </c>
      <c r="AB18" s="1485">
        <v>1</v>
      </c>
      <c r="AC18" s="1485">
        <v>1</v>
      </c>
    </row>
    <row r="19" spans="1:29" ht="42.75">
      <c r="A19" s="387"/>
      <c r="B19" s="410" t="s">
        <v>2268</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483"/>
      <c r="Q19" s="1484" t="str">
        <f>B19</f>
        <v>公共配套设施</v>
      </c>
      <c r="R19" s="711" t="s">
        <v>17</v>
      </c>
      <c r="S19" s="712">
        <f>F19</f>
        <v>100</v>
      </c>
      <c r="T19" s="711" t="s">
        <v>17</v>
      </c>
      <c r="U19" s="712">
        <f>H19</f>
        <v>100</v>
      </c>
      <c r="V19" s="711" t="s">
        <v>17</v>
      </c>
      <c r="W19" s="712">
        <f>J19</f>
        <v>100</v>
      </c>
      <c r="X19" s="1487"/>
      <c r="Y19" s="3483"/>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1032"/>
      <c r="M20" s="1023"/>
      <c r="N20" s="1023"/>
      <c r="O20" s="1031"/>
      <c r="P20" s="3483"/>
      <c r="Q20" s="1484"/>
      <c r="R20" s="711"/>
      <c r="S20" s="712"/>
      <c r="T20" s="711"/>
      <c r="U20" s="712"/>
      <c r="V20" s="711"/>
      <c r="W20" s="712"/>
      <c r="X20" s="1487"/>
      <c r="Y20" s="3483"/>
      <c r="Z20" s="1488"/>
      <c r="AA20" s="1485">
        <v>1</v>
      </c>
      <c r="AB20" s="1485">
        <v>1</v>
      </c>
      <c r="AC20" s="1485">
        <v>1</v>
      </c>
    </row>
    <row r="21" spans="1:29" ht="28.5">
      <c r="A21" s="387"/>
      <c r="B21" s="1243" t="s">
        <v>2269</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483"/>
      <c r="Q21" s="1484" t="str">
        <f>B21</f>
        <v>基础设施水平</v>
      </c>
      <c r="R21" s="711" t="s">
        <v>17</v>
      </c>
      <c r="S21" s="712">
        <f>F21</f>
        <v>100</v>
      </c>
      <c r="T21" s="711" t="s">
        <v>17</v>
      </c>
      <c r="U21" s="712">
        <f>H21</f>
        <v>100</v>
      </c>
      <c r="V21" s="711" t="s">
        <v>17</v>
      </c>
      <c r="W21" s="712">
        <f>J21</f>
        <v>100</v>
      </c>
      <c r="X21" s="1487"/>
      <c r="Y21" s="3483"/>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1032"/>
      <c r="M22" s="1023"/>
      <c r="N22" s="1023"/>
      <c r="O22" s="1031"/>
      <c r="P22" s="3483"/>
      <c r="Q22" s="1484"/>
      <c r="R22" s="711"/>
      <c r="S22" s="712"/>
      <c r="T22" s="711"/>
      <c r="U22" s="712"/>
      <c r="V22" s="711"/>
      <c r="W22" s="712"/>
      <c r="X22" s="1487"/>
      <c r="Y22" s="3483"/>
      <c r="Z22" s="1488"/>
      <c r="AA22" s="1485">
        <v>1</v>
      </c>
      <c r="AB22" s="1485">
        <v>1</v>
      </c>
      <c r="AC22" s="1485">
        <v>1</v>
      </c>
    </row>
    <row r="23" spans="1:29" ht="71.25">
      <c r="A23" s="387"/>
      <c r="B23" s="410" t="s">
        <v>2270</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483"/>
      <c r="Q23" s="1484" t="str">
        <f>B23</f>
        <v>环境质量</v>
      </c>
      <c r="R23" s="711" t="s">
        <v>17</v>
      </c>
      <c r="S23" s="712">
        <f>F23</f>
        <v>100</v>
      </c>
      <c r="T23" s="711" t="s">
        <v>17</v>
      </c>
      <c r="U23" s="712">
        <f>H23</f>
        <v>100</v>
      </c>
      <c r="V23" s="711" t="s">
        <v>17</v>
      </c>
      <c r="W23" s="712">
        <f>J23</f>
        <v>100</v>
      </c>
      <c r="X23" s="1487"/>
      <c r="Y23" s="3483"/>
      <c r="Z23" s="1488" t="str">
        <f>Q23</f>
        <v>环境质量</v>
      </c>
      <c r="AA23" s="1485">
        <f t="shared" si="3"/>
        <v>1</v>
      </c>
      <c r="AB23" s="1485">
        <f t="shared" si="4"/>
        <v>1</v>
      </c>
      <c r="AC23" s="1485">
        <f t="shared" si="5"/>
        <v>1</v>
      </c>
    </row>
    <row r="24" spans="1:29" ht="15">
      <c r="A24" s="387"/>
      <c r="B24" s="1243"/>
      <c r="C24" s="406"/>
      <c r="D24" s="407"/>
      <c r="E24" s="2032"/>
      <c r="F24" s="408"/>
      <c r="G24" s="2031"/>
      <c r="H24" s="407"/>
      <c r="I24" s="2032"/>
      <c r="J24" s="407"/>
      <c r="K24" s="572"/>
      <c r="L24" s="1032"/>
      <c r="M24" s="1023"/>
      <c r="N24" s="1023"/>
      <c r="O24" s="1031"/>
      <c r="P24" s="3483"/>
      <c r="Q24" s="1484"/>
      <c r="R24" s="711"/>
      <c r="S24" s="712"/>
      <c r="T24" s="711"/>
      <c r="U24" s="712"/>
      <c r="V24" s="711"/>
      <c r="W24" s="712"/>
      <c r="X24" s="1487"/>
      <c r="Y24" s="3483"/>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483"/>
      <c r="Q25" s="1484">
        <f>B25</f>
        <v>111</v>
      </c>
      <c r="R25" s="711" t="s">
        <v>17</v>
      </c>
      <c r="S25" s="712">
        <f>F25</f>
        <v>100</v>
      </c>
      <c r="T25" s="711" t="s">
        <v>17</v>
      </c>
      <c r="U25" s="712">
        <f>H25</f>
        <v>100</v>
      </c>
      <c r="V25" s="711" t="s">
        <v>17</v>
      </c>
      <c r="W25" s="712">
        <f>J25</f>
        <v>100</v>
      </c>
      <c r="X25" s="1487"/>
      <c r="Y25" s="3483"/>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483"/>
      <c r="Q26" s="1484">
        <f t="shared" ref="Q26:Q40" si="11">B26</f>
        <v>111</v>
      </c>
      <c r="R26" s="711" t="s">
        <v>17</v>
      </c>
      <c r="S26" s="712">
        <f>F26</f>
        <v>100</v>
      </c>
      <c r="T26" s="711" t="s">
        <v>17</v>
      </c>
      <c r="U26" s="712">
        <f>H26</f>
        <v>100</v>
      </c>
      <c r="V26" s="711" t="s">
        <v>17</v>
      </c>
      <c r="W26" s="712">
        <f>J26</f>
        <v>100</v>
      </c>
      <c r="X26" s="1487"/>
      <c r="Y26" s="3483"/>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483"/>
      <c r="Q27" s="1475">
        <f t="shared" si="11"/>
        <v>111</v>
      </c>
      <c r="R27" s="707" t="s">
        <v>17</v>
      </c>
      <c r="S27" s="708">
        <f>F27</f>
        <v>100</v>
      </c>
      <c r="T27" s="707" t="s">
        <v>17</v>
      </c>
      <c r="U27" s="708">
        <f>H27</f>
        <v>100</v>
      </c>
      <c r="V27" s="707" t="s">
        <v>17</v>
      </c>
      <c r="W27" s="708">
        <f>J27</f>
        <v>100</v>
      </c>
      <c r="X27" s="709"/>
      <c r="Y27" s="3483"/>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483"/>
      <c r="Q28" s="1484">
        <f t="shared" si="11"/>
        <v>111</v>
      </c>
      <c r="R28" s="711" t="s">
        <v>17</v>
      </c>
      <c r="S28" s="712">
        <f t="shared" ref="S28:S40" si="12">F28</f>
        <v>100</v>
      </c>
      <c r="T28" s="711" t="s">
        <v>17</v>
      </c>
      <c r="U28" s="712">
        <f t="shared" ref="U28:U40" si="13">H28</f>
        <v>100</v>
      </c>
      <c r="V28" s="711" t="s">
        <v>17</v>
      </c>
      <c r="W28" s="712">
        <f t="shared" ref="W28:W40" si="14">J28</f>
        <v>100</v>
      </c>
      <c r="X28" s="1487"/>
      <c r="Y28" s="3483"/>
      <c r="Z28" s="1488">
        <f t="shared" ref="Z28:Z40" si="15">Q28</f>
        <v>111</v>
      </c>
      <c r="AA28" s="1485">
        <f t="shared" si="3"/>
        <v>1</v>
      </c>
      <c r="AB28" s="1485">
        <f t="shared" si="4"/>
        <v>1</v>
      </c>
      <c r="AC28" s="1485">
        <f t="shared" si="5"/>
        <v>1</v>
      </c>
    </row>
    <row r="29" spans="1:29" ht="15">
      <c r="A29" s="425" t="s">
        <v>2143</v>
      </c>
      <c r="B29" s="67" t="s">
        <v>2273</v>
      </c>
      <c r="C29" s="2101"/>
      <c r="D29" s="426">
        <v>100</v>
      </c>
      <c r="E29" s="2101"/>
      <c r="F29" s="420">
        <f>SUMIF(88:88,E29,89:89)-SUMIF(88:88,C29,89:89)+100</f>
        <v>100</v>
      </c>
      <c r="G29" s="2101"/>
      <c r="H29" s="394">
        <f>SUMIF(88:88,G29,89:89)-SUMIF(88:88,C29,89:89)+100</f>
        <v>100</v>
      </c>
      <c r="I29" s="2101"/>
      <c r="J29" s="426">
        <f>SUMIF(88:88,I29,89:89)-SUMIF(88:88,C29,89:89)+100</f>
        <v>100</v>
      </c>
      <c r="K29" s="569"/>
      <c r="L29" s="1032"/>
      <c r="M29" s="1023"/>
      <c r="N29" s="1023"/>
      <c r="O29" s="1031"/>
      <c r="P29" s="3484" t="s">
        <v>2145</v>
      </c>
      <c r="Q29" s="1484" t="str">
        <f t="shared" si="11"/>
        <v>建筑类型</v>
      </c>
      <c r="R29" s="711" t="s">
        <v>17</v>
      </c>
      <c r="S29" s="712">
        <f t="shared" si="12"/>
        <v>100</v>
      </c>
      <c r="T29" s="711" t="s">
        <v>17</v>
      </c>
      <c r="U29" s="712">
        <f t="shared" si="13"/>
        <v>100</v>
      </c>
      <c r="V29" s="711" t="s">
        <v>17</v>
      </c>
      <c r="W29" s="712">
        <f t="shared" si="14"/>
        <v>100</v>
      </c>
      <c r="X29" s="1487"/>
      <c r="Y29" s="3485"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485"/>
      <c r="Q30" s="713" t="str">
        <f t="shared" si="11"/>
        <v>项目建筑规模</v>
      </c>
      <c r="R30" s="714" t="s">
        <v>17</v>
      </c>
      <c r="S30" s="715" t="e">
        <f t="shared" si="12"/>
        <v>#N/A</v>
      </c>
      <c r="T30" s="714" t="s">
        <v>17</v>
      </c>
      <c r="U30" s="715" t="e">
        <f t="shared" si="13"/>
        <v>#N/A</v>
      </c>
      <c r="V30" s="714" t="s">
        <v>17</v>
      </c>
      <c r="W30" s="715" t="e">
        <f t="shared" si="14"/>
        <v>#N/A</v>
      </c>
      <c r="X30" s="716"/>
      <c r="Y30" s="3485"/>
      <c r="Z30" s="717" t="str">
        <f t="shared" si="15"/>
        <v>项目建筑规模</v>
      </c>
      <c r="AA30" s="1485" t="e">
        <f t="shared" si="3"/>
        <v>#N/A</v>
      </c>
      <c r="AB30" s="1485" t="e">
        <f t="shared" si="4"/>
        <v>#N/A</v>
      </c>
      <c r="AC30" s="1485"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485"/>
      <c r="Q31" s="1484" t="str">
        <f t="shared" si="11"/>
        <v>建筑结构</v>
      </c>
      <c r="R31" s="711" t="s">
        <v>17</v>
      </c>
      <c r="S31" s="712">
        <f t="shared" si="12"/>
        <v>100</v>
      </c>
      <c r="T31" s="711" t="s">
        <v>17</v>
      </c>
      <c r="U31" s="712">
        <f t="shared" si="13"/>
        <v>100</v>
      </c>
      <c r="V31" s="711" t="s">
        <v>17</v>
      </c>
      <c r="W31" s="712">
        <f t="shared" si="14"/>
        <v>100</v>
      </c>
      <c r="X31" s="1487"/>
      <c r="Y31" s="3485"/>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485"/>
      <c r="Q32" s="1484" t="str">
        <f t="shared" si="11"/>
        <v>公共部分装修</v>
      </c>
      <c r="R32" s="711" t="s">
        <v>17</v>
      </c>
      <c r="S32" s="712">
        <f t="shared" si="12"/>
        <v>100</v>
      </c>
      <c r="T32" s="711" t="s">
        <v>17</v>
      </c>
      <c r="U32" s="712">
        <f t="shared" si="13"/>
        <v>100</v>
      </c>
      <c r="V32" s="711" t="s">
        <v>17</v>
      </c>
      <c r="W32" s="712">
        <f t="shared" si="14"/>
        <v>100</v>
      </c>
      <c r="X32" s="1487"/>
      <c r="Y32" s="3485"/>
      <c r="Z32" s="1488" t="str">
        <f t="shared" si="15"/>
        <v>公共部分装修</v>
      </c>
      <c r="AA32" s="1485">
        <f t="shared" si="3"/>
        <v>1</v>
      </c>
      <c r="AB32" s="1485">
        <f t="shared" si="4"/>
        <v>1</v>
      </c>
      <c r="AC32" s="1485">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485"/>
      <c r="Q33" s="1484" t="str">
        <f t="shared" si="11"/>
        <v>成新度</v>
      </c>
      <c r="R33" s="711" t="s">
        <v>17</v>
      </c>
      <c r="S33" s="712" t="e">
        <f t="shared" si="12"/>
        <v>#N/A</v>
      </c>
      <c r="T33" s="711" t="s">
        <v>17</v>
      </c>
      <c r="U33" s="712" t="e">
        <f t="shared" si="13"/>
        <v>#N/A</v>
      </c>
      <c r="V33" s="711" t="s">
        <v>17</v>
      </c>
      <c r="W33" s="712" t="e">
        <f t="shared" si="14"/>
        <v>#N/A</v>
      </c>
      <c r="X33" s="1487"/>
      <c r="Y33" s="3485"/>
      <c r="Z33" s="1488" t="str">
        <f t="shared" si="15"/>
        <v>成新度</v>
      </c>
      <c r="AA33" s="1485" t="e">
        <f t="shared" si="3"/>
        <v>#N/A</v>
      </c>
      <c r="AB33" s="1485" t="e">
        <f t="shared" si="4"/>
        <v>#N/A</v>
      </c>
      <c r="AC33" s="1485"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485"/>
      <c r="Q34" s="1475" t="str">
        <f t="shared" si="11"/>
        <v>物业管理</v>
      </c>
      <c r="R34" s="707" t="s">
        <v>17</v>
      </c>
      <c r="S34" s="708">
        <f t="shared" si="12"/>
        <v>100</v>
      </c>
      <c r="T34" s="707" t="s">
        <v>17</v>
      </c>
      <c r="U34" s="708">
        <f t="shared" si="13"/>
        <v>100</v>
      </c>
      <c r="V34" s="707" t="s">
        <v>17</v>
      </c>
      <c r="W34" s="708">
        <f t="shared" si="14"/>
        <v>100</v>
      </c>
      <c r="X34" s="709"/>
      <c r="Y34" s="3485"/>
      <c r="Z34" s="55" t="str">
        <f t="shared" si="15"/>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485" t="s">
        <v>2145</v>
      </c>
      <c r="Q35" s="1484" t="str">
        <f t="shared" si="11"/>
        <v>市政基础设施</v>
      </c>
      <c r="R35" s="711" t="s">
        <v>17</v>
      </c>
      <c r="S35" s="712">
        <f t="shared" si="12"/>
        <v>100</v>
      </c>
      <c r="T35" s="711" t="s">
        <v>17</v>
      </c>
      <c r="U35" s="712">
        <f t="shared" si="13"/>
        <v>100</v>
      </c>
      <c r="V35" s="711" t="s">
        <v>17</v>
      </c>
      <c r="W35" s="712">
        <f t="shared" si="14"/>
        <v>100</v>
      </c>
      <c r="X35" s="1487"/>
      <c r="Y35" s="3485"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485"/>
      <c r="Q36" s="1484" t="str">
        <f t="shared" si="11"/>
        <v>内部装修</v>
      </c>
      <c r="R36" s="711" t="s">
        <v>17</v>
      </c>
      <c r="S36" s="712">
        <f t="shared" si="12"/>
        <v>100</v>
      </c>
      <c r="T36" s="711" t="s">
        <v>17</v>
      </c>
      <c r="U36" s="712">
        <f t="shared" si="13"/>
        <v>100</v>
      </c>
      <c r="V36" s="711" t="s">
        <v>17</v>
      </c>
      <c r="W36" s="712">
        <f t="shared" si="14"/>
        <v>100</v>
      </c>
      <c r="X36" s="1487"/>
      <c r="Y36" s="3485"/>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485"/>
      <c r="Q37" s="1484" t="str">
        <f t="shared" si="11"/>
        <v>内部装修状况</v>
      </c>
      <c r="R37" s="711" t="s">
        <v>17</v>
      </c>
      <c r="S37" s="712">
        <f t="shared" si="12"/>
        <v>100</v>
      </c>
      <c r="T37" s="711" t="s">
        <v>17</v>
      </c>
      <c r="U37" s="712">
        <f t="shared" si="13"/>
        <v>100</v>
      </c>
      <c r="V37" s="711" t="s">
        <v>17</v>
      </c>
      <c r="W37" s="712">
        <f t="shared" si="14"/>
        <v>100</v>
      </c>
      <c r="X37" s="1487"/>
      <c r="Y37" s="3485"/>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485"/>
      <c r="Q38" s="713">
        <f t="shared" si="11"/>
        <v>111</v>
      </c>
      <c r="R38" s="714" t="s">
        <v>17</v>
      </c>
      <c r="S38" s="715">
        <f t="shared" si="12"/>
        <v>100</v>
      </c>
      <c r="T38" s="714" t="s">
        <v>17</v>
      </c>
      <c r="U38" s="715">
        <f t="shared" si="13"/>
        <v>100</v>
      </c>
      <c r="V38" s="714" t="s">
        <v>17</v>
      </c>
      <c r="W38" s="715">
        <f t="shared" si="14"/>
        <v>100</v>
      </c>
      <c r="X38" s="716"/>
      <c r="Y38" s="3485"/>
      <c r="Z38" s="717">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485"/>
      <c r="Q39" s="1484">
        <f t="shared" si="11"/>
        <v>111</v>
      </c>
      <c r="R39" s="711" t="s">
        <v>17</v>
      </c>
      <c r="S39" s="712">
        <f t="shared" si="12"/>
        <v>100</v>
      </c>
      <c r="T39" s="711" t="s">
        <v>17</v>
      </c>
      <c r="U39" s="712">
        <f t="shared" si="13"/>
        <v>100</v>
      </c>
      <c r="V39" s="711" t="s">
        <v>17</v>
      </c>
      <c r="W39" s="712">
        <f t="shared" si="14"/>
        <v>100</v>
      </c>
      <c r="X39" s="1487"/>
      <c r="Y39" s="3485"/>
      <c r="Z39" s="1488">
        <f t="shared" si="15"/>
        <v>111</v>
      </c>
      <c r="AA39" s="1485">
        <f t="shared" si="3"/>
        <v>1</v>
      </c>
      <c r="AB39" s="1485">
        <f t="shared" si="4"/>
        <v>1</v>
      </c>
      <c r="AC39" s="1485">
        <f t="shared" si="5"/>
        <v>1</v>
      </c>
    </row>
    <row r="40" spans="1:29" ht="15.75"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03"/>
      <c r="Q40" s="1484">
        <f t="shared" si="11"/>
        <v>111</v>
      </c>
      <c r="R40" s="711" t="s">
        <v>17</v>
      </c>
      <c r="S40" s="712">
        <f t="shared" si="12"/>
        <v>100</v>
      </c>
      <c r="T40" s="711" t="s">
        <v>17</v>
      </c>
      <c r="U40" s="712">
        <f t="shared" si="13"/>
        <v>100</v>
      </c>
      <c r="V40" s="711" t="s">
        <v>17</v>
      </c>
      <c r="W40" s="712">
        <f t="shared" si="14"/>
        <v>100</v>
      </c>
      <c r="X40" s="1487"/>
      <c r="Y40" s="3503"/>
      <c r="Z40" s="1488">
        <f t="shared" si="15"/>
        <v>111</v>
      </c>
      <c r="AA40" s="1485">
        <f t="shared" si="3"/>
        <v>1</v>
      </c>
      <c r="AB40" s="1485">
        <f t="shared" si="4"/>
        <v>1</v>
      </c>
      <c r="AC40" s="1485">
        <f t="shared" si="5"/>
        <v>1</v>
      </c>
    </row>
    <row r="41" spans="1:29" ht="15">
      <c r="A41" s="438" t="s">
        <v>2157</v>
      </c>
      <c r="B41" s="439"/>
      <c r="C41" s="1266" t="s">
        <v>1</v>
      </c>
      <c r="D41" s="1267"/>
      <c r="E41" s="1268"/>
      <c r="F41" s="1269"/>
      <c r="G41" s="1270"/>
      <c r="H41" s="1271"/>
      <c r="I41" s="1268"/>
      <c r="J41" s="1271"/>
      <c r="K41" s="720"/>
      <c r="L41" s="1035"/>
      <c r="M41" s="1036"/>
      <c r="N41" s="1023"/>
      <c r="O41" s="1036"/>
      <c r="P41" s="3467" t="str">
        <f>A41</f>
        <v>成交单价（元/平方米）</v>
      </c>
      <c r="Q41" s="3467"/>
      <c r="R41" s="3504">
        <f>E41</f>
        <v>0</v>
      </c>
      <c r="S41" s="3504"/>
      <c r="T41" s="3504">
        <f>G41</f>
        <v>0</v>
      </c>
      <c r="U41" s="3504"/>
      <c r="V41" s="3504">
        <f>I41</f>
        <v>0</v>
      </c>
      <c r="W41" s="3504"/>
      <c r="X41" s="696"/>
      <c r="Y41" s="718"/>
      <c r="Z41" s="696"/>
      <c r="AA41" s="696"/>
      <c r="AB41" s="696"/>
      <c r="AC41" s="696"/>
    </row>
    <row r="42" spans="1:29" ht="15.75" thickBot="1">
      <c r="A42" s="445" t="s">
        <v>2249</v>
      </c>
      <c r="B42" s="446"/>
      <c r="C42" s="1272" t="e">
        <f>R43</f>
        <v>#DIV/0!</v>
      </c>
      <c r="D42" s="2486" t="s">
        <v>2637</v>
      </c>
      <c r="E42" s="1273" t="e">
        <f>R42</f>
        <v>#DIV/0!</v>
      </c>
      <c r="F42" s="2487"/>
      <c r="G42" s="1272" t="e">
        <f>T42</f>
        <v>#DIV/0!</v>
      </c>
      <c r="H42" s="2487"/>
      <c r="I42" s="1273" t="e">
        <f>V42</f>
        <v>#DIV/0!</v>
      </c>
      <c r="J42" s="2487"/>
      <c r="K42" s="2489">
        <f>F42+H42+J42</f>
        <v>0</v>
      </c>
      <c r="L42" s="1035"/>
      <c r="M42" s="1036"/>
      <c r="N42" s="1023"/>
      <c r="O42" s="1036"/>
      <c r="P42" s="3467" t="str">
        <f>A42</f>
        <v>比较价值（元/平方米）</v>
      </c>
      <c r="Q42" s="3467"/>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696"/>
      <c r="Y42" s="696"/>
      <c r="Z42" s="696"/>
      <c r="AA42" s="696"/>
      <c r="AB42" s="696"/>
      <c r="AC42" s="696"/>
    </row>
    <row r="43" spans="1:29" ht="15.75" thickBot="1">
      <c r="A43" s="449" t="s">
        <v>2250</v>
      </c>
      <c r="B43" s="450"/>
      <c r="C43" s="1275" t="e">
        <f>R43</f>
        <v>#DIV/0!</v>
      </c>
      <c r="D43" s="1275"/>
      <c r="E43" s="1275"/>
      <c r="F43" s="1275"/>
      <c r="G43" s="1275"/>
      <c r="H43" s="1275"/>
      <c r="I43" s="1275"/>
      <c r="J43" s="1275"/>
      <c r="K43" s="721"/>
      <c r="L43" s="1035"/>
      <c r="M43" s="1036"/>
      <c r="N43" s="1036"/>
      <c r="O43" s="1036"/>
      <c r="P43" s="3487" t="str">
        <f>A43</f>
        <v>估价对象XX用房的比较价值（楼面单价，元/平方米）</v>
      </c>
      <c r="Q43" s="3488"/>
      <c r="R43" s="3505" t="e">
        <f>IF(F1="售价",ROUND(IF(D42="简单平均",AVERAGE(R42:V42),R42*F42+T42*H42+V42*J42),0),ROUND(IF(D42="简单平均",AVERAGE(R42:V42),R42*F42+T42*H42+V42*J42),1))</f>
        <v>#DIV/0!</v>
      </c>
      <c r="S43" s="3505"/>
      <c r="T43" s="3505"/>
      <c r="U43" s="3505"/>
      <c r="V43" s="3505"/>
      <c r="W43" s="3505"/>
      <c r="X43" s="696"/>
      <c r="Y43" s="696"/>
      <c r="Z43" s="696"/>
      <c r="AA43" s="696"/>
      <c r="AB43" s="696"/>
      <c r="AC43" s="696"/>
    </row>
    <row r="44" spans="1:29">
      <c r="A44" s="2898"/>
      <c r="B44" s="2898"/>
      <c r="C44" s="2898"/>
      <c r="D44" s="2898"/>
      <c r="E44" s="2898"/>
      <c r="F44" s="2898"/>
      <c r="G44" s="2902"/>
      <c r="H44" s="2898"/>
      <c r="I44" s="2898"/>
      <c r="J44" s="2898"/>
      <c r="K44" s="2903"/>
      <c r="L44" s="998"/>
      <c r="M44" s="1036"/>
      <c r="N44" s="1036"/>
      <c r="O44" s="1036"/>
    </row>
    <row r="45" spans="1:29">
      <c r="A45" s="2898"/>
      <c r="B45" s="2898"/>
      <c r="C45" s="2898"/>
      <c r="D45" s="2898"/>
      <c r="E45" s="2898"/>
      <c r="F45" s="2898"/>
      <c r="G45" s="2898"/>
      <c r="H45" s="2898"/>
      <c r="I45" s="2898"/>
      <c r="J45" s="2898"/>
      <c r="K45" s="2903"/>
      <c r="L45" s="998"/>
      <c r="M45" s="1036"/>
      <c r="N45" s="1036"/>
      <c r="O45" s="1036"/>
    </row>
    <row r="46" spans="1:29" ht="13.5" customHeight="1">
      <c r="A46" s="2898"/>
      <c r="B46" s="2898"/>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998"/>
      <c r="M46" s="1036"/>
      <c r="N46" s="1036"/>
      <c r="O46" s="1036"/>
    </row>
    <row r="47" spans="1:29" ht="13.5" customHeight="1">
      <c r="A47" s="2898"/>
      <c r="B47" s="2898"/>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998"/>
      <c r="M47" s="1036"/>
      <c r="N47" s="1036"/>
      <c r="O47" s="1036"/>
    </row>
    <row r="48" spans="1:29" s="459" customFormat="1" ht="13.5" customHeight="1">
      <c r="A48" s="2901"/>
      <c r="B48" s="2901"/>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39"/>
      <c r="M48" s="1037"/>
      <c r="N48" s="1037"/>
      <c r="O48" s="1037"/>
    </row>
    <row r="49" spans="1:17" s="459" customFormat="1">
      <c r="A49" s="2901"/>
      <c r="B49" s="2904"/>
      <c r="C49" s="2905"/>
      <c r="D49" s="2901"/>
      <c r="E49" s="2901"/>
      <c r="F49" s="2901"/>
      <c r="G49" s="2901"/>
      <c r="H49" s="2901"/>
      <c r="I49" s="2901"/>
      <c r="J49" s="2901"/>
      <c r="K49" s="2906"/>
      <c r="L49" s="1039"/>
      <c r="M49" s="1037"/>
      <c r="N49" s="1037"/>
      <c r="O49" s="1037"/>
    </row>
    <row r="50" spans="1:17">
      <c r="A50" s="2898"/>
      <c r="B50" s="2904"/>
      <c r="C50" s="2905"/>
      <c r="D50" s="2898"/>
      <c r="E50" s="2898"/>
      <c r="F50" s="2898"/>
      <c r="G50" s="2898"/>
      <c r="H50" s="2898"/>
      <c r="I50" s="2898"/>
      <c r="J50" s="2898"/>
      <c r="K50" s="2903"/>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6" t="str">
        <f>YEAR(C7)&amp;"-"&amp;MONTH(C7)</f>
        <v>2022-5</v>
      </c>
      <c r="D52" s="1297">
        <f>EDATE(C52,-1)</f>
        <v>44652</v>
      </c>
      <c r="E52" s="1297">
        <f t="shared" ref="E52:O52" si="16">EDATE(D52,-1)</f>
        <v>44621</v>
      </c>
      <c r="F52" s="1297">
        <f t="shared" si="16"/>
        <v>44593</v>
      </c>
      <c r="G52" s="1297">
        <f t="shared" si="16"/>
        <v>44562</v>
      </c>
      <c r="H52" s="1297">
        <f t="shared" si="16"/>
        <v>44531</v>
      </c>
      <c r="I52" s="1297">
        <f t="shared" si="16"/>
        <v>44501</v>
      </c>
      <c r="J52" s="1297">
        <f t="shared" si="16"/>
        <v>44470</v>
      </c>
      <c r="K52" s="1297">
        <f t="shared" si="16"/>
        <v>44440</v>
      </c>
      <c r="L52" s="1297">
        <f t="shared" si="16"/>
        <v>44409</v>
      </c>
      <c r="M52" s="1297">
        <f t="shared" si="16"/>
        <v>44378</v>
      </c>
      <c r="N52" s="1297">
        <f t="shared" si="16"/>
        <v>44348</v>
      </c>
      <c r="O52" s="1297">
        <f t="shared" si="16"/>
        <v>44317</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3"/>
      <c r="O54" s="2944"/>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4">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2"/>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8"/>
      <c r="J98" s="578"/>
      <c r="K98" s="579"/>
      <c r="L98" s="580"/>
      <c r="M98" s="581"/>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1" t="s">
        <v>2286</v>
      </c>
      <c r="C106" s="535" t="s">
        <v>2177</v>
      </c>
      <c r="D106" s="535" t="s">
        <v>2178</v>
      </c>
      <c r="E106" s="535" t="s">
        <v>2179</v>
      </c>
      <c r="F106" s="535" t="s">
        <v>2180</v>
      </c>
      <c r="G106" s="535" t="s">
        <v>2181</v>
      </c>
      <c r="H106" s="496"/>
      <c r="I106" s="496"/>
      <c r="J106" s="496"/>
      <c r="K106" s="497"/>
      <c r="L106" s="498"/>
      <c r="M106" s="499"/>
      <c r="N106" s="1043"/>
      <c r="O106" s="1043"/>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8" priority="20" stopIfTrue="1" operator="containsText" text="超过">
      <formula>NOT(ISERROR(SEARCH("超过",F46)))</formula>
    </cfRule>
  </conditionalFormatting>
  <conditionalFormatting sqref="H48">
    <cfRule type="containsText" dxfId="77" priority="19" stopIfTrue="1" operator="containsText" text="超过">
      <formula>NOT(ISERROR(SEARCH("超过",H48)))</formula>
    </cfRule>
  </conditionalFormatting>
  <conditionalFormatting sqref="F48">
    <cfRule type="containsText" dxfId="76" priority="18" stopIfTrue="1" operator="containsText" text="超过">
      <formula>NOT(ISERROR(SEARCH("超过",F48)))</formula>
    </cfRule>
  </conditionalFormatting>
  <conditionalFormatting sqref="F47 H47">
    <cfRule type="containsText" dxfId="75" priority="17" stopIfTrue="1" operator="containsText" text="超过">
      <formula>NOT(ISERROR(SEARCH("超过",F47)))</formula>
    </cfRule>
  </conditionalFormatting>
  <conditionalFormatting sqref="E46">
    <cfRule type="expression" dxfId="74" priority="16" stopIfTrue="1">
      <formula>$F$46="超过30%"</formula>
    </cfRule>
  </conditionalFormatting>
  <conditionalFormatting sqref="E47">
    <cfRule type="expression" dxfId="73" priority="15" stopIfTrue="1">
      <formula>$F$47="超过20%"</formula>
    </cfRule>
  </conditionalFormatting>
  <conditionalFormatting sqref="E48">
    <cfRule type="expression" dxfId="72" priority="14" stopIfTrue="1">
      <formula>$F$48="超过30%"</formula>
    </cfRule>
  </conditionalFormatting>
  <conditionalFormatting sqref="G48">
    <cfRule type="expression" dxfId="71" priority="13" stopIfTrue="1">
      <formula>$H$48="超过30%"</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J46">
    <cfRule type="containsText" dxfId="68" priority="10" stopIfTrue="1" operator="containsText" text="超过">
      <formula>NOT(ISERROR(SEARCH("超过",J46)))</formula>
    </cfRule>
  </conditionalFormatting>
  <conditionalFormatting sqref="J48">
    <cfRule type="containsText" dxfId="67" priority="9" stopIfTrue="1" operator="containsText" text="超过">
      <formula>NOT(ISERROR(SEARCH("超过",J48)))</formula>
    </cfRule>
  </conditionalFormatting>
  <conditionalFormatting sqref="J47">
    <cfRule type="containsText" dxfId="66" priority="8" stopIfTrue="1" operator="containsText" text="超过">
      <formula>NOT(ISERROR(SEARCH("超过",J47)))</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15"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1" customFormat="1" ht="28.5" customHeight="1" thickBot="1">
      <c r="A1" s="1340" t="s">
        <v>2287</v>
      </c>
      <c r="B1" s="1341"/>
      <c r="C1" s="1342" t="s">
        <v>2110</v>
      </c>
      <c r="D1" s="1343"/>
      <c r="E1" s="1344"/>
      <c r="F1" s="2013"/>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t="e">
        <f ca="1">IF(C2="——",IF(B37="元/平方米",ROUND(C39*D3/10000,0),ROUND(F3*C39/10000,0)),IF(B37="元/平方米",ROUND(C39*D3/10000,0),ROUND(F3*C39/10000,0))-D2)</f>
        <v>#DIV/0!</v>
      </c>
      <c r="C2" s="2015"/>
      <c r="D2" s="1016" t="e">
        <f ca="1">SUMIF(INDIRECT("'"&amp;F2&amp;"'"&amp;"!A:A"),"承租人权益价值",INDIRECT("'"&amp;F2&amp;"'"&amp;"!c:c"))</f>
        <v>#REF!</v>
      </c>
      <c r="E2" s="2016" t="s">
        <v>1908</v>
      </c>
      <c r="F2" s="2017"/>
      <c r="G2" s="1017"/>
      <c r="H2" s="1017"/>
      <c r="I2" s="1017"/>
      <c r="J2" s="1017"/>
      <c r="K2" s="1019"/>
      <c r="L2" s="2907"/>
      <c r="M2" s="2908"/>
      <c r="N2" s="2908"/>
      <c r="O2" s="2908"/>
      <c r="P2" s="1277"/>
      <c r="Q2" s="705"/>
      <c r="R2" s="705"/>
      <c r="S2" s="705"/>
      <c r="T2" s="705"/>
      <c r="U2" s="705"/>
      <c r="V2" s="705"/>
      <c r="W2" s="705"/>
      <c r="X2" s="705"/>
      <c r="Y2" s="705"/>
      <c r="Z2" s="705"/>
      <c r="AA2" s="705"/>
      <c r="AB2" s="705"/>
      <c r="AC2" s="706"/>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7"/>
      <c r="H3" s="1017"/>
      <c r="I3" s="1017"/>
      <c r="J3" s="1017"/>
      <c r="K3" s="1019"/>
      <c r="L3" s="2907"/>
      <c r="M3" s="2908"/>
      <c r="N3" s="2908"/>
      <c r="O3" s="2908"/>
      <c r="P3" s="1277"/>
      <c r="Q3" s="705"/>
      <c r="R3" s="705"/>
      <c r="S3" s="705"/>
      <c r="T3" s="705"/>
      <c r="U3" s="705"/>
      <c r="V3" s="705"/>
      <c r="W3" s="705"/>
      <c r="X3" s="705"/>
      <c r="Y3" s="705"/>
      <c r="Z3" s="705"/>
      <c r="AA3" s="705"/>
      <c r="AB3" s="722"/>
      <c r="AC3" s="719"/>
    </row>
    <row r="4" spans="1:29" ht="15">
      <c r="A4" s="361" t="s">
        <v>2225</v>
      </c>
      <c r="B4" s="362"/>
      <c r="C4" s="3468" t="s">
        <v>2226</v>
      </c>
      <c r="D4" s="3469"/>
      <c r="E4" s="3470" t="s">
        <v>2227</v>
      </c>
      <c r="F4" s="3471"/>
      <c r="G4" s="3468" t="s">
        <v>2228</v>
      </c>
      <c r="H4" s="3469"/>
      <c r="I4" s="3468" t="s">
        <v>2229</v>
      </c>
      <c r="J4" s="3469"/>
      <c r="K4" s="567" t="s">
        <v>2230</v>
      </c>
      <c r="L4" s="2888"/>
      <c r="M4" s="2889"/>
      <c r="N4" s="2889"/>
      <c r="O4" s="2889"/>
      <c r="P4" s="3472" t="s">
        <v>2231</v>
      </c>
      <c r="Q4" s="3473"/>
      <c r="R4" s="3455" t="s">
        <v>2227</v>
      </c>
      <c r="S4" s="3456"/>
      <c r="T4" s="3455" t="s">
        <v>2228</v>
      </c>
      <c r="U4" s="3456"/>
      <c r="V4" s="3480" t="s">
        <v>2229</v>
      </c>
      <c r="W4" s="3480"/>
      <c r="X4" s="1487"/>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88"/>
      <c r="M5" s="2889"/>
      <c r="N5" s="2889"/>
      <c r="O5" s="2889"/>
      <c r="P5" s="3474"/>
      <c r="Q5" s="3475"/>
      <c r="R5" s="3457"/>
      <c r="S5" s="3458"/>
      <c r="T5" s="3457"/>
      <c r="U5" s="3458"/>
      <c r="V5" s="3480"/>
      <c r="W5" s="3480"/>
      <c r="X5" s="1487"/>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88"/>
      <c r="M6" s="2889"/>
      <c r="N6" s="2889"/>
      <c r="O6" s="2889"/>
      <c r="P6" s="3476"/>
      <c r="Q6" s="3477"/>
      <c r="R6" s="3457"/>
      <c r="S6" s="3458"/>
      <c r="T6" s="3478"/>
      <c r="U6" s="3479"/>
      <c r="V6" s="3480"/>
      <c r="W6" s="3480"/>
      <c r="X6" s="1487"/>
      <c r="Y6" s="3478"/>
      <c r="Z6" s="3479"/>
      <c r="AA6" s="3452"/>
      <c r="AB6" s="3452"/>
      <c r="AC6" s="3452"/>
    </row>
    <row r="7" spans="1:29" s="113" customFormat="1" ht="15.75" thickBot="1">
      <c r="A7" s="368" t="s">
        <v>2128</v>
      </c>
      <c r="B7" s="369"/>
      <c r="C7" s="370">
        <f>'数据-取费表'!B2</f>
        <v>44698</v>
      </c>
      <c r="D7" s="371">
        <v>100</v>
      </c>
      <c r="E7" s="372"/>
      <c r="F7" s="373">
        <f>SUMIF(48:48,YEAR(E7)&amp;"-"&amp;MONTH(E7),49:49)</f>
        <v>0</v>
      </c>
      <c r="G7" s="372"/>
      <c r="H7" s="371">
        <f>SUMIF(48:48,YEAR(G7)&amp;"-"&amp;MONTH(G7),49:49)</f>
        <v>0</v>
      </c>
      <c r="I7" s="372"/>
      <c r="J7" s="371">
        <f>SUMIF(48:48,YEAR(I7)&amp;"-"&amp;MONTH(I7),49:49)</f>
        <v>0</v>
      </c>
      <c r="K7" s="568"/>
      <c r="L7" s="2890"/>
      <c r="M7" s="2891"/>
      <c r="N7" s="2891"/>
      <c r="O7" s="2891"/>
      <c r="P7" s="3453" t="s">
        <v>2129</v>
      </c>
      <c r="Q7" s="3481"/>
      <c r="R7" s="707" t="s">
        <v>17</v>
      </c>
      <c r="S7" s="708">
        <f t="shared" ref="S7:S14" si="0">F7</f>
        <v>0</v>
      </c>
      <c r="T7" s="707" t="s">
        <v>17</v>
      </c>
      <c r="U7" s="708">
        <f t="shared" ref="U7:U14" si="1">H7</f>
        <v>0</v>
      </c>
      <c r="V7" s="707" t="s">
        <v>17</v>
      </c>
      <c r="W7" s="708">
        <f t="shared" ref="W7:W14" si="2">J7</f>
        <v>0</v>
      </c>
      <c r="X7" s="709"/>
      <c r="Y7" s="3453" t="s">
        <v>2129</v>
      </c>
      <c r="Z7" s="3454"/>
      <c r="AA7" s="710" t="e">
        <f>D7/F7</f>
        <v>#DIV/0!</v>
      </c>
      <c r="AB7" s="710" t="e">
        <f>D7/H7</f>
        <v>#DIV/0!</v>
      </c>
      <c r="AC7" s="710"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453" t="s">
        <v>2132</v>
      </c>
      <c r="Q8" s="3454"/>
      <c r="R8" s="707" t="s">
        <v>17</v>
      </c>
      <c r="S8" s="708">
        <f t="shared" si="0"/>
        <v>0</v>
      </c>
      <c r="T8" s="707" t="s">
        <v>17</v>
      </c>
      <c r="U8" s="708">
        <f t="shared" si="1"/>
        <v>0</v>
      </c>
      <c r="V8" s="707" t="s">
        <v>17</v>
      </c>
      <c r="W8" s="708">
        <f t="shared" si="2"/>
        <v>0</v>
      </c>
      <c r="X8" s="709"/>
      <c r="Y8" s="3453" t="s">
        <v>2132</v>
      </c>
      <c r="Z8" s="3454"/>
      <c r="AA8" s="710" t="e">
        <f t="shared" ref="AA8:AA36" si="3">D8/F8</f>
        <v>#DIV/0!</v>
      </c>
      <c r="AB8" s="710" t="e">
        <f t="shared" ref="AB8:AB36" si="4">D8/H8</f>
        <v>#DIV/0!</v>
      </c>
      <c r="AC8" s="710" t="e">
        <f t="shared" ref="AC8:AC36" si="5">D8/J8</f>
        <v>#DIV/0!</v>
      </c>
    </row>
    <row r="9" spans="1:29" s="113" customFormat="1">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467" t="s">
        <v>2135</v>
      </c>
      <c r="Q9" s="1475" t="str">
        <f t="shared" ref="Q9:Q14" si="6">B9</f>
        <v>用途</v>
      </c>
      <c r="R9" s="707" t="s">
        <v>17</v>
      </c>
      <c r="S9" s="708">
        <f t="shared" si="0"/>
        <v>100</v>
      </c>
      <c r="T9" s="707" t="s">
        <v>17</v>
      </c>
      <c r="U9" s="708">
        <f t="shared" si="1"/>
        <v>100</v>
      </c>
      <c r="V9" s="707" t="s">
        <v>17</v>
      </c>
      <c r="W9" s="708">
        <f t="shared" si="2"/>
        <v>100</v>
      </c>
      <c r="X9" s="709"/>
      <c r="Y9" s="3423" t="s">
        <v>2136</v>
      </c>
      <c r="Z9" s="55" t="str">
        <f t="shared" ref="Z9:Z14" si="7">Q9</f>
        <v>用途</v>
      </c>
      <c r="AA9" s="710">
        <f t="shared" si="3"/>
        <v>1</v>
      </c>
      <c r="AB9" s="710">
        <f t="shared" si="4"/>
        <v>1</v>
      </c>
      <c r="AC9" s="710">
        <f t="shared" si="5"/>
        <v>1</v>
      </c>
    </row>
    <row r="10" spans="1:29" s="386" customFormat="1" ht="27">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467"/>
      <c r="Q10" s="1475" t="str">
        <f t="shared" si="6"/>
        <v>土地使用年限（年）</v>
      </c>
      <c r="R10" s="707" t="s">
        <v>17</v>
      </c>
      <c r="S10" s="708">
        <f t="shared" si="0"/>
        <v>100</v>
      </c>
      <c r="T10" s="707" t="s">
        <v>17</v>
      </c>
      <c r="U10" s="708">
        <f t="shared" si="1"/>
        <v>100</v>
      </c>
      <c r="V10" s="707" t="s">
        <v>17</v>
      </c>
      <c r="W10" s="708">
        <f t="shared" si="2"/>
        <v>100</v>
      </c>
      <c r="X10" s="709"/>
      <c r="Y10" s="3423"/>
      <c r="Z10" s="55" t="str">
        <f t="shared" si="7"/>
        <v>土地使用年限（年）</v>
      </c>
      <c r="AA10" s="710">
        <f t="shared" si="3"/>
        <v>1</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467"/>
      <c r="Q11" s="1475">
        <f t="shared" si="6"/>
        <v>111</v>
      </c>
      <c r="R11" s="707" t="s">
        <v>17</v>
      </c>
      <c r="S11" s="708">
        <f t="shared" si="0"/>
        <v>100</v>
      </c>
      <c r="T11" s="707" t="s">
        <v>17</v>
      </c>
      <c r="U11" s="708">
        <f t="shared" si="1"/>
        <v>100</v>
      </c>
      <c r="V11" s="707" t="s">
        <v>17</v>
      </c>
      <c r="W11" s="708">
        <f t="shared" si="2"/>
        <v>100</v>
      </c>
      <c r="X11" s="709"/>
      <c r="Y11" s="3423"/>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467"/>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467"/>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710">
        <f t="shared" si="5"/>
        <v>1</v>
      </c>
    </row>
    <row r="14" spans="1:29" ht="85.5">
      <c r="A14" s="361" t="s">
        <v>2139</v>
      </c>
      <c r="B14" s="584" t="s">
        <v>2289</v>
      </c>
      <c r="C14" s="210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482" t="s">
        <v>2140</v>
      </c>
      <c r="Q14" s="1484" t="str">
        <f t="shared" si="6"/>
        <v>交通便捷度</v>
      </c>
      <c r="R14" s="711" t="s">
        <v>17</v>
      </c>
      <c r="S14" s="712">
        <f t="shared" si="0"/>
        <v>100</v>
      </c>
      <c r="T14" s="711" t="s">
        <v>17</v>
      </c>
      <c r="U14" s="712">
        <f t="shared" si="1"/>
        <v>100</v>
      </c>
      <c r="V14" s="711" t="s">
        <v>17</v>
      </c>
      <c r="W14" s="712">
        <f t="shared" si="2"/>
        <v>100</v>
      </c>
      <c r="X14" s="1487"/>
      <c r="Y14" s="3482" t="s">
        <v>2140</v>
      </c>
      <c r="Z14" s="1488" t="str">
        <f t="shared" si="7"/>
        <v>交通便捷度</v>
      </c>
      <c r="AA14" s="1485">
        <f t="shared" si="3"/>
        <v>1</v>
      </c>
      <c r="AB14" s="1485">
        <f t="shared" si="4"/>
        <v>1</v>
      </c>
      <c r="AC14" s="1485">
        <f t="shared" si="5"/>
        <v>1</v>
      </c>
    </row>
    <row r="15" spans="1:29" ht="15">
      <c r="A15" s="364"/>
      <c r="B15" s="602"/>
      <c r="C15" s="406"/>
      <c r="D15" s="407"/>
      <c r="E15" s="406"/>
      <c r="F15" s="408"/>
      <c r="G15" s="406"/>
      <c r="H15" s="409"/>
      <c r="I15" s="406"/>
      <c r="J15" s="407"/>
      <c r="K15" s="572"/>
      <c r="L15" s="2895"/>
      <c r="M15" s="2889"/>
      <c r="N15" s="2889"/>
      <c r="O15" s="2889"/>
      <c r="P15" s="3483"/>
      <c r="Q15" s="1484"/>
      <c r="R15" s="711"/>
      <c r="S15" s="712"/>
      <c r="T15" s="711"/>
      <c r="U15" s="712"/>
      <c r="V15" s="711"/>
      <c r="W15" s="712"/>
      <c r="X15" s="1487"/>
      <c r="Y15" s="3483"/>
      <c r="Z15" s="1488"/>
      <c r="AA15" s="1485">
        <v>1</v>
      </c>
      <c r="AB15" s="1485">
        <v>1</v>
      </c>
      <c r="AC15" s="1485">
        <v>1</v>
      </c>
    </row>
    <row r="16" spans="1:29" ht="42.75">
      <c r="A16" s="364"/>
      <c r="B16" s="586" t="s">
        <v>2268</v>
      </c>
      <c r="C16" s="203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483"/>
      <c r="Q16" s="1484" t="str">
        <f>B16</f>
        <v>公共配套设施</v>
      </c>
      <c r="R16" s="711" t="s">
        <v>17</v>
      </c>
      <c r="S16" s="712">
        <f>F16</f>
        <v>100</v>
      </c>
      <c r="T16" s="711" t="s">
        <v>17</v>
      </c>
      <c r="U16" s="712">
        <f>H16</f>
        <v>100</v>
      </c>
      <c r="V16" s="711" t="s">
        <v>17</v>
      </c>
      <c r="W16" s="712">
        <f>J16</f>
        <v>100</v>
      </c>
      <c r="X16" s="1487"/>
      <c r="Y16" s="3483"/>
      <c r="Z16" s="1488" t="str">
        <f>Q16</f>
        <v>公共配套设施</v>
      </c>
      <c r="AA16" s="1485">
        <f t="shared" si="3"/>
        <v>1</v>
      </c>
      <c r="AB16" s="1485">
        <f t="shared" si="4"/>
        <v>1</v>
      </c>
      <c r="AC16" s="1485">
        <f t="shared" si="5"/>
        <v>1</v>
      </c>
    </row>
    <row r="17" spans="1:29" ht="15">
      <c r="A17" s="364"/>
      <c r="B17" s="587"/>
      <c r="C17" s="2035"/>
      <c r="D17" s="407"/>
      <c r="E17" s="406"/>
      <c r="F17" s="408"/>
      <c r="G17" s="406"/>
      <c r="H17" s="407"/>
      <c r="I17" s="406"/>
      <c r="J17" s="407"/>
      <c r="K17" s="572"/>
      <c r="L17" s="2895"/>
      <c r="M17" s="2889"/>
      <c r="N17" s="2889"/>
      <c r="O17" s="2889"/>
      <c r="P17" s="3483"/>
      <c r="Q17" s="1484"/>
      <c r="R17" s="711"/>
      <c r="S17" s="712"/>
      <c r="T17" s="711"/>
      <c r="U17" s="712"/>
      <c r="V17" s="711"/>
      <c r="W17" s="712"/>
      <c r="X17" s="1487"/>
      <c r="Y17" s="3483"/>
      <c r="Z17" s="1488"/>
      <c r="AA17" s="1485">
        <v>1</v>
      </c>
      <c r="AB17" s="1485">
        <v>1</v>
      </c>
      <c r="AC17" s="1485">
        <v>1</v>
      </c>
    </row>
    <row r="18" spans="1:29" ht="28.5">
      <c r="A18" s="364"/>
      <c r="B18" s="588" t="s">
        <v>2269</v>
      </c>
      <c r="C18" s="203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483"/>
      <c r="Q18" s="1484" t="str">
        <f>B18</f>
        <v>基础设施水平</v>
      </c>
      <c r="R18" s="711" t="s">
        <v>17</v>
      </c>
      <c r="S18" s="712">
        <f>F18</f>
        <v>100</v>
      </c>
      <c r="T18" s="711" t="s">
        <v>17</v>
      </c>
      <c r="U18" s="712">
        <f>H18</f>
        <v>100</v>
      </c>
      <c r="V18" s="711" t="s">
        <v>17</v>
      </c>
      <c r="W18" s="712">
        <f>J18</f>
        <v>100</v>
      </c>
      <c r="X18" s="1487"/>
      <c r="Y18" s="3483"/>
      <c r="Z18" s="1488" t="str">
        <f>Q18</f>
        <v>基础设施水平</v>
      </c>
      <c r="AA18" s="1485">
        <f t="shared" ref="AA18" si="8">D18/F18</f>
        <v>1</v>
      </c>
      <c r="AB18" s="1485">
        <f t="shared" ref="AB18" si="9">D18/H18</f>
        <v>1</v>
      </c>
      <c r="AC18" s="1485">
        <f t="shared" ref="AC18" si="10">D18/J18</f>
        <v>1</v>
      </c>
    </row>
    <row r="19" spans="1:29" ht="15">
      <c r="A19" s="364"/>
      <c r="B19" s="588"/>
      <c r="C19" s="2035"/>
      <c r="D19" s="409"/>
      <c r="E19" s="2035"/>
      <c r="F19" s="412"/>
      <c r="G19" s="2035"/>
      <c r="H19" s="407"/>
      <c r="I19" s="406"/>
      <c r="J19" s="407"/>
      <c r="K19" s="1242"/>
      <c r="L19" s="2895"/>
      <c r="M19" s="2889"/>
      <c r="N19" s="2889"/>
      <c r="O19" s="2889"/>
      <c r="P19" s="3483"/>
      <c r="Q19" s="1484"/>
      <c r="R19" s="711"/>
      <c r="S19" s="712"/>
      <c r="T19" s="711"/>
      <c r="U19" s="712"/>
      <c r="V19" s="711"/>
      <c r="W19" s="712"/>
      <c r="X19" s="1487"/>
      <c r="Y19" s="3483"/>
      <c r="Z19" s="1488"/>
      <c r="AA19" s="1485">
        <v>1</v>
      </c>
      <c r="AB19" s="1485">
        <v>1</v>
      </c>
      <c r="AC19" s="1485">
        <v>1</v>
      </c>
    </row>
    <row r="20" spans="1:29" ht="57">
      <c r="A20" s="364"/>
      <c r="B20" s="586" t="s">
        <v>2290</v>
      </c>
      <c r="C20" s="203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483"/>
      <c r="Q20" s="1484" t="str">
        <f>B20</f>
        <v>自然及人文环境</v>
      </c>
      <c r="R20" s="711" t="s">
        <v>17</v>
      </c>
      <c r="S20" s="712">
        <f>F20</f>
        <v>100</v>
      </c>
      <c r="T20" s="711" t="s">
        <v>17</v>
      </c>
      <c r="U20" s="712">
        <f>H20</f>
        <v>100</v>
      </c>
      <c r="V20" s="711" t="s">
        <v>17</v>
      </c>
      <c r="W20" s="712">
        <f>J20</f>
        <v>100</v>
      </c>
      <c r="X20" s="1487"/>
      <c r="Y20" s="3483"/>
      <c r="Z20" s="1488" t="str">
        <f>Q20</f>
        <v>自然及人文环境</v>
      </c>
      <c r="AA20" s="1485">
        <f t="shared" si="3"/>
        <v>1</v>
      </c>
      <c r="AB20" s="1485">
        <f t="shared" si="4"/>
        <v>1</v>
      </c>
      <c r="AC20" s="1485">
        <f t="shared" si="5"/>
        <v>1</v>
      </c>
    </row>
    <row r="21" spans="1:29" ht="15">
      <c r="A21" s="364"/>
      <c r="B21" s="587"/>
      <c r="C21" s="406"/>
      <c r="D21" s="407"/>
      <c r="E21" s="406"/>
      <c r="F21" s="408"/>
      <c r="G21" s="406"/>
      <c r="H21" s="407"/>
      <c r="I21" s="406"/>
      <c r="J21" s="407"/>
      <c r="K21" s="572"/>
      <c r="L21" s="2895"/>
      <c r="M21" s="2889"/>
      <c r="N21" s="2889"/>
      <c r="O21" s="2889"/>
      <c r="P21" s="3483"/>
      <c r="Q21" s="1484"/>
      <c r="R21" s="711"/>
      <c r="S21" s="712"/>
      <c r="T21" s="711"/>
      <c r="U21" s="712"/>
      <c r="V21" s="711"/>
      <c r="W21" s="712"/>
      <c r="X21" s="1487"/>
      <c r="Y21" s="3483"/>
      <c r="Z21" s="1488"/>
      <c r="AA21" s="1485">
        <v>1</v>
      </c>
      <c r="AB21" s="1485">
        <v>1</v>
      </c>
      <c r="AC21" s="1485">
        <v>1</v>
      </c>
    </row>
    <row r="22" spans="1:29" ht="15">
      <c r="A22" s="364"/>
      <c r="B22" s="586" t="s">
        <v>2291</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483"/>
      <c r="Q22" s="1484" t="str">
        <f>B22</f>
        <v>楼层</v>
      </c>
      <c r="R22" s="711" t="s">
        <v>17</v>
      </c>
      <c r="S22" s="712">
        <f>F22</f>
        <v>100</v>
      </c>
      <c r="T22" s="711" t="s">
        <v>17</v>
      </c>
      <c r="U22" s="712">
        <f>H22</f>
        <v>100</v>
      </c>
      <c r="V22" s="711" t="s">
        <v>17</v>
      </c>
      <c r="W22" s="712">
        <f>J22</f>
        <v>100</v>
      </c>
      <c r="X22" s="1487"/>
      <c r="Y22" s="3483"/>
      <c r="Z22" s="1488" t="str">
        <f>Q22</f>
        <v>楼层</v>
      </c>
      <c r="AA22" s="1485">
        <f t="shared" si="3"/>
        <v>1</v>
      </c>
      <c r="AB22" s="1485">
        <f t="shared" si="4"/>
        <v>1</v>
      </c>
      <c r="AC22" s="1485">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483"/>
      <c r="Q23" s="1484">
        <f>B23</f>
        <v>111</v>
      </c>
      <c r="R23" s="711" t="s">
        <v>17</v>
      </c>
      <c r="S23" s="712">
        <f>F23</f>
        <v>100</v>
      </c>
      <c r="T23" s="711" t="s">
        <v>17</v>
      </c>
      <c r="U23" s="712">
        <f>H23</f>
        <v>100</v>
      </c>
      <c r="V23" s="711" t="s">
        <v>17</v>
      </c>
      <c r="W23" s="712">
        <f>J23</f>
        <v>100</v>
      </c>
      <c r="X23" s="1487"/>
      <c r="Y23" s="3483"/>
      <c r="Z23" s="1488">
        <f>Q23</f>
        <v>111</v>
      </c>
      <c r="AA23" s="1485">
        <f t="shared" si="3"/>
        <v>1</v>
      </c>
      <c r="AB23" s="1485">
        <f t="shared" si="4"/>
        <v>1</v>
      </c>
      <c r="AC23" s="1485">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483"/>
      <c r="Q24" s="1484">
        <f t="shared" ref="Q24:Q36" si="11">B24</f>
        <v>111</v>
      </c>
      <c r="R24" s="711" t="s">
        <v>17</v>
      </c>
      <c r="S24" s="712">
        <f>F24</f>
        <v>100</v>
      </c>
      <c r="T24" s="711" t="s">
        <v>17</v>
      </c>
      <c r="U24" s="712">
        <f>H24</f>
        <v>100</v>
      </c>
      <c r="V24" s="711" t="s">
        <v>17</v>
      </c>
      <c r="W24" s="712">
        <f>J24</f>
        <v>100</v>
      </c>
      <c r="X24" s="1487"/>
      <c r="Y24" s="3483"/>
      <c r="Z24" s="1488">
        <f>Q24</f>
        <v>111</v>
      </c>
      <c r="AA24" s="1485">
        <f t="shared" si="3"/>
        <v>1</v>
      </c>
      <c r="AB24" s="1485">
        <f t="shared" si="4"/>
        <v>1</v>
      </c>
      <c r="AC24" s="1485">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0"/>
      <c r="M25" s="2891"/>
      <c r="N25" s="2891"/>
      <c r="O25" s="2891"/>
      <c r="P25" s="3483"/>
      <c r="Q25" s="1475">
        <f t="shared" si="11"/>
        <v>111</v>
      </c>
      <c r="R25" s="707" t="s">
        <v>17</v>
      </c>
      <c r="S25" s="708">
        <f>F25</f>
        <v>100</v>
      </c>
      <c r="T25" s="707" t="s">
        <v>17</v>
      </c>
      <c r="U25" s="708">
        <f>H25</f>
        <v>100</v>
      </c>
      <c r="V25" s="707" t="s">
        <v>17</v>
      </c>
      <c r="W25" s="708">
        <f>J25</f>
        <v>100</v>
      </c>
      <c r="X25" s="709"/>
      <c r="Y25" s="3483"/>
      <c r="Z25" s="55">
        <f>Q25</f>
        <v>111</v>
      </c>
      <c r="AA25" s="1485">
        <f>D25/F25</f>
        <v>1</v>
      </c>
      <c r="AB25" s="1485">
        <f>D25/H25</f>
        <v>1</v>
      </c>
      <c r="AC25" s="1485">
        <f>D25/J25</f>
        <v>1</v>
      </c>
    </row>
    <row r="26" spans="1:29" ht="15">
      <c r="A26" s="607" t="s">
        <v>2143</v>
      </c>
      <c r="B26" s="66" t="s">
        <v>2292</v>
      </c>
      <c r="C26" s="2106">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484" t="s">
        <v>2145</v>
      </c>
      <c r="Q26" s="1484" t="str">
        <f t="shared" si="11"/>
        <v>配套类型</v>
      </c>
      <c r="R26" s="711" t="s">
        <v>17</v>
      </c>
      <c r="S26" s="712">
        <f t="shared" ref="S26:S36" si="12">F26</f>
        <v>100</v>
      </c>
      <c r="T26" s="711" t="s">
        <v>17</v>
      </c>
      <c r="U26" s="712">
        <f t="shared" ref="U26:U36" si="13">H26</f>
        <v>100</v>
      </c>
      <c r="V26" s="711" t="s">
        <v>17</v>
      </c>
      <c r="W26" s="712">
        <f t="shared" ref="W26:W36" si="14">J26</f>
        <v>100</v>
      </c>
      <c r="X26" s="1487"/>
      <c r="Y26" s="3485" t="s">
        <v>2145</v>
      </c>
      <c r="Z26" s="1488" t="str">
        <f t="shared" ref="Z26:Z36" si="15">Q26</f>
        <v>配套类型</v>
      </c>
      <c r="AA26" s="1485">
        <f t="shared" si="3"/>
        <v>1</v>
      </c>
      <c r="AB26" s="1485">
        <f t="shared" si="4"/>
        <v>1</v>
      </c>
      <c r="AC26" s="1485">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4"/>
      <c r="M27" s="2896"/>
      <c r="N27" s="2896"/>
      <c r="O27" s="2896"/>
      <c r="P27" s="3485"/>
      <c r="Q27" s="713" t="str">
        <f t="shared" si="11"/>
        <v>项目停车位配比</v>
      </c>
      <c r="R27" s="714" t="s">
        <v>17</v>
      </c>
      <c r="S27" s="715">
        <f t="shared" si="12"/>
        <v>100</v>
      </c>
      <c r="T27" s="714" t="s">
        <v>17</v>
      </c>
      <c r="U27" s="715">
        <f t="shared" si="13"/>
        <v>100</v>
      </c>
      <c r="V27" s="714" t="s">
        <v>17</v>
      </c>
      <c r="W27" s="715">
        <f t="shared" si="14"/>
        <v>100</v>
      </c>
      <c r="X27" s="716"/>
      <c r="Y27" s="3485"/>
      <c r="Z27" s="717" t="str">
        <f t="shared" si="15"/>
        <v>项目停车位配比</v>
      </c>
      <c r="AA27" s="1485">
        <f t="shared" si="3"/>
        <v>1</v>
      </c>
      <c r="AB27" s="1485">
        <f t="shared" si="4"/>
        <v>1</v>
      </c>
      <c r="AC27" s="1485">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485"/>
      <c r="Q28" s="1484" t="str">
        <f t="shared" si="11"/>
        <v>公共部分装修</v>
      </c>
      <c r="R28" s="711" t="s">
        <v>17</v>
      </c>
      <c r="S28" s="712">
        <f t="shared" si="12"/>
        <v>100</v>
      </c>
      <c r="T28" s="711" t="s">
        <v>17</v>
      </c>
      <c r="U28" s="712">
        <f t="shared" si="13"/>
        <v>100</v>
      </c>
      <c r="V28" s="711" t="s">
        <v>17</v>
      </c>
      <c r="W28" s="712">
        <f t="shared" si="14"/>
        <v>100</v>
      </c>
      <c r="X28" s="1487"/>
      <c r="Y28" s="3485"/>
      <c r="Z28" s="1488" t="str">
        <f t="shared" si="15"/>
        <v>公共部分装修</v>
      </c>
      <c r="AA28" s="1485">
        <f t="shared" si="3"/>
        <v>1</v>
      </c>
      <c r="AB28" s="1485">
        <f t="shared" si="4"/>
        <v>1</v>
      </c>
      <c r="AC28" s="1485">
        <f t="shared" si="5"/>
        <v>1</v>
      </c>
    </row>
    <row r="29" spans="1:29" ht="15">
      <c r="A29" s="611"/>
      <c r="B29" s="609"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485"/>
      <c r="Q29" s="1484" t="str">
        <f t="shared" si="11"/>
        <v>成新率</v>
      </c>
      <c r="R29" s="711" t="s">
        <v>17</v>
      </c>
      <c r="S29" s="712" t="e">
        <f t="shared" si="12"/>
        <v>#N/A</v>
      </c>
      <c r="T29" s="711" t="s">
        <v>17</v>
      </c>
      <c r="U29" s="712" t="e">
        <f t="shared" si="13"/>
        <v>#N/A</v>
      </c>
      <c r="V29" s="711" t="s">
        <v>17</v>
      </c>
      <c r="W29" s="712" t="e">
        <f t="shared" si="14"/>
        <v>#N/A</v>
      </c>
      <c r="X29" s="1487"/>
      <c r="Y29" s="3485"/>
      <c r="Z29" s="1488" t="str">
        <f t="shared" si="15"/>
        <v>成新率</v>
      </c>
      <c r="AA29" s="1485" t="e">
        <f t="shared" si="3"/>
        <v>#N/A</v>
      </c>
      <c r="AB29" s="1485" t="e">
        <f t="shared" si="4"/>
        <v>#N/A</v>
      </c>
      <c r="AC29" s="1485" t="e">
        <f t="shared" si="5"/>
        <v>#N/A</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5"/>
      <c r="M30" s="2889"/>
      <c r="N30" s="2889"/>
      <c r="O30" s="2889"/>
      <c r="P30" s="3485"/>
      <c r="Q30" s="1484" t="str">
        <f t="shared" si="11"/>
        <v>物业等级</v>
      </c>
      <c r="R30" s="711" t="s">
        <v>17</v>
      </c>
      <c r="S30" s="712">
        <f t="shared" si="12"/>
        <v>100</v>
      </c>
      <c r="T30" s="711" t="s">
        <v>17</v>
      </c>
      <c r="U30" s="712">
        <f t="shared" si="13"/>
        <v>100</v>
      </c>
      <c r="V30" s="711" t="s">
        <v>17</v>
      </c>
      <c r="W30" s="712">
        <f t="shared" si="14"/>
        <v>100</v>
      </c>
      <c r="X30" s="1487"/>
      <c r="Y30" s="3485"/>
      <c r="Z30" s="1488" t="str">
        <f t="shared" si="15"/>
        <v>物业等级</v>
      </c>
      <c r="AA30" s="1485">
        <f t="shared" si="3"/>
        <v>1</v>
      </c>
      <c r="AB30" s="1485">
        <f t="shared" si="4"/>
        <v>1</v>
      </c>
      <c r="AC30" s="1485">
        <f t="shared" si="5"/>
        <v>1</v>
      </c>
    </row>
    <row r="31" spans="1:29" s="113" customFormat="1" ht="15">
      <c r="A31" s="613"/>
      <c r="B31" s="609"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485"/>
      <c r="Q31" s="1475" t="str">
        <f t="shared" si="11"/>
        <v>停车位面积</v>
      </c>
      <c r="R31" s="707" t="s">
        <v>17</v>
      </c>
      <c r="S31" s="708" t="e">
        <f t="shared" si="12"/>
        <v>#N/A</v>
      </c>
      <c r="T31" s="707" t="s">
        <v>17</v>
      </c>
      <c r="U31" s="708" t="e">
        <f t="shared" si="13"/>
        <v>#N/A</v>
      </c>
      <c r="V31" s="707" t="s">
        <v>17</v>
      </c>
      <c r="W31" s="708" t="e">
        <f t="shared" si="14"/>
        <v>#N/A</v>
      </c>
      <c r="X31" s="709"/>
      <c r="Y31" s="3485"/>
      <c r="Z31" s="55" t="str">
        <f t="shared" si="15"/>
        <v>停车位面积</v>
      </c>
      <c r="AA31" s="710" t="e">
        <f t="shared" si="3"/>
        <v>#N/A</v>
      </c>
      <c r="AB31" s="710" t="e">
        <f t="shared" si="4"/>
        <v>#N/A</v>
      </c>
      <c r="AC31" s="710" t="e">
        <f t="shared" si="5"/>
        <v>#N/A</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485" t="s">
        <v>2145</v>
      </c>
      <c r="Q32" s="1484" t="str">
        <f t="shared" si="11"/>
        <v>车位类型</v>
      </c>
      <c r="R32" s="711" t="s">
        <v>17</v>
      </c>
      <c r="S32" s="712">
        <f t="shared" si="12"/>
        <v>100</v>
      </c>
      <c r="T32" s="711" t="s">
        <v>17</v>
      </c>
      <c r="U32" s="712">
        <f t="shared" si="13"/>
        <v>100</v>
      </c>
      <c r="V32" s="711" t="s">
        <v>17</v>
      </c>
      <c r="W32" s="712">
        <f t="shared" si="14"/>
        <v>100</v>
      </c>
      <c r="X32" s="1487"/>
      <c r="Y32" s="3485" t="s">
        <v>2145</v>
      </c>
      <c r="Z32" s="1488" t="str">
        <f t="shared" si="15"/>
        <v>车位类型</v>
      </c>
      <c r="AA32" s="1485">
        <f t="shared" si="3"/>
        <v>1</v>
      </c>
      <c r="AB32" s="1485">
        <f t="shared" si="4"/>
        <v>1</v>
      </c>
      <c r="AC32" s="1485">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485"/>
      <c r="Q33" s="1484" t="str">
        <f t="shared" si="11"/>
        <v>是否直接入户</v>
      </c>
      <c r="R33" s="711" t="s">
        <v>17</v>
      </c>
      <c r="S33" s="712">
        <f t="shared" si="12"/>
        <v>100</v>
      </c>
      <c r="T33" s="711" t="s">
        <v>17</v>
      </c>
      <c r="U33" s="712">
        <f t="shared" si="13"/>
        <v>100</v>
      </c>
      <c r="V33" s="711" t="s">
        <v>17</v>
      </c>
      <c r="W33" s="712">
        <f t="shared" si="14"/>
        <v>100</v>
      </c>
      <c r="X33" s="1487"/>
      <c r="Y33" s="3485"/>
      <c r="Z33" s="1488" t="str">
        <f t="shared" si="15"/>
        <v>是否直接入户</v>
      </c>
      <c r="AA33" s="1485">
        <f t="shared" si="3"/>
        <v>1</v>
      </c>
      <c r="AB33" s="1485">
        <f t="shared" si="4"/>
        <v>1</v>
      </c>
      <c r="AC33" s="1485">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485"/>
      <c r="Q34" s="1484">
        <f t="shared" si="11"/>
        <v>111</v>
      </c>
      <c r="R34" s="711" t="s">
        <v>17</v>
      </c>
      <c r="S34" s="712">
        <f t="shared" si="12"/>
        <v>100</v>
      </c>
      <c r="T34" s="711" t="s">
        <v>17</v>
      </c>
      <c r="U34" s="712">
        <f t="shared" si="13"/>
        <v>100</v>
      </c>
      <c r="V34" s="711" t="s">
        <v>17</v>
      </c>
      <c r="W34" s="712">
        <f t="shared" si="14"/>
        <v>100</v>
      </c>
      <c r="X34" s="1487"/>
      <c r="Y34" s="3485"/>
      <c r="Z34" s="1488">
        <f t="shared" si="15"/>
        <v>111</v>
      </c>
      <c r="AA34" s="1485">
        <f t="shared" si="3"/>
        <v>1</v>
      </c>
      <c r="AB34" s="1485">
        <f t="shared" si="4"/>
        <v>1</v>
      </c>
      <c r="AC34" s="1485">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485"/>
      <c r="Q35" s="713">
        <f t="shared" si="11"/>
        <v>111</v>
      </c>
      <c r="R35" s="714" t="s">
        <v>17</v>
      </c>
      <c r="S35" s="715">
        <f t="shared" si="12"/>
        <v>100</v>
      </c>
      <c r="T35" s="714" t="s">
        <v>17</v>
      </c>
      <c r="U35" s="715">
        <f t="shared" si="13"/>
        <v>100</v>
      </c>
      <c r="V35" s="714" t="s">
        <v>17</v>
      </c>
      <c r="W35" s="715">
        <f t="shared" si="14"/>
        <v>100</v>
      </c>
      <c r="X35" s="716"/>
      <c r="Y35" s="3485"/>
      <c r="Z35" s="717">
        <f t="shared" si="15"/>
        <v>111</v>
      </c>
      <c r="AA35" s="1485">
        <f t="shared" si="3"/>
        <v>1</v>
      </c>
      <c r="AB35" s="1485">
        <f t="shared" si="4"/>
        <v>1</v>
      </c>
      <c r="AC35" s="1485">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485"/>
      <c r="Q36" s="1484">
        <f t="shared" si="11"/>
        <v>111</v>
      </c>
      <c r="R36" s="711" t="s">
        <v>17</v>
      </c>
      <c r="S36" s="712">
        <f t="shared" si="12"/>
        <v>100</v>
      </c>
      <c r="T36" s="711" t="s">
        <v>17</v>
      </c>
      <c r="U36" s="712">
        <f t="shared" si="13"/>
        <v>100</v>
      </c>
      <c r="V36" s="711" t="s">
        <v>17</v>
      </c>
      <c r="W36" s="712">
        <f t="shared" si="14"/>
        <v>100</v>
      </c>
      <c r="X36" s="1487"/>
      <c r="Y36" s="3485"/>
      <c r="Z36" s="1488">
        <f t="shared" si="15"/>
        <v>111</v>
      </c>
      <c r="AA36" s="1485">
        <f t="shared" si="3"/>
        <v>1</v>
      </c>
      <c r="AB36" s="1485">
        <f t="shared" si="4"/>
        <v>1</v>
      </c>
      <c r="AC36" s="1485">
        <f t="shared" si="5"/>
        <v>1</v>
      </c>
    </row>
    <row r="37" spans="1:29" ht="15">
      <c r="A37" s="438" t="s">
        <v>2300</v>
      </c>
      <c r="B37" s="2107" t="s">
        <v>2301</v>
      </c>
      <c r="C37" s="1266" t="s">
        <v>1</v>
      </c>
      <c r="D37" s="1267"/>
      <c r="E37" s="1268"/>
      <c r="F37" s="1269"/>
      <c r="G37" s="1270"/>
      <c r="H37" s="1271"/>
      <c r="I37" s="1268"/>
      <c r="J37" s="1271"/>
      <c r="K37" s="575"/>
      <c r="L37" s="2897"/>
      <c r="M37" s="2898"/>
      <c r="N37" s="2889"/>
      <c r="O37" s="2898"/>
      <c r="P37" s="3467" t="str">
        <f>A37</f>
        <v>成交单价</v>
      </c>
      <c r="Q37" s="3467"/>
      <c r="R37" s="3504">
        <f>E37</f>
        <v>0</v>
      </c>
      <c r="S37" s="3504"/>
      <c r="T37" s="3504">
        <f>G37</f>
        <v>0</v>
      </c>
      <c r="U37" s="3504"/>
      <c r="V37" s="3504">
        <f>I37</f>
        <v>0</v>
      </c>
      <c r="W37" s="3504"/>
      <c r="X37" s="696"/>
      <c r="Y37" s="718"/>
      <c r="Z37" s="696"/>
      <c r="AA37" s="696"/>
      <c r="AB37" s="696"/>
      <c r="AC37" s="696"/>
    </row>
    <row r="38" spans="1:29" ht="15.75" thickBot="1">
      <c r="A38" s="445" t="s">
        <v>2302</v>
      </c>
      <c r="B38" s="446" t="str">
        <f>B37</f>
        <v>元/车位</v>
      </c>
      <c r="C38" s="1272" t="e">
        <f>R39</f>
        <v>#DIV/0!</v>
      </c>
      <c r="D38" s="2486" t="s">
        <v>2637</v>
      </c>
      <c r="E38" s="1273" t="e">
        <f>R38</f>
        <v>#DIV/0!</v>
      </c>
      <c r="F38" s="2487"/>
      <c r="G38" s="1272" t="e">
        <f>T38</f>
        <v>#DIV/0!</v>
      </c>
      <c r="H38" s="2487"/>
      <c r="I38" s="1273" t="e">
        <f>V38</f>
        <v>#DIV/0!</v>
      </c>
      <c r="J38" s="2487"/>
      <c r="K38" s="2489">
        <f>F38+H38+J38</f>
        <v>0</v>
      </c>
      <c r="L38" s="2897"/>
      <c r="M38" s="2898"/>
      <c r="N38" s="2898"/>
      <c r="O38" s="2898"/>
      <c r="P38" s="3467" t="str">
        <f>A38</f>
        <v>比较价值（元/平方米）</v>
      </c>
      <c r="Q38" s="3467"/>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696"/>
      <c r="Y38" s="696"/>
      <c r="Z38" s="696"/>
      <c r="AA38" s="696"/>
      <c r="AB38" s="696"/>
      <c r="AC38" s="696"/>
    </row>
    <row r="39" spans="1:29" ht="15.75" thickBot="1">
      <c r="A39" s="449" t="s">
        <v>2303</v>
      </c>
      <c r="B39" s="450"/>
      <c r="C39" s="1275" t="e">
        <f>R39</f>
        <v>#DIV/0!</v>
      </c>
      <c r="D39" s="1275"/>
      <c r="E39" s="1275"/>
      <c r="F39" s="1275"/>
      <c r="G39" s="1275"/>
      <c r="H39" s="1275"/>
      <c r="I39" s="1275"/>
      <c r="J39" s="1275"/>
      <c r="K39" s="576"/>
      <c r="L39" s="2897"/>
      <c r="M39" s="2898"/>
      <c r="N39" s="2898"/>
      <c r="O39" s="2898"/>
      <c r="P39" s="3487" t="str">
        <f>A39</f>
        <v>估价对象XX用房的比较价值（楼面单价，元/平方米）</v>
      </c>
      <c r="Q39" s="3488"/>
      <c r="R39" s="3553" t="e">
        <f>IF(F1="售价",ROUND(IF(D38="简单平均",AVERAGE(R38:W38),R38*F38+T38*H38+V38*J38),0),ROUND(IF(D38="简单平均",AVERAGE(R38:V38),R38*F38+T38*H38+V38*J38),1))</f>
        <v>#DIV/0!</v>
      </c>
      <c r="S39" s="3553"/>
      <c r="T39" s="3553"/>
      <c r="U39" s="3553"/>
      <c r="V39" s="3553"/>
      <c r="W39" s="3553"/>
      <c r="X39" s="696"/>
      <c r="Y39" s="696"/>
      <c r="Z39" s="696"/>
      <c r="AA39" s="696"/>
      <c r="AB39" s="696"/>
      <c r="AC39" s="696"/>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78" t="s">
        <v>2307</v>
      </c>
      <c r="B47" s="1036"/>
      <c r="C47" s="1049"/>
      <c r="D47" s="1049"/>
      <c r="E47" s="1049"/>
      <c r="F47" s="1279"/>
      <c r="G47" s="1279"/>
      <c r="H47" s="1049"/>
      <c r="I47" s="1049"/>
      <c r="J47" s="1049"/>
      <c r="K47" s="1050"/>
      <c r="L47" s="1051"/>
      <c r="M47" s="1049"/>
      <c r="N47" s="2942"/>
      <c r="O47" s="2942"/>
      <c r="P47" s="2931"/>
      <c r="Q47" s="2912"/>
      <c r="R47" s="2898"/>
      <c r="S47" s="2898"/>
      <c r="T47" s="2898"/>
      <c r="U47" s="2898"/>
      <c r="V47" s="2898"/>
      <c r="W47" s="2898"/>
      <c r="X47" s="2898"/>
      <c r="Y47" s="2898"/>
      <c r="Z47" s="2898"/>
      <c r="AA47" s="2898"/>
      <c r="AB47" s="2898"/>
      <c r="AC47" s="2898"/>
    </row>
    <row r="48" spans="1:29" s="465" customFormat="1" ht="15">
      <c r="A48" s="462" t="s">
        <v>2308</v>
      </c>
      <c r="B48" s="463"/>
      <c r="C48" s="1296" t="str">
        <f>YEAR(C7)&amp;"-"&amp;MONTH(C7)</f>
        <v>2022-5</v>
      </c>
      <c r="D48" s="1297">
        <f>EDATE(C48,-1)</f>
        <v>44652</v>
      </c>
      <c r="E48" s="1297">
        <f t="shared" ref="E48:O48" si="16">EDATE(D48,-1)</f>
        <v>44621</v>
      </c>
      <c r="F48" s="1297">
        <f t="shared" si="16"/>
        <v>44593</v>
      </c>
      <c r="G48" s="1297">
        <f t="shared" si="16"/>
        <v>44562</v>
      </c>
      <c r="H48" s="1297">
        <f t="shared" si="16"/>
        <v>44531</v>
      </c>
      <c r="I48" s="1297">
        <f t="shared" si="16"/>
        <v>44501</v>
      </c>
      <c r="J48" s="1297">
        <f t="shared" si="16"/>
        <v>44470</v>
      </c>
      <c r="K48" s="1297">
        <f t="shared" si="16"/>
        <v>44440</v>
      </c>
      <c r="L48" s="1297">
        <f t="shared" si="16"/>
        <v>44409</v>
      </c>
      <c r="M48" s="1297">
        <f t="shared" si="16"/>
        <v>44378</v>
      </c>
      <c r="N48" s="1297">
        <f t="shared" si="16"/>
        <v>44348</v>
      </c>
      <c r="O48" s="1297">
        <f t="shared" si="16"/>
        <v>44317</v>
      </c>
      <c r="P48" s="2932"/>
      <c r="Q48" s="2914"/>
      <c r="R48" s="2914"/>
      <c r="S48" s="2914"/>
      <c r="T48" s="2914"/>
      <c r="U48" s="2914"/>
      <c r="V48" s="2914"/>
      <c r="W48" s="2914"/>
      <c r="X48" s="2914"/>
      <c r="Y48" s="2914"/>
      <c r="Z48" s="2914"/>
      <c r="AA48" s="2914"/>
      <c r="AB48" s="2914"/>
      <c r="AC48" s="2914"/>
    </row>
    <row r="49" spans="1:29" s="113" customFormat="1" ht="15">
      <c r="A49" s="466"/>
      <c r="B49" s="467"/>
      <c r="C49" s="1289">
        <v>100</v>
      </c>
      <c r="D49" s="469"/>
      <c r="E49" s="469"/>
      <c r="F49" s="469"/>
      <c r="G49" s="469"/>
      <c r="H49" s="469"/>
      <c r="I49" s="469"/>
      <c r="J49" s="469"/>
      <c r="K49" s="469"/>
      <c r="L49" s="469"/>
      <c r="M49" s="470"/>
      <c r="N49" s="469"/>
      <c r="O49" s="470"/>
      <c r="P49" s="2933"/>
      <c r="Q49" s="2833"/>
      <c r="R49" s="2833"/>
      <c r="S49" s="2833"/>
      <c r="T49" s="2833"/>
      <c r="U49" s="2833"/>
      <c r="V49" s="2833"/>
      <c r="W49" s="2833"/>
      <c r="X49" s="2833"/>
      <c r="Y49" s="2833"/>
      <c r="Z49" s="2833"/>
      <c r="AA49" s="2833"/>
      <c r="AB49" s="2833"/>
      <c r="AC49" s="2833"/>
    </row>
    <row r="50" spans="1:29" s="113" customFormat="1" ht="15.75" thickBot="1">
      <c r="A50" s="472" t="s">
        <v>2165</v>
      </c>
      <c r="B50" s="473"/>
      <c r="C50" s="474"/>
      <c r="D50" s="475"/>
      <c r="E50" s="475"/>
      <c r="F50" s="475"/>
      <c r="G50" s="475"/>
      <c r="H50" s="475"/>
      <c r="I50" s="475"/>
      <c r="J50" s="475"/>
      <c r="K50" s="475"/>
      <c r="L50" s="475"/>
      <c r="M50" s="476"/>
      <c r="N50" s="475"/>
      <c r="O50" s="476"/>
      <c r="P50" s="2933"/>
      <c r="Q50" s="2912"/>
      <c r="R50" s="2833"/>
      <c r="S50" s="2833"/>
      <c r="T50" s="2833"/>
      <c r="U50" s="2833"/>
      <c r="V50" s="2833"/>
      <c r="W50" s="2833"/>
      <c r="X50" s="2833"/>
      <c r="Y50" s="2833"/>
      <c r="Z50" s="2833"/>
      <c r="AA50" s="2833"/>
      <c r="AB50" s="2833"/>
      <c r="AC50" s="2833"/>
    </row>
    <row r="51" spans="1:29" s="113" customFormat="1" ht="15">
      <c r="A51" s="478" t="s">
        <v>2130</v>
      </c>
      <c r="B51" s="467"/>
      <c r="C51" s="479" t="s">
        <v>2232</v>
      </c>
      <c r="D51" s="480"/>
      <c r="E51" s="480"/>
      <c r="F51" s="480"/>
      <c r="G51" s="480"/>
      <c r="H51" s="480"/>
      <c r="I51" s="480"/>
      <c r="J51" s="480"/>
      <c r="K51" s="480"/>
      <c r="L51" s="481"/>
      <c r="M51" s="482"/>
      <c r="N51" s="2925"/>
      <c r="O51" s="2925"/>
      <c r="P51" s="2934"/>
      <c r="Q51" s="2912"/>
      <c r="R51" s="2833"/>
      <c r="S51" s="2833"/>
      <c r="T51" s="2833"/>
      <c r="U51" s="2833"/>
      <c r="V51" s="2833"/>
      <c r="W51" s="2833"/>
      <c r="X51" s="2833"/>
      <c r="Y51" s="2833"/>
      <c r="Z51" s="2833"/>
      <c r="AA51" s="2833"/>
      <c r="AB51" s="2833"/>
      <c r="AC51" s="2833"/>
    </row>
    <row r="52" spans="1:29" s="113" customFormat="1" ht="15.75" thickBot="1">
      <c r="A52" s="478"/>
      <c r="B52" s="467"/>
      <c r="C52" s="594">
        <v>100</v>
      </c>
      <c r="D52" s="469"/>
      <c r="E52" s="469"/>
      <c r="F52" s="469"/>
      <c r="G52" s="469"/>
      <c r="H52" s="469"/>
      <c r="I52" s="469"/>
      <c r="J52" s="469"/>
      <c r="K52" s="469"/>
      <c r="L52" s="469"/>
      <c r="M52" s="471"/>
      <c r="N52" s="2925"/>
      <c r="O52" s="2925"/>
      <c r="P52" s="2933"/>
      <c r="Q52" s="2912"/>
      <c r="R52" s="2833"/>
      <c r="S52" s="2833"/>
      <c r="T52" s="2833"/>
      <c r="U52" s="2833"/>
      <c r="V52" s="2833"/>
      <c r="W52" s="2833"/>
      <c r="X52" s="2833"/>
      <c r="Y52" s="2833"/>
      <c r="Z52" s="2833"/>
      <c r="AA52" s="2833"/>
      <c r="AB52" s="2833"/>
      <c r="AC52" s="2833"/>
    </row>
    <row r="53" spans="1:29">
      <c r="A53" s="484" t="s">
        <v>2168</v>
      </c>
      <c r="B53" s="485" t="s">
        <v>2134</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5">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2183</v>
      </c>
      <c r="C65" s="535" t="s">
        <v>2177</v>
      </c>
      <c r="D65" s="535" t="s">
        <v>2178</v>
      </c>
      <c r="E65" s="535" t="s">
        <v>2179</v>
      </c>
      <c r="F65" s="535" t="s">
        <v>2180</v>
      </c>
      <c r="G65" s="535" t="s">
        <v>2181</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2269</v>
      </c>
      <c r="C67" s="615" t="s">
        <v>2255</v>
      </c>
      <c r="D67" s="615" t="s">
        <v>2256</v>
      </c>
      <c r="E67" s="615" t="s">
        <v>2257</v>
      </c>
      <c r="F67" s="615" t="s">
        <v>2258</v>
      </c>
      <c r="G67" s="615" t="s">
        <v>2259</v>
      </c>
      <c r="H67" s="496"/>
      <c r="I67" s="496"/>
      <c r="J67" s="496"/>
      <c r="K67" s="496"/>
      <c r="L67" s="496"/>
      <c r="M67" s="1241"/>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2189</v>
      </c>
      <c r="C69" s="535" t="s">
        <v>2177</v>
      </c>
      <c r="D69" s="535" t="s">
        <v>2178</v>
      </c>
      <c r="E69" s="535" t="s">
        <v>2179</v>
      </c>
      <c r="F69" s="535" t="s">
        <v>2180</v>
      </c>
      <c r="G69" s="535" t="s">
        <v>2181</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2309</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3"/>
      <c r="S73" s="2833"/>
      <c r="T73" s="2833"/>
      <c r="U73" s="2833"/>
      <c r="V73" s="2833"/>
      <c r="W73" s="2833"/>
      <c r="X73" s="2833"/>
      <c r="Y73" s="2833"/>
      <c r="Z73" s="2833"/>
      <c r="AA73" s="2833"/>
      <c r="AB73" s="2833"/>
      <c r="AC73" s="2833"/>
    </row>
    <row r="74" spans="1:29" s="113" customFormat="1" ht="15.75" thickBot="1">
      <c r="A74" s="536"/>
      <c r="B74" s="500"/>
      <c r="C74" s="517"/>
      <c r="D74" s="493"/>
      <c r="E74" s="493"/>
      <c r="F74" s="493"/>
      <c r="G74" s="493"/>
      <c r="H74" s="493"/>
      <c r="I74" s="493"/>
      <c r="J74" s="493"/>
      <c r="K74" s="493"/>
      <c r="L74" s="493"/>
      <c r="M74" s="494"/>
      <c r="N74" s="2927"/>
      <c r="O74" s="2927"/>
      <c r="P74" s="2935"/>
      <c r="Q74" s="2912"/>
      <c r="R74" s="2833"/>
      <c r="S74" s="2833"/>
      <c r="T74" s="2833"/>
      <c r="U74" s="2833"/>
      <c r="V74" s="2833"/>
      <c r="W74" s="2833"/>
      <c r="X74" s="2833"/>
      <c r="Y74" s="2833"/>
      <c r="Z74" s="2833"/>
      <c r="AA74" s="2833"/>
      <c r="AB74" s="2833"/>
      <c r="AC74" s="2833"/>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3"/>
      <c r="S75" s="2833"/>
      <c r="T75" s="2833"/>
      <c r="U75" s="2833"/>
      <c r="V75" s="2833"/>
      <c r="W75" s="2833"/>
      <c r="X75" s="2833"/>
      <c r="Y75" s="2833"/>
      <c r="Z75" s="2833"/>
      <c r="AA75" s="2833"/>
      <c r="AB75" s="2833"/>
      <c r="AC75" s="2833"/>
    </row>
    <row r="76" spans="1:29" s="113" customFormat="1" ht="15.75" thickBot="1">
      <c r="A76" s="536"/>
      <c r="B76" s="500"/>
      <c r="C76" s="517"/>
      <c r="D76" s="493"/>
      <c r="E76" s="493"/>
      <c r="F76" s="493"/>
      <c r="G76" s="493"/>
      <c r="H76" s="493"/>
      <c r="I76" s="493"/>
      <c r="J76" s="493"/>
      <c r="K76" s="493"/>
      <c r="L76" s="493"/>
      <c r="M76" s="494"/>
      <c r="N76" s="2927"/>
      <c r="O76" s="2927"/>
      <c r="P76" s="2935"/>
      <c r="Q76" s="2912"/>
      <c r="R76" s="2833"/>
      <c r="S76" s="2833"/>
      <c r="T76" s="2833"/>
      <c r="U76" s="2833"/>
      <c r="V76" s="2833"/>
      <c r="W76" s="2833"/>
      <c r="X76" s="2833"/>
      <c r="Y76" s="2833"/>
      <c r="Z76" s="2833"/>
      <c r="AA76" s="2833"/>
      <c r="AB76" s="2833"/>
      <c r="AC76" s="2833"/>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2143</v>
      </c>
      <c r="B79" s="485" t="s">
        <v>2310</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2311</v>
      </c>
      <c r="C81" s="616"/>
      <c r="D81" s="616"/>
      <c r="E81" s="616"/>
      <c r="F81" s="616"/>
      <c r="G81" s="616"/>
      <c r="H81" s="616"/>
      <c r="I81" s="616"/>
      <c r="J81" s="616"/>
      <c r="K81" s="617"/>
      <c r="L81" s="618"/>
      <c r="M81" s="619"/>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2196</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8"/>
      <c r="J86" s="578"/>
      <c r="K86" s="579"/>
      <c r="L86" s="580"/>
      <c r="M86" s="581"/>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2313</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2315</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2316</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1">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5"/>
      <c r="D2" s="1016" t="e">
        <f ca="1">SUMIF(INDIRECT("'"&amp;F2&amp;"'"&amp;"!A:A"),"承租人权益价值",INDIRECT("'"&amp;F2&amp;"'"&amp;"!c:c"))</f>
        <v>#REF!</v>
      </c>
      <c r="E2" s="2016" t="s">
        <v>1908</v>
      </c>
      <c r="F2" s="2017"/>
      <c r="G2" s="1017"/>
      <c r="H2" s="1017"/>
      <c r="I2" s="1017"/>
      <c r="J2" s="1017"/>
      <c r="K2" s="1019"/>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29" ht="15">
      <c r="A4" s="361" t="s">
        <v>2225</v>
      </c>
      <c r="B4" s="362"/>
      <c r="C4" s="3468" t="s">
        <v>2226</v>
      </c>
      <c r="D4" s="3469"/>
      <c r="E4" s="3470" t="s">
        <v>2227</v>
      </c>
      <c r="F4" s="3471"/>
      <c r="G4" s="3468" t="s">
        <v>2228</v>
      </c>
      <c r="H4" s="3469"/>
      <c r="I4" s="3468" t="s">
        <v>2229</v>
      </c>
      <c r="J4" s="3469"/>
      <c r="K4" s="567" t="s">
        <v>2230</v>
      </c>
      <c r="L4" s="2888"/>
      <c r="M4" s="2889"/>
      <c r="N4" s="2889"/>
      <c r="O4" s="2889"/>
      <c r="P4" s="3472" t="s">
        <v>2231</v>
      </c>
      <c r="Q4" s="3473"/>
      <c r="R4" s="3455" t="s">
        <v>2227</v>
      </c>
      <c r="S4" s="3456"/>
      <c r="T4" s="3455" t="s">
        <v>2228</v>
      </c>
      <c r="U4" s="3456"/>
      <c r="V4" s="3480" t="s">
        <v>2229</v>
      </c>
      <c r="W4" s="3480"/>
      <c r="X4" s="1487"/>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88"/>
      <c r="M5" s="2889"/>
      <c r="N5" s="2889"/>
      <c r="O5" s="2889"/>
      <c r="P5" s="3474"/>
      <c r="Q5" s="3475"/>
      <c r="R5" s="3457"/>
      <c r="S5" s="3458"/>
      <c r="T5" s="3457"/>
      <c r="U5" s="3458"/>
      <c r="V5" s="3480"/>
      <c r="W5" s="3480"/>
      <c r="X5" s="1487"/>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88"/>
      <c r="M6" s="2889"/>
      <c r="N6" s="2889"/>
      <c r="O6" s="2889"/>
      <c r="P6" s="3476"/>
      <c r="Q6" s="3477"/>
      <c r="R6" s="3457"/>
      <c r="S6" s="3458"/>
      <c r="T6" s="3478"/>
      <c r="U6" s="3479"/>
      <c r="V6" s="3480"/>
      <c r="W6" s="3480"/>
      <c r="X6" s="1487"/>
      <c r="Y6" s="3478"/>
      <c r="Z6" s="3479"/>
      <c r="AA6" s="3452"/>
      <c r="AB6" s="3452"/>
      <c r="AC6" s="3452"/>
    </row>
    <row r="7" spans="1:29" s="113" customFormat="1" ht="15.75" thickBot="1">
      <c r="A7" s="368" t="s">
        <v>2128</v>
      </c>
      <c r="B7" s="369"/>
      <c r="C7" s="370">
        <f>'数据-取费表'!B2</f>
        <v>44698</v>
      </c>
      <c r="D7" s="371">
        <v>100</v>
      </c>
      <c r="E7" s="372"/>
      <c r="F7" s="373">
        <f>SUMIF(46:46,YEAR(E7)&amp;"-"&amp;MONTH(E7),47:47)</f>
        <v>0</v>
      </c>
      <c r="G7" s="2108"/>
      <c r="H7" s="371">
        <f>SUMIF(46:46,YEAR(G7)&amp;"-"&amp;MONTH(G7),47:47)</f>
        <v>0</v>
      </c>
      <c r="I7" s="372"/>
      <c r="J7" s="371">
        <f>SUMIF(46:46,YEAR(I7)&amp;"-"&amp;MONTH(I7),47:47)</f>
        <v>0</v>
      </c>
      <c r="K7" s="568"/>
      <c r="L7" s="2890"/>
      <c r="M7" s="2891"/>
      <c r="N7" s="2891"/>
      <c r="O7" s="2891"/>
      <c r="P7" s="3453" t="s">
        <v>2129</v>
      </c>
      <c r="Q7" s="3481"/>
      <c r="R7" s="707" t="s">
        <v>17</v>
      </c>
      <c r="S7" s="708">
        <f t="shared" ref="S7:S14" si="0">F7</f>
        <v>0</v>
      </c>
      <c r="T7" s="707" t="s">
        <v>17</v>
      </c>
      <c r="U7" s="708">
        <f t="shared" ref="U7:U14" si="1">H7</f>
        <v>0</v>
      </c>
      <c r="V7" s="707" t="s">
        <v>17</v>
      </c>
      <c r="W7" s="708">
        <f t="shared" ref="W7:W14" si="2">J7</f>
        <v>0</v>
      </c>
      <c r="X7" s="709"/>
      <c r="Y7" s="3453" t="s">
        <v>2129</v>
      </c>
      <c r="Z7" s="3454"/>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453" t="s">
        <v>2132</v>
      </c>
      <c r="Q8" s="3454"/>
      <c r="R8" s="707" t="s">
        <v>17</v>
      </c>
      <c r="S8" s="708">
        <f t="shared" si="0"/>
        <v>0</v>
      </c>
      <c r="T8" s="707" t="s">
        <v>17</v>
      </c>
      <c r="U8" s="708">
        <f t="shared" si="1"/>
        <v>0</v>
      </c>
      <c r="V8" s="707" t="s">
        <v>17</v>
      </c>
      <c r="W8" s="708">
        <f t="shared" si="2"/>
        <v>0</v>
      </c>
      <c r="X8" s="709"/>
      <c r="Y8" s="3453" t="s">
        <v>2132</v>
      </c>
      <c r="Z8" s="3454"/>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467" t="s">
        <v>2135</v>
      </c>
      <c r="Q9" s="1475" t="str">
        <f t="shared" ref="Q9:Q14" si="6">B9</f>
        <v>用途</v>
      </c>
      <c r="R9" s="707" t="s">
        <v>17</v>
      </c>
      <c r="S9" s="708">
        <f t="shared" si="0"/>
        <v>100</v>
      </c>
      <c r="T9" s="707" t="s">
        <v>17</v>
      </c>
      <c r="U9" s="708">
        <f t="shared" si="1"/>
        <v>100</v>
      </c>
      <c r="V9" s="707" t="s">
        <v>17</v>
      </c>
      <c r="W9" s="708">
        <f t="shared" si="2"/>
        <v>100</v>
      </c>
      <c r="X9" s="709"/>
      <c r="Y9" s="3423"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467"/>
      <c r="Q10" s="1475" t="str">
        <f t="shared" si="6"/>
        <v>土地使用年限（年）</v>
      </c>
      <c r="R10" s="707" t="s">
        <v>17</v>
      </c>
      <c r="S10" s="708">
        <f t="shared" si="0"/>
        <v>100</v>
      </c>
      <c r="T10" s="707" t="s">
        <v>17</v>
      </c>
      <c r="U10" s="708">
        <f t="shared" si="1"/>
        <v>100</v>
      </c>
      <c r="V10" s="707" t="s">
        <v>17</v>
      </c>
      <c r="W10" s="708">
        <f t="shared" si="2"/>
        <v>100</v>
      </c>
      <c r="X10" s="709"/>
      <c r="Y10" s="3423"/>
      <c r="Z10" s="55" t="str">
        <f t="shared" si="7"/>
        <v>土地使用年限（年）</v>
      </c>
      <c r="AA10" s="710">
        <f t="shared" si="3"/>
        <v>1</v>
      </c>
      <c r="AB10" s="710">
        <f t="shared" si="4"/>
        <v>1</v>
      </c>
      <c r="AC10" s="710">
        <f t="shared" si="5"/>
        <v>1</v>
      </c>
    </row>
    <row r="11" spans="1:29" ht="1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467"/>
      <c r="Q11" s="1475">
        <f t="shared" si="6"/>
        <v>111</v>
      </c>
      <c r="R11" s="707" t="s">
        <v>17</v>
      </c>
      <c r="S11" s="708">
        <f t="shared" si="0"/>
        <v>100</v>
      </c>
      <c r="T11" s="707" t="s">
        <v>17</v>
      </c>
      <c r="U11" s="708">
        <f t="shared" si="1"/>
        <v>100</v>
      </c>
      <c r="V11" s="707" t="s">
        <v>17</v>
      </c>
      <c r="W11" s="708">
        <f t="shared" si="2"/>
        <v>100</v>
      </c>
      <c r="X11" s="709"/>
      <c r="Y11" s="3423"/>
      <c r="Z11" s="55">
        <f t="shared" si="7"/>
        <v>111</v>
      </c>
      <c r="AA11" s="710">
        <f t="shared" si="3"/>
        <v>1</v>
      </c>
      <c r="AB11" s="710">
        <f t="shared" si="4"/>
        <v>1</v>
      </c>
      <c r="AC11" s="710">
        <f t="shared" si="5"/>
        <v>1</v>
      </c>
    </row>
    <row r="12" spans="1:29" s="113" customFormat="1" ht="1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467"/>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710">
        <f>D12/J12</f>
        <v>1</v>
      </c>
    </row>
    <row r="13" spans="1:29" ht="15.75" thickBot="1">
      <c r="A13" s="387"/>
      <c r="B13" s="2027">
        <v>111</v>
      </c>
      <c r="C13" s="393"/>
      <c r="D13" s="394">
        <v>100</v>
      </c>
      <c r="E13" s="428"/>
      <c r="F13" s="384">
        <f>SUMIF(59:59,E13,60:60)-SUMIF(59:59,C13,60:60)+100</f>
        <v>100</v>
      </c>
      <c r="G13" s="2109"/>
      <c r="H13" s="397">
        <f>SUMIF(59:59,G13,60:60)-SUMIF(59:59,C13,60:60)+100</f>
        <v>100</v>
      </c>
      <c r="I13" s="428"/>
      <c r="J13" s="394">
        <f>SUMIF(59:59,I13,60:60)-SUMIF(59:59,C13,60:60)+100</f>
        <v>100</v>
      </c>
      <c r="K13" s="570"/>
      <c r="L13" s="2895"/>
      <c r="M13" s="2889"/>
      <c r="N13" s="2889"/>
      <c r="O13" s="2947"/>
      <c r="P13" s="3467"/>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710">
        <f t="shared" si="5"/>
        <v>1</v>
      </c>
    </row>
    <row r="14" spans="1:29" ht="85.5">
      <c r="A14" s="399" t="s">
        <v>2139</v>
      </c>
      <c r="B14" s="65" t="s">
        <v>2289</v>
      </c>
      <c r="C14" s="210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82" t="s">
        <v>2140</v>
      </c>
      <c r="Q14" s="1484" t="str">
        <f t="shared" si="6"/>
        <v>交通便捷度</v>
      </c>
      <c r="R14" s="711" t="s">
        <v>17</v>
      </c>
      <c r="S14" s="712">
        <f t="shared" si="0"/>
        <v>100</v>
      </c>
      <c r="T14" s="711" t="s">
        <v>17</v>
      </c>
      <c r="U14" s="712">
        <f t="shared" si="1"/>
        <v>100</v>
      </c>
      <c r="V14" s="711" t="s">
        <v>17</v>
      </c>
      <c r="W14" s="712">
        <f t="shared" si="2"/>
        <v>100</v>
      </c>
      <c r="X14" s="1487"/>
      <c r="Y14" s="3482"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5"/>
      <c r="M15" s="2889"/>
      <c r="N15" s="2889"/>
      <c r="O15" s="2947"/>
      <c r="P15" s="3483"/>
      <c r="Q15" s="1484"/>
      <c r="R15" s="711"/>
      <c r="S15" s="712"/>
      <c r="T15" s="711"/>
      <c r="U15" s="712"/>
      <c r="V15" s="711"/>
      <c r="W15" s="712"/>
      <c r="X15" s="1487"/>
      <c r="Y15" s="3483"/>
      <c r="Z15" s="1488"/>
      <c r="AA15" s="1485">
        <v>1</v>
      </c>
      <c r="AB15" s="1485">
        <v>1</v>
      </c>
      <c r="AC15" s="1485">
        <v>1</v>
      </c>
    </row>
    <row r="16" spans="1:29" ht="42.75">
      <c r="A16" s="387"/>
      <c r="B16" s="410" t="s">
        <v>2268</v>
      </c>
      <c r="C16" s="203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483"/>
      <c r="Q16" s="1484" t="str">
        <f>B16</f>
        <v>公共配套设施</v>
      </c>
      <c r="R16" s="711" t="s">
        <v>17</v>
      </c>
      <c r="S16" s="712">
        <f>F16</f>
        <v>100</v>
      </c>
      <c r="T16" s="711" t="s">
        <v>17</v>
      </c>
      <c r="U16" s="712">
        <f>H16</f>
        <v>100</v>
      </c>
      <c r="V16" s="711" t="s">
        <v>17</v>
      </c>
      <c r="W16" s="712">
        <f>J16</f>
        <v>100</v>
      </c>
      <c r="X16" s="1487"/>
      <c r="Y16" s="3483"/>
      <c r="Z16" s="1488" t="str">
        <f>Q16</f>
        <v>公共配套设施</v>
      </c>
      <c r="AA16" s="1485">
        <f t="shared" si="3"/>
        <v>1</v>
      </c>
      <c r="AB16" s="1485">
        <f t="shared" si="4"/>
        <v>1</v>
      </c>
      <c r="AC16" s="1485">
        <f t="shared" si="5"/>
        <v>1</v>
      </c>
    </row>
    <row r="17" spans="1:29" ht="15">
      <c r="A17" s="387"/>
      <c r="B17" s="415"/>
      <c r="C17" s="2035"/>
      <c r="D17" s="407"/>
      <c r="E17" s="406"/>
      <c r="F17" s="408"/>
      <c r="G17" s="406"/>
      <c r="H17" s="407"/>
      <c r="I17" s="406"/>
      <c r="J17" s="407"/>
      <c r="K17" s="572"/>
      <c r="L17" s="2895"/>
      <c r="M17" s="2889"/>
      <c r="N17" s="2889"/>
      <c r="O17" s="2947"/>
      <c r="P17" s="3483"/>
      <c r="Q17" s="1484"/>
      <c r="R17" s="711"/>
      <c r="S17" s="712"/>
      <c r="T17" s="711"/>
      <c r="U17" s="712"/>
      <c r="V17" s="711"/>
      <c r="W17" s="712"/>
      <c r="X17" s="1487"/>
      <c r="Y17" s="3483"/>
      <c r="Z17" s="1488"/>
      <c r="AA17" s="1485">
        <v>1</v>
      </c>
      <c r="AB17" s="1485">
        <v>1</v>
      </c>
      <c r="AC17" s="1485">
        <v>1</v>
      </c>
    </row>
    <row r="18" spans="1:29" ht="28.5">
      <c r="A18" s="387"/>
      <c r="B18" s="1243" t="s">
        <v>2269</v>
      </c>
      <c r="C18" s="203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483"/>
      <c r="Q18" s="1484" t="str">
        <f>B18</f>
        <v>基础设施水平</v>
      </c>
      <c r="R18" s="711" t="s">
        <v>17</v>
      </c>
      <c r="S18" s="712">
        <f>F18</f>
        <v>100</v>
      </c>
      <c r="T18" s="711" t="s">
        <v>17</v>
      </c>
      <c r="U18" s="712">
        <f>H18</f>
        <v>100</v>
      </c>
      <c r="V18" s="711" t="s">
        <v>17</v>
      </c>
      <c r="W18" s="712">
        <f>J18</f>
        <v>100</v>
      </c>
      <c r="X18" s="1487"/>
      <c r="Y18" s="3483"/>
      <c r="Z18" s="1488" t="str">
        <f>Q18</f>
        <v>基础设施水平</v>
      </c>
      <c r="AA18" s="1485">
        <f t="shared" ref="AA18" si="8">D18/F18</f>
        <v>1</v>
      </c>
      <c r="AB18" s="1485">
        <f t="shared" ref="AB18" si="9">D18/H18</f>
        <v>1</v>
      </c>
      <c r="AC18" s="1485">
        <f t="shared" ref="AC18" si="10">D18/J18</f>
        <v>1</v>
      </c>
    </row>
    <row r="19" spans="1:29" ht="15">
      <c r="A19" s="387"/>
      <c r="B19" s="1243"/>
      <c r="C19" s="2035"/>
      <c r="D19" s="409"/>
      <c r="E19" s="2035"/>
      <c r="F19" s="412"/>
      <c r="G19" s="2035"/>
      <c r="H19" s="407"/>
      <c r="I19" s="406"/>
      <c r="J19" s="407"/>
      <c r="K19" s="1242"/>
      <c r="L19" s="2895"/>
      <c r="M19" s="2889"/>
      <c r="N19" s="2889"/>
      <c r="O19" s="2947"/>
      <c r="P19" s="3483"/>
      <c r="Q19" s="1484"/>
      <c r="R19" s="711"/>
      <c r="S19" s="712"/>
      <c r="T19" s="711"/>
      <c r="U19" s="712"/>
      <c r="V19" s="711"/>
      <c r="W19" s="712"/>
      <c r="X19" s="1487"/>
      <c r="Y19" s="3483"/>
      <c r="Z19" s="1488"/>
      <c r="AA19" s="1485">
        <v>1</v>
      </c>
      <c r="AB19" s="1485">
        <v>1</v>
      </c>
      <c r="AC19" s="1485">
        <v>1</v>
      </c>
    </row>
    <row r="20" spans="1:29" ht="57">
      <c r="A20" s="387"/>
      <c r="B20" s="410" t="s">
        <v>2290</v>
      </c>
      <c r="C20" s="203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483"/>
      <c r="Q20" s="1484" t="str">
        <f>B20</f>
        <v>自然及人文环境</v>
      </c>
      <c r="R20" s="711" t="s">
        <v>17</v>
      </c>
      <c r="S20" s="712">
        <f>F20</f>
        <v>100</v>
      </c>
      <c r="T20" s="711" t="s">
        <v>17</v>
      </c>
      <c r="U20" s="712">
        <f>H20</f>
        <v>100</v>
      </c>
      <c r="V20" s="711" t="s">
        <v>17</v>
      </c>
      <c r="W20" s="712">
        <f>J20</f>
        <v>100</v>
      </c>
      <c r="X20" s="1487"/>
      <c r="Y20" s="3483"/>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5"/>
      <c r="M21" s="2889"/>
      <c r="N21" s="2889"/>
      <c r="O21" s="2947"/>
      <c r="P21" s="3483"/>
      <c r="Q21" s="1484"/>
      <c r="R21" s="711"/>
      <c r="S21" s="712"/>
      <c r="T21" s="711"/>
      <c r="U21" s="712"/>
      <c r="V21" s="711"/>
      <c r="W21" s="712"/>
      <c r="X21" s="1487"/>
      <c r="Y21" s="3483"/>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483"/>
      <c r="Q22" s="1484" t="str">
        <f>B22</f>
        <v>楼层</v>
      </c>
      <c r="R22" s="711" t="s">
        <v>17</v>
      </c>
      <c r="S22" s="712">
        <f>F22</f>
        <v>100</v>
      </c>
      <c r="T22" s="711" t="s">
        <v>17</v>
      </c>
      <c r="U22" s="712">
        <f>H22</f>
        <v>100</v>
      </c>
      <c r="V22" s="711" t="s">
        <v>17</v>
      </c>
      <c r="W22" s="712">
        <f>J22</f>
        <v>100</v>
      </c>
      <c r="X22" s="1487"/>
      <c r="Y22" s="3483"/>
      <c r="Z22" s="1488" t="str">
        <f>Q22</f>
        <v>楼层</v>
      </c>
      <c r="AA22" s="1485">
        <f t="shared" si="3"/>
        <v>1</v>
      </c>
      <c r="AB22" s="1485">
        <f t="shared" si="4"/>
        <v>1</v>
      </c>
      <c r="AC22" s="1485">
        <f t="shared" si="5"/>
        <v>1</v>
      </c>
    </row>
    <row r="23" spans="1:29" ht="1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483"/>
      <c r="Q23" s="1484">
        <f>B23</f>
        <v>111</v>
      </c>
      <c r="R23" s="711" t="s">
        <v>17</v>
      </c>
      <c r="S23" s="712">
        <f>F23</f>
        <v>100</v>
      </c>
      <c r="T23" s="711" t="s">
        <v>17</v>
      </c>
      <c r="U23" s="712">
        <f>H23</f>
        <v>100</v>
      </c>
      <c r="V23" s="711" t="s">
        <v>17</v>
      </c>
      <c r="W23" s="712">
        <f>J23</f>
        <v>100</v>
      </c>
      <c r="X23" s="1487"/>
      <c r="Y23" s="3483"/>
      <c r="Z23" s="1488">
        <f>Q23</f>
        <v>111</v>
      </c>
      <c r="AA23" s="1485">
        <f t="shared" si="3"/>
        <v>1</v>
      </c>
      <c r="AB23" s="1485">
        <f t="shared" si="4"/>
        <v>1</v>
      </c>
      <c r="AC23" s="1485">
        <f t="shared" si="5"/>
        <v>1</v>
      </c>
    </row>
    <row r="24" spans="1:29" ht="1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483"/>
      <c r="Q24" s="1484">
        <f t="shared" ref="Q24:Q34" si="11">B24</f>
        <v>111</v>
      </c>
      <c r="R24" s="711" t="s">
        <v>17</v>
      </c>
      <c r="S24" s="712">
        <f>F24</f>
        <v>100</v>
      </c>
      <c r="T24" s="711" t="s">
        <v>17</v>
      </c>
      <c r="U24" s="712">
        <f>H24</f>
        <v>100</v>
      </c>
      <c r="V24" s="711" t="s">
        <v>17</v>
      </c>
      <c r="W24" s="712">
        <f>J24</f>
        <v>100</v>
      </c>
      <c r="X24" s="1487"/>
      <c r="Y24" s="3483"/>
      <c r="Z24" s="1488">
        <f>Q24</f>
        <v>111</v>
      </c>
      <c r="AA24" s="1485">
        <f t="shared" si="3"/>
        <v>1</v>
      </c>
      <c r="AB24" s="1485">
        <f t="shared" si="4"/>
        <v>1</v>
      </c>
      <c r="AC24" s="1485">
        <f t="shared" si="5"/>
        <v>1</v>
      </c>
    </row>
    <row r="25" spans="1:29" s="113" customFormat="1" ht="15.75" thickBot="1">
      <c r="A25" s="390"/>
      <c r="B25" s="2027">
        <v>111</v>
      </c>
      <c r="C25" s="2110"/>
      <c r="D25" s="620">
        <v>100</v>
      </c>
      <c r="E25" s="2110"/>
      <c r="F25" s="621">
        <f>SUMIF(75:75,E25,76:76)-SUMIF(75:75,C25,76:76)+100</f>
        <v>100</v>
      </c>
      <c r="G25" s="2110"/>
      <c r="H25" s="620">
        <f>SUMIF(75:75,G25,76:76)-SUMIF(75:75,C25,76:76)+100</f>
        <v>100</v>
      </c>
      <c r="I25" s="2110"/>
      <c r="J25" s="620">
        <f>SUMIF(75:75,I25,76:76)-SUMIF(75:75,C25,76:76)+100</f>
        <v>100</v>
      </c>
      <c r="K25" s="570"/>
      <c r="L25" s="2890"/>
      <c r="M25" s="2891"/>
      <c r="N25" s="2891"/>
      <c r="O25" s="2945"/>
      <c r="P25" s="3483"/>
      <c r="Q25" s="1475">
        <f t="shared" si="11"/>
        <v>111</v>
      </c>
      <c r="R25" s="707" t="s">
        <v>17</v>
      </c>
      <c r="S25" s="708">
        <f>F25</f>
        <v>100</v>
      </c>
      <c r="T25" s="707" t="s">
        <v>17</v>
      </c>
      <c r="U25" s="708">
        <f>H25</f>
        <v>100</v>
      </c>
      <c r="V25" s="707" t="s">
        <v>17</v>
      </c>
      <c r="W25" s="708">
        <f>J25</f>
        <v>100</v>
      </c>
      <c r="X25" s="709"/>
      <c r="Y25" s="3483"/>
      <c r="Z25" s="55">
        <f>Q25</f>
        <v>111</v>
      </c>
      <c r="AA25" s="1485">
        <f>D25/F25</f>
        <v>1</v>
      </c>
      <c r="AB25" s="1485">
        <f>D25/H25</f>
        <v>1</v>
      </c>
      <c r="AC25" s="1485">
        <f>D25/J25</f>
        <v>1</v>
      </c>
    </row>
    <row r="26" spans="1:29" ht="15">
      <c r="A26" s="425" t="s">
        <v>2143</v>
      </c>
      <c r="B26" s="67" t="s">
        <v>2294</v>
      </c>
      <c r="C26" s="2101"/>
      <c r="D26" s="426">
        <v>100</v>
      </c>
      <c r="E26" s="2101"/>
      <c r="F26" s="622">
        <f>SUMIF(77:77,E26,78:78)-SUMIF(77:77,C26,78:78)+100</f>
        <v>100</v>
      </c>
      <c r="G26" s="2101"/>
      <c r="H26" s="426">
        <f>SUMIF(77:77,G26,78:78)-SUMIF(77:77,C26,78:78)+100</f>
        <v>100</v>
      </c>
      <c r="I26" s="2101"/>
      <c r="J26" s="426">
        <f>SUMIF(77:77,I26,78:78)-SUMIF(77:77,C26,78:78)+100</f>
        <v>100</v>
      </c>
      <c r="K26" s="569"/>
      <c r="L26" s="2895"/>
      <c r="M26" s="2889"/>
      <c r="N26" s="2889"/>
      <c r="O26" s="2947"/>
      <c r="P26" s="3484" t="s">
        <v>2145</v>
      </c>
      <c r="Q26" s="1484" t="str">
        <f t="shared" si="11"/>
        <v>公共部分装修</v>
      </c>
      <c r="R26" s="711" t="s">
        <v>17</v>
      </c>
      <c r="S26" s="712">
        <f t="shared" ref="S26:S34" si="12">F26</f>
        <v>100</v>
      </c>
      <c r="T26" s="711" t="s">
        <v>17</v>
      </c>
      <c r="U26" s="712">
        <f t="shared" ref="U26:U34" si="13">H26</f>
        <v>100</v>
      </c>
      <c r="V26" s="711" t="s">
        <v>17</v>
      </c>
      <c r="W26" s="712">
        <f t="shared" ref="W26:W34" si="14">J26</f>
        <v>100</v>
      </c>
      <c r="X26" s="1487"/>
      <c r="Y26" s="3485"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485"/>
      <c r="Q27" s="713" t="str">
        <f t="shared" si="11"/>
        <v>成新率</v>
      </c>
      <c r="R27" s="714" t="s">
        <v>17</v>
      </c>
      <c r="S27" s="715" t="e">
        <f t="shared" si="12"/>
        <v>#N/A</v>
      </c>
      <c r="T27" s="714" t="s">
        <v>17</v>
      </c>
      <c r="U27" s="715" t="e">
        <f t="shared" si="13"/>
        <v>#N/A</v>
      </c>
      <c r="V27" s="714" t="s">
        <v>17</v>
      </c>
      <c r="W27" s="715" t="e">
        <f t="shared" si="14"/>
        <v>#N/A</v>
      </c>
      <c r="X27" s="716"/>
      <c r="Y27" s="3485"/>
      <c r="Z27" s="717"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485"/>
      <c r="Q28" s="1484" t="str">
        <f t="shared" si="11"/>
        <v>物业等级</v>
      </c>
      <c r="R28" s="711" t="s">
        <v>17</v>
      </c>
      <c r="S28" s="712">
        <f t="shared" si="12"/>
        <v>100</v>
      </c>
      <c r="T28" s="711" t="s">
        <v>17</v>
      </c>
      <c r="U28" s="712">
        <f t="shared" si="13"/>
        <v>100</v>
      </c>
      <c r="V28" s="711" t="s">
        <v>17</v>
      </c>
      <c r="W28" s="712">
        <f t="shared" si="14"/>
        <v>100</v>
      </c>
      <c r="X28" s="1487"/>
      <c r="Y28" s="3485"/>
      <c r="Z28" s="1488" t="str">
        <f t="shared" si="15"/>
        <v>物业等级</v>
      </c>
      <c r="AA28" s="1485">
        <f t="shared" si="3"/>
        <v>1</v>
      </c>
      <c r="AB28" s="1485">
        <f t="shared" si="4"/>
        <v>1</v>
      </c>
      <c r="AC28" s="1485">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5"/>
      <c r="M29" s="2889"/>
      <c r="N29" s="2889"/>
      <c r="O29" s="2947"/>
      <c r="P29" s="3485"/>
      <c r="Q29" s="1484" t="str">
        <f t="shared" si="11"/>
        <v>有无电梯</v>
      </c>
      <c r="R29" s="711" t="s">
        <v>17</v>
      </c>
      <c r="S29" s="712">
        <f t="shared" si="12"/>
        <v>100</v>
      </c>
      <c r="T29" s="711" t="s">
        <v>17</v>
      </c>
      <c r="U29" s="712">
        <f t="shared" si="13"/>
        <v>100</v>
      </c>
      <c r="V29" s="711" t="s">
        <v>17</v>
      </c>
      <c r="W29" s="712">
        <f t="shared" si="14"/>
        <v>100</v>
      </c>
      <c r="X29" s="1487"/>
      <c r="Y29" s="3485"/>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485"/>
      <c r="Q30" s="1484" t="str">
        <f t="shared" si="11"/>
        <v>建筑面积</v>
      </c>
      <c r="R30" s="711" t="s">
        <v>17</v>
      </c>
      <c r="S30" s="712" t="e">
        <f t="shared" si="12"/>
        <v>#N/A</v>
      </c>
      <c r="T30" s="711" t="s">
        <v>17</v>
      </c>
      <c r="U30" s="712" t="e">
        <f t="shared" si="13"/>
        <v>#N/A</v>
      </c>
      <c r="V30" s="711" t="s">
        <v>17</v>
      </c>
      <c r="W30" s="712" t="e">
        <f t="shared" si="14"/>
        <v>#N/A</v>
      </c>
      <c r="X30" s="1487"/>
      <c r="Y30" s="3485"/>
      <c r="Z30" s="1488" t="str">
        <f t="shared" si="15"/>
        <v>建筑面积</v>
      </c>
      <c r="AA30" s="1485" t="e">
        <f t="shared" si="3"/>
        <v>#N/A</v>
      </c>
      <c r="AB30" s="1485" t="e">
        <f t="shared" si="4"/>
        <v>#N/A</v>
      </c>
      <c r="AC30" s="1485"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0"/>
      <c r="M31" s="2891"/>
      <c r="N31" s="2891"/>
      <c r="O31" s="2945"/>
      <c r="P31" s="3485"/>
      <c r="Q31" s="1475" t="str">
        <f t="shared" si="11"/>
        <v>是否封闭</v>
      </c>
      <c r="R31" s="707" t="s">
        <v>17</v>
      </c>
      <c r="S31" s="708">
        <f t="shared" si="12"/>
        <v>100</v>
      </c>
      <c r="T31" s="707" t="s">
        <v>17</v>
      </c>
      <c r="U31" s="708">
        <f t="shared" si="13"/>
        <v>100</v>
      </c>
      <c r="V31" s="707" t="s">
        <v>17</v>
      </c>
      <c r="W31" s="708">
        <f t="shared" si="14"/>
        <v>100</v>
      </c>
      <c r="X31" s="709"/>
      <c r="Y31" s="3485"/>
      <c r="Z31" s="55" t="str">
        <f t="shared" si="15"/>
        <v>是否封闭</v>
      </c>
      <c r="AA31" s="710">
        <f t="shared" si="3"/>
        <v>1</v>
      </c>
      <c r="AB31" s="710">
        <f t="shared" si="4"/>
        <v>1</v>
      </c>
      <c r="AC31" s="710">
        <f t="shared" si="5"/>
        <v>1</v>
      </c>
    </row>
    <row r="32" spans="1:29" ht="1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485" t="s">
        <v>2145</v>
      </c>
      <c r="Q32" s="1484">
        <f t="shared" si="11"/>
        <v>111</v>
      </c>
      <c r="R32" s="711" t="s">
        <v>17</v>
      </c>
      <c r="S32" s="712">
        <f t="shared" si="12"/>
        <v>100</v>
      </c>
      <c r="T32" s="711" t="s">
        <v>17</v>
      </c>
      <c r="U32" s="712">
        <f t="shared" si="13"/>
        <v>100</v>
      </c>
      <c r="V32" s="711" t="s">
        <v>17</v>
      </c>
      <c r="W32" s="712">
        <f t="shared" si="14"/>
        <v>100</v>
      </c>
      <c r="X32" s="1487"/>
      <c r="Y32" s="3485" t="s">
        <v>2145</v>
      </c>
      <c r="Z32" s="1488">
        <f t="shared" si="15"/>
        <v>111</v>
      </c>
      <c r="AA32" s="1485">
        <f t="shared" si="3"/>
        <v>1</v>
      </c>
      <c r="AB32" s="1485">
        <f t="shared" si="4"/>
        <v>1</v>
      </c>
      <c r="AC32" s="1485">
        <f t="shared" si="5"/>
        <v>1</v>
      </c>
    </row>
    <row r="33" spans="1:30" ht="1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485"/>
      <c r="Q33" s="1484">
        <f t="shared" si="11"/>
        <v>111</v>
      </c>
      <c r="R33" s="711" t="s">
        <v>17</v>
      </c>
      <c r="S33" s="712">
        <f t="shared" si="12"/>
        <v>100</v>
      </c>
      <c r="T33" s="711" t="s">
        <v>17</v>
      </c>
      <c r="U33" s="712">
        <f t="shared" si="13"/>
        <v>100</v>
      </c>
      <c r="V33" s="711" t="s">
        <v>17</v>
      </c>
      <c r="W33" s="712">
        <f t="shared" si="14"/>
        <v>100</v>
      </c>
      <c r="X33" s="1487"/>
      <c r="Y33" s="3485"/>
      <c r="Z33" s="1488">
        <f t="shared" si="15"/>
        <v>111</v>
      </c>
      <c r="AA33" s="1485">
        <f t="shared" si="3"/>
        <v>1</v>
      </c>
      <c r="AB33" s="1485">
        <f t="shared" si="4"/>
        <v>1</v>
      </c>
      <c r="AC33" s="1485">
        <f t="shared" si="5"/>
        <v>1</v>
      </c>
    </row>
    <row r="34" spans="1:30" ht="15.75" thickBot="1">
      <c r="A34" s="437"/>
      <c r="B34" s="2029">
        <v>111</v>
      </c>
      <c r="C34" s="396"/>
      <c r="D34" s="397">
        <v>100</v>
      </c>
      <c r="E34" s="2109"/>
      <c r="F34" s="398">
        <f>SUMIF(95:95,E34,96:96)-SUMIF(95:95,C34,96:96)+100</f>
        <v>100</v>
      </c>
      <c r="G34" s="2109"/>
      <c r="H34" s="397">
        <f>SUMIF(95:95,G34,96:96)-SUMIF(95:95,C34,96:96)+100</f>
        <v>100</v>
      </c>
      <c r="I34" s="2109"/>
      <c r="J34" s="397">
        <f>SUMIF(95:95,I34,96:96)-SUMIF(95:95,C34,96:96)+100</f>
        <v>100</v>
      </c>
      <c r="K34" s="570"/>
      <c r="L34" s="2895"/>
      <c r="M34" s="2889"/>
      <c r="N34" s="2889"/>
      <c r="O34" s="2947"/>
      <c r="P34" s="3485"/>
      <c r="Q34" s="1484">
        <f t="shared" si="11"/>
        <v>111</v>
      </c>
      <c r="R34" s="711" t="s">
        <v>17</v>
      </c>
      <c r="S34" s="712">
        <f t="shared" si="12"/>
        <v>100</v>
      </c>
      <c r="T34" s="711" t="s">
        <v>17</v>
      </c>
      <c r="U34" s="712">
        <f t="shared" si="13"/>
        <v>100</v>
      </c>
      <c r="V34" s="711" t="s">
        <v>17</v>
      </c>
      <c r="W34" s="712">
        <f t="shared" si="14"/>
        <v>100</v>
      </c>
      <c r="X34" s="1487"/>
      <c r="Y34" s="3485"/>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0"/>
      <c r="L35" s="2897"/>
      <c r="M35" s="2898"/>
      <c r="N35" s="2889"/>
      <c r="O35" s="2898"/>
      <c r="P35" s="3467" t="str">
        <f>A35</f>
        <v>成交单价（元/平方米）</v>
      </c>
      <c r="Q35" s="3467"/>
      <c r="R35" s="3504">
        <f>E35</f>
        <v>0</v>
      </c>
      <c r="S35" s="3504"/>
      <c r="T35" s="3504">
        <f>G35</f>
        <v>0</v>
      </c>
      <c r="U35" s="3504"/>
      <c r="V35" s="3504">
        <f>I35</f>
        <v>0</v>
      </c>
      <c r="W35" s="3504"/>
      <c r="X35" s="696"/>
      <c r="Y35" s="718"/>
      <c r="Z35" s="696"/>
      <c r="AA35" s="696"/>
      <c r="AB35" s="696"/>
      <c r="AC35" s="696"/>
    </row>
    <row r="36" spans="1:30" ht="15.75" thickBot="1">
      <c r="A36" s="445" t="s">
        <v>2249</v>
      </c>
      <c r="B36" s="446"/>
      <c r="C36" s="1272" t="e">
        <f>R37</f>
        <v>#DIV/0!</v>
      </c>
      <c r="D36" s="2486" t="s">
        <v>2637</v>
      </c>
      <c r="E36" s="1273" t="e">
        <f>R36</f>
        <v>#DIV/0!</v>
      </c>
      <c r="F36" s="2487"/>
      <c r="G36" s="1272" t="e">
        <f>T36</f>
        <v>#DIV/0!</v>
      </c>
      <c r="H36" s="2487"/>
      <c r="I36" s="1273" t="e">
        <f>V36</f>
        <v>#DIV/0!</v>
      </c>
      <c r="J36" s="2487"/>
      <c r="K36" s="2489">
        <f>F36+H36+J36</f>
        <v>0</v>
      </c>
      <c r="L36" s="2897"/>
      <c r="M36" s="2898"/>
      <c r="N36" s="2889"/>
      <c r="O36" s="2898"/>
      <c r="P36" s="3467" t="str">
        <f>A36</f>
        <v>比较价值（元/平方米）</v>
      </c>
      <c r="Q36" s="3467"/>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696"/>
      <c r="Y36" s="696"/>
      <c r="Z36" s="696"/>
      <c r="AA36" s="696"/>
      <c r="AB36" s="696"/>
      <c r="AC36" s="696"/>
    </row>
    <row r="37" spans="1:30" ht="15.75" thickBot="1">
      <c r="A37" s="449" t="s">
        <v>2250</v>
      </c>
      <c r="B37" s="450"/>
      <c r="C37" s="1275" t="e">
        <f>R37</f>
        <v>#DIV/0!</v>
      </c>
      <c r="D37" s="1275"/>
      <c r="E37" s="1275"/>
      <c r="F37" s="1275"/>
      <c r="G37" s="1275"/>
      <c r="H37" s="1275"/>
      <c r="I37" s="1275"/>
      <c r="J37" s="1275"/>
      <c r="K37" s="721"/>
      <c r="L37" s="2897"/>
      <c r="M37" s="2898"/>
      <c r="N37" s="2898"/>
      <c r="O37" s="2898"/>
      <c r="P37" s="3487" t="str">
        <f>A37</f>
        <v>估价对象XX用房的比较价值（楼面单价，元/平方米）</v>
      </c>
      <c r="Q37" s="3488"/>
      <c r="R37" s="3553" t="e">
        <f>IF(F1="售价",ROUND(IF(D36="简单平均",AVERAGE(R36:W36),R36*F36+T36*H36+V36*J36),0),ROUND(IF(D36="简单平均",AVERAGE(R36:V36),R36*F36+T36*H36+V36*J36),1))</f>
        <v>#DIV/0!</v>
      </c>
      <c r="S37" s="3553"/>
      <c r="T37" s="3553"/>
      <c r="U37" s="3553"/>
      <c r="V37" s="3553"/>
      <c r="W37" s="3553"/>
      <c r="X37" s="696"/>
      <c r="Y37" s="696"/>
      <c r="Z37" s="696"/>
      <c r="AA37" s="696"/>
      <c r="AB37" s="696"/>
      <c r="AC37" s="696"/>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0" t="s">
        <v>2254</v>
      </c>
      <c r="B45" s="696"/>
      <c r="C45" s="701"/>
      <c r="D45" s="701"/>
      <c r="E45" s="701"/>
      <c r="F45" s="702"/>
      <c r="G45" s="702"/>
      <c r="H45" s="701"/>
      <c r="I45" s="701"/>
      <c r="J45" s="701"/>
      <c r="K45" s="703"/>
      <c r="L45" s="704"/>
      <c r="M45" s="701"/>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2128</v>
      </c>
      <c r="B46" s="463"/>
      <c r="C46" s="1296" t="str">
        <f>YEAR(C7)&amp;"-"&amp;MONTH(C7)</f>
        <v>2022-5</v>
      </c>
      <c r="D46" s="1297">
        <f>EDATE(C46,-1)</f>
        <v>44652</v>
      </c>
      <c r="E46" s="1297">
        <f t="shared" ref="E46:O46" si="16">EDATE(D46,-1)</f>
        <v>44621</v>
      </c>
      <c r="F46" s="1297">
        <f t="shared" si="16"/>
        <v>44593</v>
      </c>
      <c r="G46" s="1297">
        <f t="shared" si="16"/>
        <v>44562</v>
      </c>
      <c r="H46" s="1297">
        <f t="shared" si="16"/>
        <v>44531</v>
      </c>
      <c r="I46" s="1297">
        <f t="shared" si="16"/>
        <v>44501</v>
      </c>
      <c r="J46" s="1297">
        <f t="shared" si="16"/>
        <v>44470</v>
      </c>
      <c r="K46" s="1297">
        <f t="shared" si="16"/>
        <v>44440</v>
      </c>
      <c r="L46" s="1297">
        <f t="shared" si="16"/>
        <v>44409</v>
      </c>
      <c r="M46" s="1297">
        <f t="shared" si="16"/>
        <v>44378</v>
      </c>
      <c r="N46" s="1297">
        <f t="shared" si="16"/>
        <v>44348</v>
      </c>
      <c r="O46" s="1297">
        <f t="shared" si="16"/>
        <v>44317</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5">
        <v>100</v>
      </c>
      <c r="D47" s="469"/>
      <c r="E47" s="469"/>
      <c r="F47" s="469"/>
      <c r="G47" s="469"/>
      <c r="H47" s="469"/>
      <c r="I47" s="469"/>
      <c r="J47" s="469"/>
      <c r="K47" s="469"/>
      <c r="L47" s="469"/>
      <c r="M47" s="470"/>
      <c r="N47" s="469"/>
      <c r="O47" s="471"/>
      <c r="P47" s="2912"/>
      <c r="Q47" s="2833"/>
      <c r="R47" s="2833"/>
      <c r="S47" s="2833"/>
      <c r="T47" s="2833"/>
      <c r="U47" s="2833"/>
      <c r="V47" s="2833"/>
      <c r="W47" s="2833"/>
      <c r="X47" s="2833"/>
      <c r="Y47" s="2833"/>
      <c r="Z47" s="2833"/>
      <c r="AA47" s="2833"/>
      <c r="AB47" s="2833"/>
      <c r="AC47" s="2833"/>
      <c r="AD47" s="2833"/>
    </row>
    <row r="48" spans="1:30" s="113" customFormat="1" ht="15.75" thickBot="1">
      <c r="A48" s="472" t="s">
        <v>2165</v>
      </c>
      <c r="B48" s="473"/>
      <c r="C48" s="474"/>
      <c r="D48" s="475"/>
      <c r="E48" s="475"/>
      <c r="F48" s="475"/>
      <c r="G48" s="475"/>
      <c r="H48" s="475"/>
      <c r="I48" s="475"/>
      <c r="J48" s="475"/>
      <c r="K48" s="475"/>
      <c r="L48" s="475"/>
      <c r="M48" s="476"/>
      <c r="N48" s="475"/>
      <c r="O48" s="477"/>
      <c r="P48" s="2912"/>
      <c r="Q48" s="2912"/>
      <c r="R48" s="2833"/>
      <c r="S48" s="2833"/>
      <c r="T48" s="2833"/>
      <c r="U48" s="2833"/>
      <c r="V48" s="2833"/>
      <c r="W48" s="2833"/>
      <c r="X48" s="2833"/>
      <c r="Y48" s="2833"/>
      <c r="Z48" s="2833"/>
      <c r="AA48" s="2833"/>
      <c r="AB48" s="2833"/>
      <c r="AC48" s="2833"/>
      <c r="AD48" s="2833"/>
    </row>
    <row r="49" spans="1:30" s="113" customFormat="1" ht="15">
      <c r="A49" s="478" t="s">
        <v>2130</v>
      </c>
      <c r="B49" s="467"/>
      <c r="C49" s="479" t="s">
        <v>2232</v>
      </c>
      <c r="D49" s="480"/>
      <c r="E49" s="480"/>
      <c r="F49" s="480"/>
      <c r="G49" s="480"/>
      <c r="H49" s="480"/>
      <c r="I49" s="480"/>
      <c r="J49" s="480"/>
      <c r="K49" s="480"/>
      <c r="L49" s="481"/>
      <c r="M49" s="482"/>
      <c r="N49" s="2925"/>
      <c r="O49" s="2925"/>
      <c r="P49" s="2950"/>
      <c r="Q49" s="2912"/>
      <c r="R49" s="2833"/>
      <c r="S49" s="2833"/>
      <c r="T49" s="2833"/>
      <c r="U49" s="2833"/>
      <c r="V49" s="2833"/>
      <c r="W49" s="2833"/>
      <c r="X49" s="2833"/>
      <c r="Y49" s="2833"/>
      <c r="Z49" s="2833"/>
      <c r="AA49" s="2833"/>
      <c r="AB49" s="2833"/>
      <c r="AC49" s="2833"/>
      <c r="AD49" s="2833"/>
    </row>
    <row r="50" spans="1:30" s="113" customFormat="1" ht="15.75" thickBot="1">
      <c r="A50" s="478"/>
      <c r="B50" s="467"/>
      <c r="C50" s="594">
        <v>100</v>
      </c>
      <c r="D50" s="469"/>
      <c r="E50" s="469"/>
      <c r="F50" s="469"/>
      <c r="G50" s="469"/>
      <c r="H50" s="469"/>
      <c r="I50" s="469"/>
      <c r="J50" s="469"/>
      <c r="K50" s="469"/>
      <c r="L50" s="469"/>
      <c r="M50" s="471"/>
      <c r="N50" s="2925"/>
      <c r="O50" s="2925"/>
      <c r="P50" s="2912"/>
      <c r="Q50" s="2912"/>
      <c r="R50" s="2833"/>
      <c r="S50" s="2833"/>
      <c r="T50" s="2833"/>
      <c r="U50" s="2833"/>
      <c r="V50" s="2833"/>
      <c r="W50" s="2833"/>
      <c r="X50" s="2833"/>
      <c r="Y50" s="2833"/>
      <c r="Z50" s="2833"/>
      <c r="AA50" s="2833"/>
      <c r="AB50" s="2833"/>
      <c r="AC50" s="2833"/>
      <c r="AD50" s="2833"/>
    </row>
    <row r="51" spans="1:30">
      <c r="A51" s="484" t="s">
        <v>2168</v>
      </c>
      <c r="B51" s="485" t="s">
        <v>2134</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5">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2320</v>
      </c>
      <c r="C63" s="535" t="s">
        <v>2177</v>
      </c>
      <c r="D63" s="535" t="s">
        <v>2178</v>
      </c>
      <c r="E63" s="535" t="s">
        <v>2179</v>
      </c>
      <c r="F63" s="535" t="s">
        <v>2180</v>
      </c>
      <c r="G63" s="535" t="s">
        <v>2181</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2269</v>
      </c>
      <c r="C65" s="615" t="s">
        <v>2255</v>
      </c>
      <c r="D65" s="615" t="s">
        <v>2256</v>
      </c>
      <c r="E65" s="615" t="s">
        <v>2257</v>
      </c>
      <c r="F65" s="615" t="s">
        <v>2258</v>
      </c>
      <c r="G65" s="615" t="s">
        <v>2259</v>
      </c>
      <c r="H65" s="496"/>
      <c r="I65" s="496"/>
      <c r="J65" s="496"/>
      <c r="K65" s="496"/>
      <c r="L65" s="496"/>
      <c r="M65" s="1241"/>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2189</v>
      </c>
      <c r="C67" s="535" t="s">
        <v>2177</v>
      </c>
      <c r="D67" s="535" t="s">
        <v>2178</v>
      </c>
      <c r="E67" s="535" t="s">
        <v>2179</v>
      </c>
      <c r="F67" s="535" t="s">
        <v>2180</v>
      </c>
      <c r="G67" s="535" t="s">
        <v>2181</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2309</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3"/>
      <c r="S71" s="2833"/>
      <c r="T71" s="2833"/>
      <c r="U71" s="2833"/>
      <c r="V71" s="2833"/>
      <c r="W71" s="2833"/>
      <c r="X71" s="2833"/>
      <c r="Y71" s="2833"/>
      <c r="Z71" s="2833"/>
      <c r="AA71" s="2833"/>
      <c r="AB71" s="2833"/>
      <c r="AC71" s="2833"/>
      <c r="AD71" s="2833"/>
    </row>
    <row r="72" spans="1:30" s="113" customFormat="1" ht="15.75" thickBot="1">
      <c r="A72" s="536"/>
      <c r="B72" s="500"/>
      <c r="C72" s="517"/>
      <c r="D72" s="493"/>
      <c r="E72" s="493"/>
      <c r="F72" s="493"/>
      <c r="G72" s="493"/>
      <c r="H72" s="493"/>
      <c r="I72" s="493"/>
      <c r="J72" s="493"/>
      <c r="K72" s="493"/>
      <c r="L72" s="493"/>
      <c r="M72" s="494"/>
      <c r="N72" s="2927"/>
      <c r="O72" s="2927"/>
      <c r="P72" s="2951"/>
      <c r="Q72" s="2912"/>
      <c r="R72" s="2833"/>
      <c r="S72" s="2833"/>
      <c r="T72" s="2833"/>
      <c r="U72" s="2833"/>
      <c r="V72" s="2833"/>
      <c r="W72" s="2833"/>
      <c r="X72" s="2833"/>
      <c r="Y72" s="2833"/>
      <c r="Z72" s="2833"/>
      <c r="AA72" s="2833"/>
      <c r="AB72" s="2833"/>
      <c r="AC72" s="2833"/>
      <c r="AD72" s="2833"/>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3"/>
      <c r="S73" s="2833"/>
      <c r="T73" s="2833"/>
      <c r="U73" s="2833"/>
      <c r="V73" s="2833"/>
      <c r="W73" s="2833"/>
      <c r="X73" s="2833"/>
      <c r="Y73" s="2833"/>
      <c r="Z73" s="2833"/>
      <c r="AA73" s="2833"/>
      <c r="AB73" s="2833"/>
      <c r="AC73" s="2833"/>
      <c r="AD73" s="2833"/>
    </row>
    <row r="74" spans="1:30" s="113" customFormat="1" ht="15.75" thickBot="1">
      <c r="A74" s="536"/>
      <c r="B74" s="500"/>
      <c r="C74" s="517"/>
      <c r="D74" s="493"/>
      <c r="E74" s="493"/>
      <c r="F74" s="493"/>
      <c r="G74" s="493"/>
      <c r="H74" s="493"/>
      <c r="I74" s="493"/>
      <c r="J74" s="493"/>
      <c r="K74" s="493"/>
      <c r="L74" s="493"/>
      <c r="M74" s="494"/>
      <c r="N74" s="2927"/>
      <c r="O74" s="2927"/>
      <c r="P74" s="2951"/>
      <c r="Q74" s="2912"/>
      <c r="R74" s="2833"/>
      <c r="S74" s="2833"/>
      <c r="T74" s="2833"/>
      <c r="U74" s="2833"/>
      <c r="V74" s="2833"/>
      <c r="W74" s="2833"/>
      <c r="X74" s="2833"/>
      <c r="Y74" s="2833"/>
      <c r="Z74" s="2833"/>
      <c r="AA74" s="2833"/>
      <c r="AB74" s="2833"/>
      <c r="AC74" s="2833"/>
      <c r="AD74" s="2833"/>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2143</v>
      </c>
      <c r="B77" s="485" t="s">
        <v>2196</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5"/>
      <c r="J80" s="615"/>
      <c r="K80" s="623"/>
      <c r="L80" s="624"/>
      <c r="M80" s="625"/>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2313</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2321</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2323</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1">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5"/>
      <c r="B98" s="1045"/>
      <c r="C98" s="1045"/>
      <c r="D98" s="1045"/>
      <c r="E98" s="1045"/>
      <c r="F98" s="1045"/>
      <c r="G98" s="1045"/>
      <c r="H98" s="1045"/>
      <c r="I98" s="1045"/>
      <c r="J98" s="1045"/>
      <c r="K98" s="1046"/>
      <c r="L98" s="1047"/>
      <c r="M98" s="1045"/>
      <c r="N98" s="2898"/>
      <c r="O98" s="2898"/>
      <c r="P98" s="2898"/>
      <c r="Q98" s="2898"/>
      <c r="R98" s="2898"/>
      <c r="S98" s="2898"/>
      <c r="T98" s="2898"/>
      <c r="U98" s="2898"/>
      <c r="V98" s="2898"/>
      <c r="W98" s="2898"/>
      <c r="X98" s="2898"/>
      <c r="Y98" s="2898"/>
      <c r="Z98" s="2898"/>
      <c r="AA98" s="2898"/>
      <c r="AB98" s="2898"/>
      <c r="AC98" s="2898"/>
      <c r="AD98" s="2898"/>
    </row>
    <row r="99" spans="1:30">
      <c r="A99" s="1045"/>
      <c r="B99" s="1045"/>
      <c r="C99" s="1045"/>
      <c r="D99" s="1045"/>
      <c r="E99" s="1045"/>
      <c r="F99" s="1045"/>
      <c r="G99" s="1045"/>
      <c r="H99" s="1045"/>
      <c r="I99" s="1045"/>
      <c r="J99" s="1045"/>
      <c r="K99" s="1046"/>
      <c r="L99" s="1047"/>
      <c r="M99" s="1045"/>
      <c r="N99" s="2898"/>
      <c r="O99" s="2898"/>
      <c r="P99" s="2898"/>
      <c r="Q99" s="2898"/>
      <c r="R99" s="2898"/>
      <c r="S99" s="2898"/>
      <c r="T99" s="2898"/>
      <c r="U99" s="2898"/>
      <c r="V99" s="2898"/>
      <c r="W99" s="2898"/>
      <c r="X99" s="2898"/>
      <c r="Y99" s="2898"/>
      <c r="Z99" s="2898"/>
      <c r="AA99" s="2898"/>
      <c r="AB99" s="2898"/>
      <c r="AC99" s="2898"/>
      <c r="AD99" s="2898"/>
    </row>
    <row r="100" spans="1:30">
      <c r="A100" s="1045"/>
      <c r="B100" s="1045"/>
      <c r="C100" s="1045"/>
      <c r="D100" s="1045"/>
      <c r="E100" s="1045"/>
      <c r="F100" s="1045"/>
      <c r="G100" s="1045"/>
      <c r="H100" s="1045"/>
      <c r="I100" s="1045"/>
      <c r="J100" s="1045"/>
      <c r="K100" s="1046"/>
      <c r="L100" s="1047"/>
      <c r="M100" s="1045"/>
      <c r="N100" s="2898"/>
      <c r="O100" s="2898"/>
      <c r="P100" s="2898"/>
      <c r="Q100" s="2898"/>
      <c r="R100" s="2898"/>
      <c r="S100" s="2898"/>
      <c r="T100" s="2898"/>
      <c r="U100" s="2898"/>
      <c r="V100" s="2898"/>
      <c r="W100" s="2898"/>
      <c r="X100" s="2898"/>
      <c r="Y100" s="2898"/>
      <c r="Z100" s="2898"/>
      <c r="AA100" s="2898"/>
      <c r="AB100" s="2898"/>
      <c r="AC100" s="2898"/>
      <c r="AD100" s="2898"/>
    </row>
    <row r="101" spans="1:30">
      <c r="A101" s="1045"/>
      <c r="B101" s="1045"/>
      <c r="C101" s="1045"/>
      <c r="D101" s="1045"/>
      <c r="E101" s="1045"/>
      <c r="F101" s="1045"/>
      <c r="G101" s="1045"/>
      <c r="H101" s="1045"/>
      <c r="I101" s="1045"/>
      <c r="J101" s="1045"/>
      <c r="K101" s="1046"/>
      <c r="L101" s="1047"/>
      <c r="M101" s="1045"/>
      <c r="N101" s="2898"/>
      <c r="O101" s="2898"/>
      <c r="P101" s="2898"/>
      <c r="Q101" s="2898"/>
      <c r="R101" s="2898"/>
      <c r="S101" s="2898"/>
      <c r="T101" s="2898"/>
      <c r="U101" s="2898"/>
      <c r="V101" s="2898"/>
      <c r="W101" s="2898"/>
      <c r="X101" s="2898"/>
      <c r="Y101" s="2898"/>
      <c r="Z101" s="2898"/>
      <c r="AA101" s="2898"/>
      <c r="AB101" s="2898"/>
      <c r="AC101" s="2898"/>
      <c r="AD101" s="2898"/>
    </row>
    <row r="102" spans="1:30">
      <c r="A102" s="1045"/>
      <c r="B102" s="1045"/>
      <c r="C102" s="1045"/>
      <c r="D102" s="1045"/>
      <c r="E102" s="1045"/>
      <c r="F102" s="1045"/>
      <c r="G102" s="1045"/>
      <c r="H102" s="1045"/>
      <c r="I102" s="1045"/>
      <c r="J102" s="1045"/>
      <c r="K102" s="1046"/>
      <c r="L102" s="1047"/>
      <c r="M102" s="1045"/>
      <c r="N102" s="2898"/>
      <c r="O102" s="2898"/>
      <c r="P102" s="2898"/>
      <c r="Q102" s="2898"/>
      <c r="R102" s="2898"/>
      <c r="S102" s="2898"/>
      <c r="T102" s="2898"/>
      <c r="U102" s="2898"/>
      <c r="V102" s="2898"/>
      <c r="W102" s="2898"/>
      <c r="X102" s="2898"/>
      <c r="Y102" s="2898"/>
      <c r="Z102" s="2898"/>
      <c r="AA102" s="2898"/>
      <c r="AB102" s="2898"/>
      <c r="AC102" s="2898"/>
      <c r="AD102" s="2898"/>
    </row>
    <row r="103" spans="1:30">
      <c r="A103" s="1045"/>
      <c r="B103" s="1045"/>
      <c r="C103" s="1045"/>
      <c r="D103" s="1045"/>
      <c r="E103" s="1045"/>
      <c r="F103" s="1045"/>
      <c r="G103" s="1045"/>
      <c r="H103" s="1045"/>
      <c r="I103" s="1045"/>
      <c r="J103" s="1045"/>
      <c r="K103" s="1046"/>
      <c r="L103" s="1047"/>
      <c r="M103" s="1045"/>
      <c r="N103" s="1045"/>
      <c r="O103" s="1045"/>
      <c r="P103" s="2898"/>
      <c r="Q103" s="2898"/>
      <c r="R103" s="2898"/>
      <c r="S103" s="2898"/>
      <c r="T103" s="2898"/>
      <c r="U103" s="2898"/>
      <c r="V103" s="2898"/>
      <c r="W103" s="2898"/>
      <c r="X103" s="2898"/>
      <c r="Y103" s="2898"/>
      <c r="Z103" s="2898"/>
      <c r="AA103" s="2898"/>
      <c r="AB103" s="2898"/>
      <c r="AC103" s="2898"/>
      <c r="AD103" s="2898"/>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2324</v>
      </c>
      <c r="B1" s="355"/>
      <c r="C1" s="356" t="s">
        <v>2374</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7"/>
      <c r="M2" s="2908"/>
      <c r="N2" s="2908"/>
      <c r="O2" s="2908"/>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5"/>
      <c r="E3" s="1017"/>
      <c r="F3" s="1018"/>
      <c r="G3" s="1017"/>
      <c r="H3" s="1017"/>
      <c r="I3" s="1017"/>
      <c r="J3" s="1017"/>
      <c r="K3" s="1019"/>
      <c r="L3" s="2907"/>
      <c r="M3" s="2908"/>
      <c r="N3" s="2908"/>
      <c r="O3" s="2908"/>
      <c r="P3" s="705"/>
      <c r="Q3" s="705"/>
      <c r="R3" s="705"/>
      <c r="S3" s="705"/>
      <c r="T3" s="705"/>
      <c r="U3" s="705"/>
      <c r="V3" s="705"/>
      <c r="W3" s="705"/>
      <c r="X3" s="705"/>
      <c r="Y3" s="705"/>
      <c r="Z3" s="705"/>
      <c r="AA3" s="705"/>
      <c r="AB3" s="722"/>
      <c r="AC3" s="719"/>
    </row>
    <row r="4" spans="1:29" ht="15">
      <c r="A4" s="361" t="s">
        <v>2225</v>
      </c>
      <c r="B4" s="362"/>
      <c r="C4" s="3468" t="s">
        <v>2226</v>
      </c>
      <c r="D4" s="3469"/>
      <c r="E4" s="3470" t="s">
        <v>2227</v>
      </c>
      <c r="F4" s="3471"/>
      <c r="G4" s="3468" t="s">
        <v>2228</v>
      </c>
      <c r="H4" s="3469"/>
      <c r="I4" s="3468" t="s">
        <v>2229</v>
      </c>
      <c r="J4" s="3469"/>
      <c r="K4" s="567" t="s">
        <v>2230</v>
      </c>
      <c r="L4" s="2888"/>
      <c r="M4" s="2889"/>
      <c r="N4" s="2889"/>
      <c r="O4" s="2889"/>
      <c r="P4" s="3472" t="s">
        <v>2231</v>
      </c>
      <c r="Q4" s="3473"/>
      <c r="R4" s="3455" t="s">
        <v>2227</v>
      </c>
      <c r="S4" s="3456"/>
      <c r="T4" s="3455" t="s">
        <v>2228</v>
      </c>
      <c r="U4" s="3456"/>
      <c r="V4" s="3480" t="s">
        <v>2229</v>
      </c>
      <c r="W4" s="3480"/>
      <c r="X4" s="1487"/>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88"/>
      <c r="M5" s="2889"/>
      <c r="N5" s="2889"/>
      <c r="O5" s="2889"/>
      <c r="P5" s="3474"/>
      <c r="Q5" s="3475"/>
      <c r="R5" s="3457"/>
      <c r="S5" s="3458"/>
      <c r="T5" s="3457"/>
      <c r="U5" s="3458"/>
      <c r="V5" s="3480"/>
      <c r="W5" s="3480"/>
      <c r="X5" s="1487"/>
      <c r="Y5" s="3457"/>
      <c r="Z5" s="3458"/>
      <c r="AA5" s="3451"/>
      <c r="AB5" s="3451"/>
      <c r="AC5" s="3451"/>
    </row>
    <row r="6" spans="1:29" ht="15.75" thickBot="1">
      <c r="A6" s="366"/>
      <c r="B6" s="367"/>
      <c r="C6" s="3554" t="s">
        <v>2375</v>
      </c>
      <c r="D6" s="3555"/>
      <c r="E6" s="3556" t="s">
        <v>2375</v>
      </c>
      <c r="F6" s="3557"/>
      <c r="G6" s="3554" t="s">
        <v>2375</v>
      </c>
      <c r="H6" s="3555"/>
      <c r="I6" s="3554" t="s">
        <v>2375</v>
      </c>
      <c r="J6" s="3555"/>
      <c r="K6" s="567" t="s">
        <v>2127</v>
      </c>
      <c r="L6" s="2888"/>
      <c r="M6" s="2889"/>
      <c r="N6" s="2889"/>
      <c r="O6" s="2889"/>
      <c r="P6" s="3476"/>
      <c r="Q6" s="3477"/>
      <c r="R6" s="3457"/>
      <c r="S6" s="3458"/>
      <c r="T6" s="3478"/>
      <c r="U6" s="3479"/>
      <c r="V6" s="3480"/>
      <c r="W6" s="3480"/>
      <c r="X6" s="1487"/>
      <c r="Y6" s="3478"/>
      <c r="Z6" s="3479"/>
      <c r="AA6" s="3452"/>
      <c r="AB6" s="3452"/>
      <c r="AC6" s="3452"/>
    </row>
    <row r="7" spans="1:29" s="113" customFormat="1" ht="15.75" thickBot="1">
      <c r="A7" s="368" t="s">
        <v>2128</v>
      </c>
      <c r="B7" s="369"/>
      <c r="C7" s="370">
        <f>'数据-取费表'!B2</f>
        <v>44698</v>
      </c>
      <c r="D7" s="371">
        <v>100</v>
      </c>
      <c r="E7" s="372"/>
      <c r="F7" s="373">
        <f>SUMIF(65:65,YEAR(E7)&amp;"-"&amp;INT((MONTH(E7)+2)/3),66:66)</f>
        <v>0</v>
      </c>
      <c r="G7" s="2108"/>
      <c r="H7" s="371">
        <f>SUMIF(65:65,YEAR(G7)&amp;"-"&amp;INT((MONTH(G7)+2)/3),66:66)</f>
        <v>0</v>
      </c>
      <c r="I7" s="2108"/>
      <c r="J7" s="371">
        <f>SUMIF(65:65,YEAR(I7)&amp;"-"&amp;INT((MONTH(I7)+2)/3),66:66)</f>
        <v>0</v>
      </c>
      <c r="K7" s="568"/>
      <c r="L7" s="2890"/>
      <c r="M7" s="2891"/>
      <c r="N7" s="2891"/>
      <c r="O7" s="2891"/>
      <c r="P7" s="3453" t="s">
        <v>2129</v>
      </c>
      <c r="Q7" s="3481"/>
      <c r="R7" s="707" t="s">
        <v>17</v>
      </c>
      <c r="S7" s="708">
        <f t="shared" ref="S7:S15" si="0">F7</f>
        <v>0</v>
      </c>
      <c r="T7" s="707" t="s">
        <v>17</v>
      </c>
      <c r="U7" s="708">
        <f t="shared" ref="U7:U15" si="1">H7</f>
        <v>0</v>
      </c>
      <c r="V7" s="707" t="s">
        <v>17</v>
      </c>
      <c r="W7" s="708">
        <f t="shared" ref="W7:W15" si="2">J7</f>
        <v>0</v>
      </c>
      <c r="X7" s="709"/>
      <c r="Y7" s="3453" t="s">
        <v>2129</v>
      </c>
      <c r="Z7" s="3454"/>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453" t="s">
        <v>2132</v>
      </c>
      <c r="Q8" s="3454"/>
      <c r="R8" s="707" t="s">
        <v>17</v>
      </c>
      <c r="S8" s="708">
        <f t="shared" si="0"/>
        <v>0</v>
      </c>
      <c r="T8" s="707" t="s">
        <v>17</v>
      </c>
      <c r="U8" s="708">
        <f t="shared" si="1"/>
        <v>0</v>
      </c>
      <c r="V8" s="707" t="s">
        <v>17</v>
      </c>
      <c r="W8" s="708">
        <f t="shared" si="2"/>
        <v>0</v>
      </c>
      <c r="X8" s="709"/>
      <c r="Y8" s="3453" t="s">
        <v>2132</v>
      </c>
      <c r="Z8" s="3454"/>
      <c r="AA8" s="710" t="e">
        <f t="shared" ref="AA8:AA40" si="3">D8/F8</f>
        <v>#DIV/0!</v>
      </c>
      <c r="AB8" s="710" t="e">
        <f t="shared" ref="AB8:AB40" si="4">D8/H8</f>
        <v>#DIV/0!</v>
      </c>
      <c r="AC8" s="710" t="e">
        <f t="shared" ref="AC8:AC40" si="5">D8/J8</f>
        <v>#DIV/0!</v>
      </c>
    </row>
    <row r="9" spans="1:29" s="113" customFormat="1">
      <c r="A9" s="375" t="s">
        <v>2133</v>
      </c>
      <c r="B9" s="67" t="s">
        <v>2134</v>
      </c>
      <c r="C9" s="2111"/>
      <c r="D9" s="131">
        <v>100</v>
      </c>
      <c r="E9" s="2111"/>
      <c r="F9" s="131">
        <f>SUMIF(70:70,E9,71:71)-SUMIF(70:70,C9,71:71)+100</f>
        <v>100</v>
      </c>
      <c r="G9" s="2111"/>
      <c r="H9" s="131">
        <f>SUMIF(70:70,G9,71:71)-SUMIF(70:70,C9,71:71)+100</f>
        <v>100</v>
      </c>
      <c r="I9" s="2111"/>
      <c r="J9" s="131">
        <f>SUMIF(70:70,I9,71:71)-SUMIF(70:70,C9,71:71)+100</f>
        <v>100</v>
      </c>
      <c r="K9" s="568"/>
      <c r="L9" s="2890"/>
      <c r="M9" s="2891"/>
      <c r="N9" s="2891"/>
      <c r="O9" s="2945"/>
      <c r="P9" s="3467" t="s">
        <v>2135</v>
      </c>
      <c r="Q9" s="1475" t="str">
        <f t="shared" ref="Q9:Q15" si="6">B9</f>
        <v>用途</v>
      </c>
      <c r="R9" s="707" t="s">
        <v>17</v>
      </c>
      <c r="S9" s="708">
        <f t="shared" si="0"/>
        <v>100</v>
      </c>
      <c r="T9" s="707" t="s">
        <v>17</v>
      </c>
      <c r="U9" s="708">
        <f t="shared" si="1"/>
        <v>100</v>
      </c>
      <c r="V9" s="707" t="s">
        <v>17</v>
      </c>
      <c r="W9" s="708">
        <f t="shared" si="2"/>
        <v>100</v>
      </c>
      <c r="X9" s="709"/>
      <c r="Y9" s="3423"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103</v>
      </c>
      <c r="G10" s="391"/>
      <c r="H10" s="132">
        <f>ROUND(100/'数据-取费表'!G16,0)</f>
        <v>103</v>
      </c>
      <c r="I10" s="391"/>
      <c r="J10" s="132">
        <f>ROUND(100/'数据-取费表'!G16,0)</f>
        <v>103</v>
      </c>
      <c r="K10" s="627"/>
      <c r="L10" s="2892"/>
      <c r="M10" s="2893"/>
      <c r="N10" s="2893"/>
      <c r="O10" s="2946"/>
      <c r="P10" s="3467"/>
      <c r="Q10" s="1475" t="str">
        <f t="shared" si="6"/>
        <v>土地使用年限（年）</v>
      </c>
      <c r="R10" s="707" t="s">
        <v>17</v>
      </c>
      <c r="S10" s="708">
        <f t="shared" si="0"/>
        <v>103</v>
      </c>
      <c r="T10" s="707" t="s">
        <v>17</v>
      </c>
      <c r="U10" s="708">
        <f t="shared" si="1"/>
        <v>103</v>
      </c>
      <c r="V10" s="707" t="s">
        <v>17</v>
      </c>
      <c r="W10" s="708">
        <f t="shared" si="2"/>
        <v>103</v>
      </c>
      <c r="X10" s="709"/>
      <c r="Y10" s="3423"/>
      <c r="Z10" s="55" t="str">
        <f t="shared" si="7"/>
        <v>土地使用年限（年）</v>
      </c>
      <c r="AA10" s="710">
        <f t="shared" si="3"/>
        <v>0.970873786407767</v>
      </c>
      <c r="AB10" s="710">
        <f t="shared" si="4"/>
        <v>0.970873786407767</v>
      </c>
      <c r="AC10" s="710">
        <f t="shared" si="5"/>
        <v>0.970873786407767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4"/>
      <c r="M11" s="2889"/>
      <c r="N11" s="2889"/>
      <c r="O11" s="2947"/>
      <c r="P11" s="3467"/>
      <c r="Q11" s="1475" t="str">
        <f t="shared" si="6"/>
        <v>容积率</v>
      </c>
      <c r="R11" s="707" t="s">
        <v>17</v>
      </c>
      <c r="S11" s="708" t="e">
        <f t="shared" si="0"/>
        <v>#N/A</v>
      </c>
      <c r="T11" s="707" t="s">
        <v>17</v>
      </c>
      <c r="U11" s="708" t="e">
        <f t="shared" si="1"/>
        <v>#N/A</v>
      </c>
      <c r="V11" s="707" t="s">
        <v>17</v>
      </c>
      <c r="W11" s="708" t="e">
        <f t="shared" si="2"/>
        <v>#N/A</v>
      </c>
      <c r="X11" s="709"/>
      <c r="Y11" s="3423"/>
      <c r="Z11" s="55" t="str">
        <f t="shared" si="7"/>
        <v>容积率</v>
      </c>
      <c r="AA11" s="710" t="e">
        <f t="shared" si="3"/>
        <v>#N/A</v>
      </c>
      <c r="AB11" s="710" t="e">
        <f t="shared" si="4"/>
        <v>#N/A</v>
      </c>
      <c r="AC11" s="710" t="e">
        <f t="shared" si="5"/>
        <v>#N/A</v>
      </c>
    </row>
    <row r="12" spans="1:29" s="113" customFormat="1" ht="15">
      <c r="A12" s="390"/>
      <c r="B12" s="2027">
        <v>111</v>
      </c>
      <c r="C12" s="391"/>
      <c r="D12" s="392">
        <v>100</v>
      </c>
      <c r="E12" s="506"/>
      <c r="F12" s="132">
        <f>SUMIF(77:77,E12,78:78)-SUMIF(77:77,C12,78:78)+100</f>
        <v>100</v>
      </c>
      <c r="G12" s="629"/>
      <c r="H12" s="132">
        <f>SUMIF(77:77,G12,78:78)-SUMIF(77:77,C12,78:78)+100</f>
        <v>100</v>
      </c>
      <c r="I12" s="506"/>
      <c r="J12" s="132">
        <f>SUMIF(77:77,I12,78:78)-SUMIF(77:77,C12,78:78)+100</f>
        <v>100</v>
      </c>
      <c r="K12" s="627"/>
      <c r="L12" s="2890"/>
      <c r="M12" s="2891"/>
      <c r="N12" s="2891"/>
      <c r="O12" s="2945"/>
      <c r="P12" s="3467"/>
      <c r="Q12" s="1475">
        <f t="shared" si="6"/>
        <v>111</v>
      </c>
      <c r="R12" s="707" t="s">
        <v>17</v>
      </c>
      <c r="S12" s="708">
        <f t="shared" si="0"/>
        <v>100</v>
      </c>
      <c r="T12" s="707" t="s">
        <v>17</v>
      </c>
      <c r="U12" s="708">
        <f t="shared" si="1"/>
        <v>100</v>
      </c>
      <c r="V12" s="707" t="s">
        <v>17</v>
      </c>
      <c r="W12" s="708">
        <f t="shared" si="2"/>
        <v>100</v>
      </c>
      <c r="X12" s="709"/>
      <c r="Y12" s="3423"/>
      <c r="Z12" s="55">
        <f t="shared" si="7"/>
        <v>111</v>
      </c>
      <c r="AA12" s="710">
        <f>D12/F12</f>
        <v>1</v>
      </c>
      <c r="AB12" s="710">
        <f>D12/H12</f>
        <v>1</v>
      </c>
      <c r="AC12" s="710">
        <f>D12/J12</f>
        <v>1</v>
      </c>
    </row>
    <row r="13" spans="1:29" ht="15">
      <c r="A13" s="387"/>
      <c r="B13" s="2027">
        <v>111</v>
      </c>
      <c r="C13" s="393"/>
      <c r="D13" s="394">
        <v>100</v>
      </c>
      <c r="E13" s="506"/>
      <c r="F13" s="132">
        <f>SUMIF(79:79,E13,80:80)-SUMIF(79:79,C13,80:80)+100</f>
        <v>100</v>
      </c>
      <c r="G13" s="629"/>
      <c r="H13" s="394">
        <f>SUMIF(79:79,G13,80:80)-SUMIF(79:79,C13,80:80)+100</f>
        <v>100</v>
      </c>
      <c r="I13" s="506"/>
      <c r="J13" s="394">
        <f>SUMIF(79:79,I13,80:80)-SUMIF(79:79,C13,80:80)+100</f>
        <v>100</v>
      </c>
      <c r="K13" s="627"/>
      <c r="L13" s="2895"/>
      <c r="M13" s="2889"/>
      <c r="N13" s="2889"/>
      <c r="O13" s="2947"/>
      <c r="P13" s="3467"/>
      <c r="Q13" s="1475">
        <f t="shared" si="6"/>
        <v>111</v>
      </c>
      <c r="R13" s="707" t="s">
        <v>17</v>
      </c>
      <c r="S13" s="708">
        <f t="shared" si="0"/>
        <v>100</v>
      </c>
      <c r="T13" s="707" t="s">
        <v>17</v>
      </c>
      <c r="U13" s="708">
        <f t="shared" si="1"/>
        <v>100</v>
      </c>
      <c r="V13" s="707" t="s">
        <v>17</v>
      </c>
      <c r="W13" s="708">
        <f t="shared" si="2"/>
        <v>100</v>
      </c>
      <c r="X13" s="709"/>
      <c r="Y13" s="3423"/>
      <c r="Z13" s="55">
        <f t="shared" si="7"/>
        <v>111</v>
      </c>
      <c r="AA13" s="710">
        <f t="shared" si="3"/>
        <v>1</v>
      </c>
      <c r="AB13" s="710">
        <f t="shared" si="4"/>
        <v>1</v>
      </c>
      <c r="AC13" s="710">
        <f t="shared" si="5"/>
        <v>1</v>
      </c>
    </row>
    <row r="14" spans="1:29" ht="15.75" thickBot="1">
      <c r="A14" s="395"/>
      <c r="B14" s="2029">
        <v>111</v>
      </c>
      <c r="C14" s="396"/>
      <c r="D14" s="397">
        <v>100</v>
      </c>
      <c r="E14" s="506"/>
      <c r="F14" s="397">
        <f>SUMIF(81:81,E14,82:82)-SUMIF(81:81,C14,82:82)+100</f>
        <v>100</v>
      </c>
      <c r="G14" s="629"/>
      <c r="H14" s="397">
        <f>SUMIF(81:81,G14,82:82)-SUMIF(81:81,C14,82:82)+100</f>
        <v>100</v>
      </c>
      <c r="I14" s="506"/>
      <c r="J14" s="397">
        <f>SUMIF(81:81,I14,82:82)-SUMIF(81:81,C14,82:82)+100</f>
        <v>100</v>
      </c>
      <c r="K14" s="627"/>
      <c r="L14" s="2895"/>
      <c r="M14" s="2889"/>
      <c r="N14" s="2889"/>
      <c r="O14" s="2947"/>
      <c r="P14" s="3467"/>
      <c r="Q14" s="1475">
        <f t="shared" si="6"/>
        <v>111</v>
      </c>
      <c r="R14" s="707" t="s">
        <v>17</v>
      </c>
      <c r="S14" s="708">
        <f t="shared" si="0"/>
        <v>100</v>
      </c>
      <c r="T14" s="707" t="s">
        <v>17</v>
      </c>
      <c r="U14" s="708">
        <f t="shared" si="1"/>
        <v>100</v>
      </c>
      <c r="V14" s="707" t="s">
        <v>17</v>
      </c>
      <c r="W14" s="708">
        <f t="shared" si="2"/>
        <v>100</v>
      </c>
      <c r="X14" s="709"/>
      <c r="Y14" s="3423"/>
      <c r="Z14" s="55">
        <f t="shared" si="7"/>
        <v>111</v>
      </c>
      <c r="AA14" s="710">
        <f t="shared" si="3"/>
        <v>1</v>
      </c>
      <c r="AB14" s="710">
        <f t="shared" si="4"/>
        <v>1</v>
      </c>
      <c r="AC14" s="710">
        <f t="shared" si="5"/>
        <v>1</v>
      </c>
    </row>
    <row r="15" spans="1:29" ht="57">
      <c r="A15" s="399" t="s">
        <v>2139</v>
      </c>
      <c r="B15" s="584" t="s">
        <v>2376</v>
      </c>
      <c r="C15" s="210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5"/>
      <c r="M15" s="2889"/>
      <c r="N15" s="2889"/>
      <c r="O15" s="2947"/>
      <c r="P15" s="3482" t="s">
        <v>2140</v>
      </c>
      <c r="Q15" s="1484" t="str">
        <f t="shared" si="6"/>
        <v>产业集聚程度</v>
      </c>
      <c r="R15" s="711" t="s">
        <v>17</v>
      </c>
      <c r="S15" s="712">
        <f t="shared" si="0"/>
        <v>100</v>
      </c>
      <c r="T15" s="711" t="s">
        <v>17</v>
      </c>
      <c r="U15" s="712">
        <f t="shared" si="1"/>
        <v>100</v>
      </c>
      <c r="V15" s="711" t="s">
        <v>17</v>
      </c>
      <c r="W15" s="712">
        <f t="shared" si="2"/>
        <v>100</v>
      </c>
      <c r="X15" s="1487"/>
      <c r="Y15" s="3482" t="s">
        <v>2140</v>
      </c>
      <c r="Z15" s="1488" t="str">
        <f t="shared" si="7"/>
        <v>产业集聚程度</v>
      </c>
      <c r="AA15" s="1485">
        <f t="shared" si="3"/>
        <v>1</v>
      </c>
      <c r="AB15" s="1485">
        <f t="shared" si="4"/>
        <v>1</v>
      </c>
      <c r="AC15" s="1485">
        <f t="shared" si="5"/>
        <v>1</v>
      </c>
    </row>
    <row r="16" spans="1:29" ht="15">
      <c r="A16" s="387"/>
      <c r="B16" s="585"/>
      <c r="C16" s="406"/>
      <c r="D16" s="407"/>
      <c r="E16" s="2038"/>
      <c r="F16" s="407"/>
      <c r="G16" s="2038"/>
      <c r="H16" s="409"/>
      <c r="I16" s="2038"/>
      <c r="J16" s="407"/>
      <c r="K16" s="627"/>
      <c r="L16" s="2895"/>
      <c r="M16" s="2889"/>
      <c r="N16" s="2889"/>
      <c r="O16" s="2947"/>
      <c r="P16" s="3483"/>
      <c r="Q16" s="1484"/>
      <c r="R16" s="711"/>
      <c r="S16" s="712"/>
      <c r="T16" s="711"/>
      <c r="U16" s="712"/>
      <c r="V16" s="711"/>
      <c r="W16" s="712"/>
      <c r="X16" s="1487"/>
      <c r="Y16" s="3483"/>
      <c r="Z16" s="1488"/>
      <c r="AA16" s="1485">
        <v>1</v>
      </c>
      <c r="AB16" s="1485">
        <v>1</v>
      </c>
      <c r="AC16" s="1485">
        <v>1</v>
      </c>
    </row>
    <row r="17" spans="1:29" ht="85.5">
      <c r="A17" s="387"/>
      <c r="B17" s="586" t="s">
        <v>2289</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5"/>
      <c r="M17" s="2889"/>
      <c r="N17" s="2889"/>
      <c r="O17" s="2947"/>
      <c r="P17" s="3483"/>
      <c r="Q17" s="1484" t="str">
        <f>B17</f>
        <v>交通便捷度</v>
      </c>
      <c r="R17" s="711" t="s">
        <v>17</v>
      </c>
      <c r="S17" s="712">
        <f>F17</f>
        <v>100</v>
      </c>
      <c r="T17" s="711" t="s">
        <v>17</v>
      </c>
      <c r="U17" s="712">
        <f>H17</f>
        <v>100</v>
      </c>
      <c r="V17" s="711" t="s">
        <v>17</v>
      </c>
      <c r="W17" s="712">
        <f>J17</f>
        <v>100</v>
      </c>
      <c r="X17" s="1487"/>
      <c r="Y17" s="3483"/>
      <c r="Z17" s="1488" t="str">
        <f>Q17</f>
        <v>交通便捷度</v>
      </c>
      <c r="AA17" s="1485">
        <f t="shared" si="3"/>
        <v>1</v>
      </c>
      <c r="AB17" s="1485">
        <f t="shared" si="4"/>
        <v>1</v>
      </c>
      <c r="AC17" s="1485">
        <f t="shared" si="5"/>
        <v>1</v>
      </c>
    </row>
    <row r="18" spans="1:29" ht="15">
      <c r="A18" s="387"/>
      <c r="B18" s="587"/>
      <c r="C18" s="406"/>
      <c r="D18" s="407"/>
      <c r="E18" s="2032"/>
      <c r="F18" s="407"/>
      <c r="G18" s="2032"/>
      <c r="H18" s="407"/>
      <c r="I18" s="2031"/>
      <c r="J18" s="407"/>
      <c r="K18" s="627"/>
      <c r="L18" s="2895"/>
      <c r="M18" s="2889"/>
      <c r="N18" s="2889"/>
      <c r="O18" s="2947"/>
      <c r="P18" s="3483"/>
      <c r="Q18" s="1484"/>
      <c r="R18" s="711"/>
      <c r="S18" s="712"/>
      <c r="T18" s="711"/>
      <c r="U18" s="712"/>
      <c r="V18" s="711"/>
      <c r="W18" s="712"/>
      <c r="X18" s="1487"/>
      <c r="Y18" s="3483"/>
      <c r="Z18" s="1488"/>
      <c r="AA18" s="1485">
        <v>1</v>
      </c>
      <c r="AB18" s="1485">
        <v>1</v>
      </c>
      <c r="AC18" s="1485">
        <v>1</v>
      </c>
    </row>
    <row r="19" spans="1:29" ht="15">
      <c r="A19" s="387"/>
      <c r="B19" s="586" t="s">
        <v>2328</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5"/>
      <c r="M19" s="2889"/>
      <c r="N19" s="2889"/>
      <c r="O19" s="2947"/>
      <c r="P19" s="3483"/>
      <c r="Q19" s="1484" t="str">
        <f t="shared" ref="Q19:Q33" si="8">B19</f>
        <v>区域土地利用方向</v>
      </c>
      <c r="R19" s="711" t="s">
        <v>17</v>
      </c>
      <c r="S19" s="712">
        <f>F19</f>
        <v>100</v>
      </c>
      <c r="T19" s="711" t="s">
        <v>17</v>
      </c>
      <c r="U19" s="712">
        <f>H19</f>
        <v>100</v>
      </c>
      <c r="V19" s="711" t="s">
        <v>17</v>
      </c>
      <c r="W19" s="712">
        <f>J19</f>
        <v>100</v>
      </c>
      <c r="X19" s="1487"/>
      <c r="Y19" s="3483"/>
      <c r="Z19" s="1488" t="str">
        <f>Q19</f>
        <v>区域土地利用方向</v>
      </c>
      <c r="AA19" s="1485">
        <f t="shared" si="3"/>
        <v>1</v>
      </c>
      <c r="AB19" s="1485">
        <f t="shared" si="4"/>
        <v>1</v>
      </c>
      <c r="AC19" s="1485">
        <f t="shared" si="5"/>
        <v>1</v>
      </c>
    </row>
    <row r="20" spans="1:29" ht="15">
      <c r="A20" s="364"/>
      <c r="B20" s="587"/>
      <c r="C20" s="406"/>
      <c r="D20" s="407"/>
      <c r="E20" s="2032"/>
      <c r="F20" s="407"/>
      <c r="G20" s="2032"/>
      <c r="H20" s="407"/>
      <c r="I20" s="2032"/>
      <c r="J20" s="407"/>
      <c r="K20" s="748"/>
      <c r="L20" s="2895"/>
      <c r="M20" s="2889"/>
      <c r="N20" s="2889"/>
      <c r="O20" s="2947"/>
      <c r="P20" s="3483"/>
      <c r="Q20" s="1484"/>
      <c r="R20" s="711"/>
      <c r="S20" s="712"/>
      <c r="T20" s="711"/>
      <c r="U20" s="712"/>
      <c r="V20" s="711"/>
      <c r="W20" s="712"/>
      <c r="X20" s="1487"/>
      <c r="Y20" s="3483"/>
      <c r="Z20" s="1488"/>
      <c r="AA20" s="1485"/>
      <c r="AB20" s="1485"/>
      <c r="AC20" s="1485"/>
    </row>
    <row r="21" spans="1:29" ht="71.25">
      <c r="A21" s="364"/>
      <c r="B21" s="586" t="s">
        <v>2377</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5"/>
      <c r="M21" s="2889"/>
      <c r="N21" s="2889"/>
      <c r="O21" s="2947"/>
      <c r="P21" s="3483"/>
      <c r="Q21" s="1484" t="str">
        <f t="shared" si="8"/>
        <v>环境状况</v>
      </c>
      <c r="R21" s="711" t="s">
        <v>17</v>
      </c>
      <c r="S21" s="712">
        <f>F21</f>
        <v>100</v>
      </c>
      <c r="T21" s="711" t="s">
        <v>17</v>
      </c>
      <c r="U21" s="712">
        <f>H21</f>
        <v>100</v>
      </c>
      <c r="V21" s="711" t="s">
        <v>17</v>
      </c>
      <c r="W21" s="712">
        <f>J21</f>
        <v>100</v>
      </c>
      <c r="X21" s="1487"/>
      <c r="Y21" s="3483"/>
      <c r="Z21" s="1488" t="str">
        <f>Q21</f>
        <v>环境状况</v>
      </c>
      <c r="AA21" s="1485">
        <f t="shared" si="3"/>
        <v>1</v>
      </c>
      <c r="AB21" s="1485">
        <f t="shared" si="4"/>
        <v>1</v>
      </c>
      <c r="AC21" s="1485">
        <f t="shared" si="5"/>
        <v>1</v>
      </c>
    </row>
    <row r="22" spans="1:29" ht="15">
      <c r="A22" s="364"/>
      <c r="B22" s="587"/>
      <c r="C22" s="406"/>
      <c r="D22" s="407"/>
      <c r="E22" s="2038"/>
      <c r="F22" s="407"/>
      <c r="G22" s="2038"/>
      <c r="H22" s="407"/>
      <c r="I22" s="406"/>
      <c r="J22" s="407"/>
      <c r="K22" s="627"/>
      <c r="L22" s="2895"/>
      <c r="M22" s="2889"/>
      <c r="N22" s="2889"/>
      <c r="O22" s="2947"/>
      <c r="P22" s="3483"/>
      <c r="Q22" s="1484"/>
      <c r="R22" s="711"/>
      <c r="S22" s="712"/>
      <c r="T22" s="711"/>
      <c r="U22" s="712"/>
      <c r="V22" s="711"/>
      <c r="W22" s="712"/>
      <c r="X22" s="1487"/>
      <c r="Y22" s="3483"/>
      <c r="Z22" s="1488"/>
      <c r="AA22" s="1485">
        <v>1</v>
      </c>
      <c r="AB22" s="1485">
        <v>1</v>
      </c>
      <c r="AC22" s="1485">
        <v>1</v>
      </c>
    </row>
    <row r="23" spans="1:29" s="113" customFormat="1" ht="42.75">
      <c r="A23" s="604"/>
      <c r="B23" s="588" t="s">
        <v>2234</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0"/>
      <c r="M23" s="2891"/>
      <c r="N23" s="2891"/>
      <c r="O23" s="2945"/>
      <c r="P23" s="3483"/>
      <c r="Q23" s="1475" t="str">
        <f t="shared" si="8"/>
        <v>公共配套设施</v>
      </c>
      <c r="R23" s="707" t="s">
        <v>17</v>
      </c>
      <c r="S23" s="708">
        <f>F23</f>
        <v>100</v>
      </c>
      <c r="T23" s="707" t="s">
        <v>17</v>
      </c>
      <c r="U23" s="708">
        <f>H23</f>
        <v>100</v>
      </c>
      <c r="V23" s="707" t="s">
        <v>17</v>
      </c>
      <c r="W23" s="708">
        <f>J23</f>
        <v>100</v>
      </c>
      <c r="X23" s="709"/>
      <c r="Y23" s="3483"/>
      <c r="Z23" s="55" t="str">
        <f>Q23</f>
        <v>公共配套设施</v>
      </c>
      <c r="AA23" s="1485">
        <f>D23/F23</f>
        <v>1</v>
      </c>
      <c r="AB23" s="1485">
        <f>D23/H23</f>
        <v>1</v>
      </c>
      <c r="AC23" s="1485">
        <f>D23/J23</f>
        <v>1</v>
      </c>
    </row>
    <row r="24" spans="1:29" s="113" customFormat="1" ht="15">
      <c r="A24" s="604"/>
      <c r="B24" s="587"/>
      <c r="C24" s="2112"/>
      <c r="D24" s="407"/>
      <c r="E24" s="2038"/>
      <c r="F24" s="407"/>
      <c r="G24" s="2038"/>
      <c r="H24" s="407"/>
      <c r="I24" s="406"/>
      <c r="J24" s="407"/>
      <c r="K24" s="627"/>
      <c r="L24" s="2890"/>
      <c r="M24" s="2891"/>
      <c r="N24" s="2891"/>
      <c r="O24" s="2945"/>
      <c r="P24" s="3483"/>
      <c r="Q24" s="1475"/>
      <c r="R24" s="707"/>
      <c r="S24" s="708"/>
      <c r="T24" s="707"/>
      <c r="U24" s="708"/>
      <c r="V24" s="707"/>
      <c r="W24" s="708"/>
      <c r="X24" s="709"/>
      <c r="Y24" s="3483"/>
      <c r="Z24" s="55"/>
      <c r="AA24" s="710">
        <v>1</v>
      </c>
      <c r="AB24" s="710">
        <v>1</v>
      </c>
      <c r="AC24" s="710">
        <v>1</v>
      </c>
    </row>
    <row r="25" spans="1:29" s="113" customFormat="1" ht="28.5">
      <c r="A25" s="604"/>
      <c r="B25" s="588" t="s">
        <v>2235</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0"/>
      <c r="M25" s="2891"/>
      <c r="N25" s="2891"/>
      <c r="O25" s="2945"/>
      <c r="P25" s="3483"/>
      <c r="Q25" s="1475" t="str">
        <f t="shared" ref="Q25" si="9">B25</f>
        <v>基础设施水平</v>
      </c>
      <c r="R25" s="707" t="s">
        <v>17</v>
      </c>
      <c r="S25" s="708">
        <f>F25</f>
        <v>100</v>
      </c>
      <c r="T25" s="707" t="s">
        <v>17</v>
      </c>
      <c r="U25" s="708">
        <f>H25</f>
        <v>100</v>
      </c>
      <c r="V25" s="707" t="s">
        <v>17</v>
      </c>
      <c r="W25" s="708">
        <f>J25</f>
        <v>100</v>
      </c>
      <c r="X25" s="709"/>
      <c r="Y25" s="3483"/>
      <c r="Z25" s="55" t="str">
        <f>Q25</f>
        <v>基础设施水平</v>
      </c>
      <c r="AA25" s="1485">
        <f>D25/F25</f>
        <v>1</v>
      </c>
      <c r="AB25" s="1485">
        <f>D25/H25</f>
        <v>1</v>
      </c>
      <c r="AC25" s="1485">
        <f>D25/J25</f>
        <v>1</v>
      </c>
    </row>
    <row r="26" spans="1:29" s="113" customFormat="1" ht="15">
      <c r="A26" s="604"/>
      <c r="B26" s="587"/>
      <c r="C26" s="2112"/>
      <c r="D26" s="407"/>
      <c r="E26" s="2113"/>
      <c r="F26" s="407"/>
      <c r="G26" s="2113"/>
      <c r="H26" s="407"/>
      <c r="I26" s="2113"/>
      <c r="J26" s="407"/>
      <c r="K26" s="627"/>
      <c r="L26" s="2890"/>
      <c r="M26" s="2891"/>
      <c r="N26" s="2891"/>
      <c r="O26" s="2945"/>
      <c r="P26" s="3483"/>
      <c r="Q26" s="1475"/>
      <c r="R26" s="707"/>
      <c r="S26" s="708"/>
      <c r="T26" s="707"/>
      <c r="U26" s="708"/>
      <c r="V26" s="707"/>
      <c r="W26" s="708"/>
      <c r="X26" s="709"/>
      <c r="Y26" s="3483"/>
      <c r="Z26" s="55"/>
      <c r="AA26" s="710">
        <v>1</v>
      </c>
      <c r="AB26" s="710">
        <v>1</v>
      </c>
      <c r="AC26" s="710">
        <v>1</v>
      </c>
    </row>
    <row r="27" spans="1:29" ht="15">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895"/>
      <c r="M27" s="2889"/>
      <c r="N27" s="2889"/>
      <c r="O27" s="2947"/>
      <c r="P27" s="3483"/>
      <c r="Q27" s="1484" t="str">
        <f t="shared" si="8"/>
        <v>临街状况</v>
      </c>
      <c r="R27" s="711" t="s">
        <v>17</v>
      </c>
      <c r="S27" s="712">
        <f t="shared" ref="S27:S40" si="10">F27</f>
        <v>100</v>
      </c>
      <c r="T27" s="711" t="s">
        <v>17</v>
      </c>
      <c r="U27" s="712">
        <f t="shared" ref="U27:U40" si="11">H27</f>
        <v>100</v>
      </c>
      <c r="V27" s="711" t="s">
        <v>17</v>
      </c>
      <c r="W27" s="712">
        <f t="shared" ref="W27:W40" si="12">J27</f>
        <v>100</v>
      </c>
      <c r="X27" s="1487"/>
      <c r="Y27" s="3483"/>
      <c r="Z27" s="1488" t="str">
        <f t="shared" ref="Z27:Z40" si="13">Q27</f>
        <v>临街状况</v>
      </c>
      <c r="AA27" s="1485">
        <f t="shared" si="3"/>
        <v>1</v>
      </c>
      <c r="AB27" s="1485">
        <f t="shared" si="4"/>
        <v>1</v>
      </c>
      <c r="AC27" s="1485">
        <f t="shared" si="5"/>
        <v>1</v>
      </c>
    </row>
    <row r="28" spans="1:29" ht="27">
      <c r="A28" s="387"/>
      <c r="B28" s="588" t="s">
        <v>2271</v>
      </c>
      <c r="C28" s="2125">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5"/>
      <c r="M28" s="2889"/>
      <c r="N28" s="2889"/>
      <c r="O28" s="2947"/>
      <c r="P28" s="3483"/>
      <c r="Q28" s="1484" t="str">
        <f t="shared" si="8"/>
        <v>毗邻道路的类型与等级</v>
      </c>
      <c r="R28" s="711" t="s">
        <v>17</v>
      </c>
      <c r="S28" s="712">
        <f t="shared" si="10"/>
        <v>100</v>
      </c>
      <c r="T28" s="711" t="s">
        <v>17</v>
      </c>
      <c r="U28" s="712">
        <f t="shared" si="11"/>
        <v>100</v>
      </c>
      <c r="V28" s="711" t="s">
        <v>17</v>
      </c>
      <c r="W28" s="712">
        <f t="shared" si="12"/>
        <v>100</v>
      </c>
      <c r="X28" s="1487"/>
      <c r="Y28" s="3483"/>
      <c r="Z28" s="1488" t="str">
        <f t="shared" si="13"/>
        <v>毗邻道路的类型与等级</v>
      </c>
      <c r="AA28" s="1485">
        <f t="shared" si="3"/>
        <v>1</v>
      </c>
      <c r="AB28" s="1485">
        <f t="shared" si="4"/>
        <v>1</v>
      </c>
      <c r="AC28" s="1485">
        <f t="shared" si="5"/>
        <v>1</v>
      </c>
    </row>
    <row r="29" spans="1:29" ht="15">
      <c r="A29" s="387"/>
      <c r="B29" s="587"/>
      <c r="C29" s="406"/>
      <c r="D29" s="407"/>
      <c r="E29" s="2038"/>
      <c r="F29" s="407"/>
      <c r="G29" s="2038"/>
      <c r="H29" s="407"/>
      <c r="I29" s="2038"/>
      <c r="J29" s="407"/>
      <c r="K29" s="570"/>
      <c r="L29" s="2895"/>
      <c r="M29" s="2889"/>
      <c r="N29" s="2889"/>
      <c r="O29" s="2947"/>
      <c r="P29" s="3483"/>
      <c r="Q29" s="1484"/>
      <c r="R29" s="711"/>
      <c r="S29" s="712"/>
      <c r="T29" s="711"/>
      <c r="U29" s="712"/>
      <c r="V29" s="711"/>
      <c r="W29" s="712"/>
      <c r="X29" s="1487"/>
      <c r="Y29" s="3483"/>
      <c r="Z29" s="1488"/>
      <c r="AA29" s="1485">
        <v>1</v>
      </c>
      <c r="AB29" s="1485">
        <v>1</v>
      </c>
      <c r="AC29" s="1485">
        <v>1</v>
      </c>
    </row>
    <row r="30" spans="1:29" ht="15">
      <c r="A30" s="387"/>
      <c r="B30" s="609" t="s">
        <v>2330</v>
      </c>
      <c r="C30" s="1248">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895"/>
      <c r="M30" s="2889"/>
      <c r="N30" s="2889"/>
      <c r="O30" s="2947"/>
      <c r="P30" s="3483"/>
      <c r="Q30" s="1484" t="str">
        <f t="shared" si="8"/>
        <v>土地级别</v>
      </c>
      <c r="R30" s="711" t="s">
        <v>17</v>
      </c>
      <c r="S30" s="712">
        <f t="shared" si="10"/>
        <v>100</v>
      </c>
      <c r="T30" s="711" t="s">
        <v>17</v>
      </c>
      <c r="U30" s="712">
        <f t="shared" si="11"/>
        <v>100</v>
      </c>
      <c r="V30" s="711" t="s">
        <v>17</v>
      </c>
      <c r="W30" s="712">
        <f t="shared" si="12"/>
        <v>100</v>
      </c>
      <c r="X30" s="1487"/>
      <c r="Y30" s="3483"/>
      <c r="Z30" s="1488" t="str">
        <f t="shared" si="13"/>
        <v>土地级别</v>
      </c>
      <c r="AA30" s="1485">
        <f t="shared" si="3"/>
        <v>1</v>
      </c>
      <c r="AB30" s="1485">
        <f t="shared" si="4"/>
        <v>1</v>
      </c>
      <c r="AC30" s="1485">
        <f t="shared" si="5"/>
        <v>1</v>
      </c>
    </row>
    <row r="31" spans="1:29" ht="15">
      <c r="A31" s="364"/>
      <c r="B31" s="2100">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483"/>
      <c r="Q31" s="1484">
        <f t="shared" si="8"/>
        <v>111</v>
      </c>
      <c r="R31" s="711" t="s">
        <v>17</v>
      </c>
      <c r="S31" s="712">
        <f t="shared" si="10"/>
        <v>100</v>
      </c>
      <c r="T31" s="711" t="s">
        <v>17</v>
      </c>
      <c r="U31" s="712">
        <f t="shared" si="11"/>
        <v>100</v>
      </c>
      <c r="V31" s="711" t="s">
        <v>17</v>
      </c>
      <c r="W31" s="712">
        <f t="shared" si="12"/>
        <v>100</v>
      </c>
      <c r="X31" s="1487"/>
      <c r="Y31" s="3483"/>
      <c r="Z31" s="1488">
        <f t="shared" si="13"/>
        <v>111</v>
      </c>
      <c r="AA31" s="1485">
        <f t="shared" si="3"/>
        <v>1</v>
      </c>
      <c r="AB31" s="1485">
        <f t="shared" si="4"/>
        <v>1</v>
      </c>
      <c r="AC31" s="1485">
        <f t="shared" si="5"/>
        <v>1</v>
      </c>
    </row>
    <row r="32" spans="1:29" ht="15">
      <c r="A32" s="630"/>
      <c r="B32" s="2126">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5"/>
      <c r="M32" s="2889"/>
      <c r="N32" s="2889"/>
      <c r="O32" s="2947"/>
      <c r="P32" s="3484" t="s">
        <v>2145</v>
      </c>
      <c r="Q32" s="1484">
        <f t="shared" si="8"/>
        <v>111</v>
      </c>
      <c r="R32" s="711" t="s">
        <v>17</v>
      </c>
      <c r="S32" s="712">
        <f t="shared" si="10"/>
        <v>100</v>
      </c>
      <c r="T32" s="711" t="s">
        <v>17</v>
      </c>
      <c r="U32" s="712">
        <f t="shared" si="11"/>
        <v>100</v>
      </c>
      <c r="V32" s="711" t="s">
        <v>17</v>
      </c>
      <c r="W32" s="712">
        <f t="shared" si="12"/>
        <v>100</v>
      </c>
      <c r="X32" s="1487"/>
      <c r="Y32" s="3485" t="s">
        <v>2145</v>
      </c>
      <c r="Z32" s="1488">
        <f t="shared" si="13"/>
        <v>111</v>
      </c>
      <c r="AA32" s="1485">
        <f t="shared" si="3"/>
        <v>1</v>
      </c>
      <c r="AB32" s="1485">
        <f t="shared" si="4"/>
        <v>1</v>
      </c>
      <c r="AC32" s="1485">
        <f t="shared" si="5"/>
        <v>1</v>
      </c>
    </row>
    <row r="33" spans="1:31" s="430" customFormat="1" ht="15.75" thickBot="1">
      <c r="A33" s="631"/>
      <c r="B33" s="2127">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4"/>
      <c r="M33" s="2896"/>
      <c r="N33" s="2896"/>
      <c r="O33" s="2948"/>
      <c r="P33" s="3485"/>
      <c r="Q33" s="1484">
        <f t="shared" si="8"/>
        <v>111</v>
      </c>
      <c r="R33" s="714" t="s">
        <v>17</v>
      </c>
      <c r="S33" s="715">
        <f t="shared" si="10"/>
        <v>100</v>
      </c>
      <c r="T33" s="714" t="s">
        <v>17</v>
      </c>
      <c r="U33" s="715">
        <f t="shared" si="11"/>
        <v>100</v>
      </c>
      <c r="V33" s="714" t="s">
        <v>17</v>
      </c>
      <c r="W33" s="715">
        <f t="shared" si="12"/>
        <v>100</v>
      </c>
      <c r="X33" s="716"/>
      <c r="Y33" s="3485"/>
      <c r="Z33" s="717">
        <f t="shared" si="13"/>
        <v>111</v>
      </c>
      <c r="AA33" s="1485">
        <f t="shared" si="3"/>
        <v>1</v>
      </c>
      <c r="AB33" s="1485">
        <f t="shared" si="4"/>
        <v>1</v>
      </c>
      <c r="AC33" s="1485">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5"/>
      <c r="M34" s="2889"/>
      <c r="N34" s="2889"/>
      <c r="O34" s="2947"/>
      <c r="P34" s="3485"/>
      <c r="Q34" s="1484" t="str">
        <f>B34</f>
        <v>宗地面积</v>
      </c>
      <c r="R34" s="711" t="s">
        <v>17</v>
      </c>
      <c r="S34" s="712" t="e">
        <f t="shared" si="10"/>
        <v>#N/A</v>
      </c>
      <c r="T34" s="711" t="s">
        <v>17</v>
      </c>
      <c r="U34" s="712" t="e">
        <f t="shared" si="11"/>
        <v>#N/A</v>
      </c>
      <c r="V34" s="711" t="s">
        <v>17</v>
      </c>
      <c r="W34" s="712" t="e">
        <f t="shared" si="12"/>
        <v>#N/A</v>
      </c>
      <c r="X34" s="1487"/>
      <c r="Y34" s="3485"/>
      <c r="Z34" s="1488" t="str">
        <f t="shared" si="13"/>
        <v>宗地面积</v>
      </c>
      <c r="AA34" s="1485" t="e">
        <f t="shared" si="3"/>
        <v>#N/A</v>
      </c>
      <c r="AB34" s="1485" t="e">
        <f t="shared" si="4"/>
        <v>#N/A</v>
      </c>
      <c r="AC34" s="1485" t="e">
        <f t="shared" si="5"/>
        <v>#N/A</v>
      </c>
    </row>
    <row r="35" spans="1:31" ht="15">
      <c r="A35" s="431"/>
      <c r="B35" s="381" t="s">
        <v>2332</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5"/>
      <c r="M35" s="2889"/>
      <c r="N35" s="2889"/>
      <c r="O35" s="2947"/>
      <c r="P35" s="3485"/>
      <c r="Q35" s="1484" t="str">
        <f t="shared" ref="Q35:Q40" si="14">B35</f>
        <v>宗地形状</v>
      </c>
      <c r="R35" s="711" t="s">
        <v>17</v>
      </c>
      <c r="S35" s="712">
        <f t="shared" si="10"/>
        <v>100</v>
      </c>
      <c r="T35" s="711" t="s">
        <v>17</v>
      </c>
      <c r="U35" s="712">
        <f t="shared" si="11"/>
        <v>100</v>
      </c>
      <c r="V35" s="711" t="s">
        <v>17</v>
      </c>
      <c r="W35" s="712">
        <f t="shared" si="12"/>
        <v>100</v>
      </c>
      <c r="X35" s="1487"/>
      <c r="Y35" s="3485"/>
      <c r="Z35" s="1488" t="str">
        <f t="shared" si="13"/>
        <v>宗地形状</v>
      </c>
      <c r="AA35" s="1485">
        <f t="shared" si="3"/>
        <v>1</v>
      </c>
      <c r="AB35" s="1485">
        <f t="shared" si="4"/>
        <v>1</v>
      </c>
      <c r="AC35" s="1485">
        <f t="shared" si="5"/>
        <v>1</v>
      </c>
    </row>
    <row r="36" spans="1:31" s="113" customFormat="1" ht="15">
      <c r="A36" s="432"/>
      <c r="B36" s="381" t="s">
        <v>2334</v>
      </c>
      <c r="C36" s="2114"/>
      <c r="D36" s="132">
        <v>100</v>
      </c>
      <c r="E36" s="2114"/>
      <c r="F36" s="394">
        <f>SUMIF(112:112,E36,113:113)-SUMIF(112:112,C36,113:113)+100</f>
        <v>100</v>
      </c>
      <c r="G36" s="2114"/>
      <c r="H36" s="394">
        <f>SUMIF(112:112,G36,113:113)-SUMIF(112:112,C36,113:113)+100</f>
        <v>100</v>
      </c>
      <c r="I36" s="2114"/>
      <c r="J36" s="394">
        <f>SUMIF(112:112,I36,113:113)-SUMIF(112:112,C36,113:113)+100</f>
        <v>100</v>
      </c>
      <c r="K36" s="569"/>
      <c r="L36" s="2890"/>
      <c r="M36" s="2891"/>
      <c r="N36" s="2891"/>
      <c r="O36" s="2945"/>
      <c r="P36" s="3485"/>
      <c r="Q36" s="1484" t="str">
        <f t="shared" si="14"/>
        <v>宗地开发程度</v>
      </c>
      <c r="R36" s="707" t="s">
        <v>17</v>
      </c>
      <c r="S36" s="708">
        <f t="shared" si="10"/>
        <v>100</v>
      </c>
      <c r="T36" s="707" t="s">
        <v>17</v>
      </c>
      <c r="U36" s="708">
        <f t="shared" si="11"/>
        <v>100</v>
      </c>
      <c r="V36" s="707" t="s">
        <v>17</v>
      </c>
      <c r="W36" s="708">
        <f t="shared" si="12"/>
        <v>100</v>
      </c>
      <c r="X36" s="709"/>
      <c r="Y36" s="3485"/>
      <c r="Z36" s="55" t="str">
        <f t="shared" si="13"/>
        <v>宗地开发程度</v>
      </c>
      <c r="AA36" s="710">
        <f t="shared" si="3"/>
        <v>1</v>
      </c>
      <c r="AB36" s="710">
        <f t="shared" si="4"/>
        <v>1</v>
      </c>
      <c r="AC36" s="710">
        <f t="shared" si="5"/>
        <v>1</v>
      </c>
    </row>
    <row r="37" spans="1:31" ht="15">
      <c r="A37" s="431"/>
      <c r="B37" s="381" t="s">
        <v>2335</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5"/>
      <c r="M37" s="2889"/>
      <c r="N37" s="2889"/>
      <c r="O37" s="2947"/>
      <c r="P37" s="3485" t="s">
        <v>2145</v>
      </c>
      <c r="Q37" s="1484" t="str">
        <f t="shared" si="14"/>
        <v>工程地质条件</v>
      </c>
      <c r="R37" s="711" t="s">
        <v>17</v>
      </c>
      <c r="S37" s="712">
        <f t="shared" si="10"/>
        <v>100</v>
      </c>
      <c r="T37" s="711" t="s">
        <v>17</v>
      </c>
      <c r="U37" s="712">
        <f t="shared" si="11"/>
        <v>100</v>
      </c>
      <c r="V37" s="711" t="s">
        <v>17</v>
      </c>
      <c r="W37" s="712">
        <f t="shared" si="12"/>
        <v>100</v>
      </c>
      <c r="X37" s="1487"/>
      <c r="Y37" s="3485" t="s">
        <v>2145</v>
      </c>
      <c r="Z37" s="1488" t="str">
        <f t="shared" si="13"/>
        <v>工程地质条件</v>
      </c>
      <c r="AA37" s="1485">
        <f t="shared" si="3"/>
        <v>1</v>
      </c>
      <c r="AB37" s="1485">
        <f t="shared" si="4"/>
        <v>1</v>
      </c>
      <c r="AC37" s="1485">
        <f t="shared" si="5"/>
        <v>1</v>
      </c>
    </row>
    <row r="38" spans="1:31" ht="15">
      <c r="A38" s="431"/>
      <c r="B38" s="1246">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5"/>
      <c r="M38" s="2889"/>
      <c r="N38" s="2889"/>
      <c r="O38" s="2947"/>
      <c r="P38" s="3485"/>
      <c r="Q38" s="1484">
        <f t="shared" si="14"/>
        <v>111</v>
      </c>
      <c r="R38" s="711" t="s">
        <v>17</v>
      </c>
      <c r="S38" s="712">
        <f t="shared" si="10"/>
        <v>100</v>
      </c>
      <c r="T38" s="711" t="s">
        <v>17</v>
      </c>
      <c r="U38" s="712">
        <f t="shared" si="11"/>
        <v>100</v>
      </c>
      <c r="V38" s="711" t="s">
        <v>17</v>
      </c>
      <c r="W38" s="712">
        <f t="shared" si="12"/>
        <v>100</v>
      </c>
      <c r="X38" s="1487"/>
      <c r="Y38" s="3485"/>
      <c r="Z38" s="1488">
        <f t="shared" si="13"/>
        <v>111</v>
      </c>
      <c r="AA38" s="1485">
        <f t="shared" si="3"/>
        <v>1</v>
      </c>
      <c r="AB38" s="1485">
        <f t="shared" si="4"/>
        <v>1</v>
      </c>
      <c r="AC38" s="1485">
        <f t="shared" si="5"/>
        <v>1</v>
      </c>
    </row>
    <row r="39" spans="1:31" ht="15">
      <c r="A39" s="431"/>
      <c r="B39" s="1246">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5"/>
      <c r="M39" s="2889"/>
      <c r="N39" s="2889"/>
      <c r="O39" s="2947"/>
      <c r="P39" s="3485"/>
      <c r="Q39" s="1484">
        <f t="shared" si="14"/>
        <v>111</v>
      </c>
      <c r="R39" s="711" t="s">
        <v>17</v>
      </c>
      <c r="S39" s="712">
        <f t="shared" si="10"/>
        <v>100</v>
      </c>
      <c r="T39" s="711" t="s">
        <v>17</v>
      </c>
      <c r="U39" s="712">
        <f t="shared" si="11"/>
        <v>100</v>
      </c>
      <c r="V39" s="711" t="s">
        <v>17</v>
      </c>
      <c r="W39" s="712">
        <f t="shared" si="12"/>
        <v>100</v>
      </c>
      <c r="X39" s="1487"/>
      <c r="Y39" s="3485"/>
      <c r="Z39" s="1488">
        <f t="shared" si="13"/>
        <v>111</v>
      </c>
      <c r="AA39" s="1485">
        <f t="shared" si="3"/>
        <v>1</v>
      </c>
      <c r="AB39" s="1485">
        <f t="shared" si="4"/>
        <v>1</v>
      </c>
      <c r="AC39" s="1485">
        <f t="shared" si="5"/>
        <v>1</v>
      </c>
    </row>
    <row r="40" spans="1:31" s="430" customFormat="1" ht="15.75" thickBot="1">
      <c r="A40" s="427"/>
      <c r="B40" s="1246">
        <v>111</v>
      </c>
      <c r="C40" s="2115"/>
      <c r="D40" s="133">
        <v>100</v>
      </c>
      <c r="E40" s="629"/>
      <c r="F40" s="397">
        <f>SUMIF(120:120,E40,121:121)-SUMIF(120:120,C40,121:121)+100</f>
        <v>100</v>
      </c>
      <c r="G40" s="629"/>
      <c r="H40" s="397">
        <f>SUMIF(120:120,G40,121:121)-SUMIF(120:120,C40,121:121)+100</f>
        <v>100</v>
      </c>
      <c r="I40" s="506"/>
      <c r="J40" s="397">
        <f>SUMIF(120:120,I40,121:121)-SUMIF(120:120,C40,121:121)+100</f>
        <v>100</v>
      </c>
      <c r="K40" s="636"/>
      <c r="L40" s="2894"/>
      <c r="M40" s="2896"/>
      <c r="N40" s="2896"/>
      <c r="O40" s="2948"/>
      <c r="P40" s="3485"/>
      <c r="Q40" s="1484">
        <f t="shared" si="14"/>
        <v>111</v>
      </c>
      <c r="R40" s="714" t="s">
        <v>17</v>
      </c>
      <c r="S40" s="715">
        <f t="shared" si="10"/>
        <v>100</v>
      </c>
      <c r="T40" s="714" t="s">
        <v>17</v>
      </c>
      <c r="U40" s="715">
        <f t="shared" si="11"/>
        <v>100</v>
      </c>
      <c r="V40" s="714" t="s">
        <v>17</v>
      </c>
      <c r="W40" s="715">
        <f t="shared" si="12"/>
        <v>100</v>
      </c>
      <c r="X40" s="716"/>
      <c r="Y40" s="3485"/>
      <c r="Z40" s="717">
        <f t="shared" si="13"/>
        <v>111</v>
      </c>
      <c r="AA40" s="1485">
        <f t="shared" si="3"/>
        <v>1</v>
      </c>
      <c r="AB40" s="1485">
        <f t="shared" si="4"/>
        <v>1</v>
      </c>
      <c r="AC40" s="1485">
        <f t="shared" si="5"/>
        <v>1</v>
      </c>
    </row>
    <row r="41" spans="1:31" ht="15">
      <c r="A41" s="438" t="s">
        <v>2300</v>
      </c>
      <c r="B41" s="2116" t="s">
        <v>2378</v>
      </c>
      <c r="C41" s="637" t="s">
        <v>1</v>
      </c>
      <c r="D41" s="440"/>
      <c r="E41" s="441"/>
      <c r="F41" s="442"/>
      <c r="G41" s="443"/>
      <c r="H41" s="444"/>
      <c r="I41" s="441"/>
      <c r="J41" s="444"/>
      <c r="K41" s="720"/>
      <c r="L41" s="2897"/>
      <c r="M41" s="2889"/>
      <c r="N41" s="2889"/>
      <c r="O41" s="2898"/>
      <c r="P41" s="3467" t="str">
        <f>A41</f>
        <v>成交单价</v>
      </c>
      <c r="Q41" s="3467"/>
      <c r="R41" s="3480">
        <f>E41</f>
        <v>0</v>
      </c>
      <c r="S41" s="3480"/>
      <c r="T41" s="3480">
        <f>G41</f>
        <v>0</v>
      </c>
      <c r="U41" s="3480"/>
      <c r="V41" s="3480">
        <f>I41</f>
        <v>0</v>
      </c>
      <c r="W41" s="3480"/>
      <c r="X41" s="696"/>
      <c r="Y41" s="718"/>
      <c r="Z41" s="696"/>
      <c r="AA41" s="696"/>
      <c r="AB41" s="696"/>
      <c r="AC41" s="696"/>
    </row>
    <row r="42" spans="1:31" ht="15.75" thickBot="1">
      <c r="A42" s="445" t="s">
        <v>2249</v>
      </c>
      <c r="B42" s="638"/>
      <c r="C42" s="448" t="e">
        <f>R43</f>
        <v>#DIV/0!</v>
      </c>
      <c r="D42" s="2486" t="s">
        <v>2637</v>
      </c>
      <c r="E42" s="448" t="e">
        <f>R42</f>
        <v>#DIV/0!</v>
      </c>
      <c r="F42" s="2487"/>
      <c r="G42" s="447" t="e">
        <f>T42</f>
        <v>#DIV/0!</v>
      </c>
      <c r="H42" s="2487"/>
      <c r="I42" s="448" t="e">
        <f>V42</f>
        <v>#DIV/0!</v>
      </c>
      <c r="J42" s="2487"/>
      <c r="K42" s="2489">
        <f>F42+H42+J42</f>
        <v>0</v>
      </c>
      <c r="L42" s="2897"/>
      <c r="M42" s="2889"/>
      <c r="N42" s="2889"/>
      <c r="O42" s="2898"/>
      <c r="P42" s="3467" t="str">
        <f>A42</f>
        <v>比较价值（元/平方米）</v>
      </c>
      <c r="Q42" s="3467"/>
      <c r="R42" s="3486" t="e">
        <f>ROUND(PRODUCT(R41,AA7:AA40),0)</f>
        <v>#DIV/0!</v>
      </c>
      <c r="S42" s="3486"/>
      <c r="T42" s="3486" t="e">
        <f>ROUND(PRODUCT(T41,AB7:AB40),0)</f>
        <v>#DIV/0!</v>
      </c>
      <c r="U42" s="3486"/>
      <c r="V42" s="3486" t="e">
        <f>ROUND(PRODUCT(V41,AC7:AC40),0)</f>
        <v>#DIV/0!</v>
      </c>
      <c r="W42" s="3486"/>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7"/>
      <c r="M43" s="2889"/>
      <c r="N43" s="2889"/>
      <c r="O43" s="2898"/>
      <c r="P43" s="3487" t="str">
        <f>A43</f>
        <v>估价对象XX用房的比较价值（楼面单价，元/平方米）</v>
      </c>
      <c r="Q43" s="3488"/>
      <c r="R43" s="3489" t="e">
        <f>ROUND(IF(D42="简单平均",AVERAGE(R42:W42),R42*F42+T42*H42+V42*J42),0)</f>
        <v>#DIV/0!</v>
      </c>
      <c r="S43" s="3489"/>
      <c r="T43" s="3489"/>
      <c r="U43" s="3489"/>
      <c r="V43" s="3489"/>
      <c r="W43" s="3489"/>
      <c r="X43" s="696"/>
      <c r="Y43" s="696"/>
      <c r="Z43" s="696"/>
      <c r="AA43" s="696"/>
      <c r="AB43" s="696"/>
      <c r="AC43" s="696"/>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699"/>
      <c r="D49" s="697"/>
      <c r="E49" s="697"/>
      <c r="F49" s="697"/>
      <c r="G49" s="697"/>
      <c r="H49" s="697"/>
      <c r="I49" s="697"/>
      <c r="J49" s="697"/>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39" t="s">
        <v>2338</v>
      </c>
      <c r="B50" s="640" t="s">
        <v>2339</v>
      </c>
      <c r="C50" s="2117" t="s">
        <v>2340</v>
      </c>
      <c r="D50" s="2118" t="s">
        <v>2341</v>
      </c>
      <c r="E50" s="641" t="s">
        <v>2342</v>
      </c>
      <c r="F50" s="642" t="s">
        <v>2343</v>
      </c>
      <c r="G50" s="3468" t="s">
        <v>2344</v>
      </c>
      <c r="H50" s="3490"/>
      <c r="I50" s="1488" t="s">
        <v>2379</v>
      </c>
      <c r="J50" s="1488" t="str">
        <f>项目基本情况!F35</f>
        <v>湖北省黄石市</v>
      </c>
      <c r="K50" s="2120" t="s">
        <v>2346</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7" customFormat="1">
      <c r="A51" s="643" t="s">
        <v>2347</v>
      </c>
      <c r="B51" s="644" t="e">
        <f>C43</f>
        <v>#DIV/0!</v>
      </c>
      <c r="C51" s="645">
        <v>1</v>
      </c>
      <c r="D51" s="1053">
        <v>1</v>
      </c>
      <c r="E51" s="645">
        <f>'数据-汇总表'!E8+'数据-汇总表'!E9</f>
        <v>254.29000000000002</v>
      </c>
      <c r="F51" s="646" t="e">
        <f t="shared" ref="F51:F60" si="15">ROUND(B51*E51/10000,0)</f>
        <v>#DIV/0!</v>
      </c>
      <c r="G51" s="3491"/>
      <c r="H51" s="3467"/>
      <c r="I51" s="857">
        <v>1</v>
      </c>
      <c r="J51" s="857">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7" customFormat="1">
      <c r="A52" s="648" t="s">
        <v>2348</v>
      </c>
      <c r="B52" s="224" t="e">
        <f>ROUND($C$43*C52*D52,0)</f>
        <v>#DIV/0!</v>
      </c>
      <c r="C52" s="176">
        <f t="shared" ref="C52:C60" si="16">IF($C$50="北京市系数",I52,J52)</f>
        <v>0</v>
      </c>
      <c r="D52" s="1054">
        <v>0.25</v>
      </c>
      <c r="E52" s="649"/>
      <c r="F52" s="646" t="e">
        <f t="shared" si="15"/>
        <v>#DIV/0!</v>
      </c>
      <c r="G52" s="3222" t="s">
        <v>2349</v>
      </c>
      <c r="H52" s="996">
        <f>项目基本情况!B37</f>
        <v>0</v>
      </c>
      <c r="I52" s="857">
        <f>SUMIF(修正!A57:A68,H52,修正!B57:B68)</f>
        <v>0</v>
      </c>
      <c r="J52" s="858"/>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7" customFormat="1">
      <c r="A53" s="648" t="s">
        <v>2350</v>
      </c>
      <c r="B53" s="224" t="e">
        <f t="shared" ref="B53:B60" si="17">ROUND($C$43*C53*D53,0)</f>
        <v>#DIV/0!</v>
      </c>
      <c r="C53" s="176">
        <f t="shared" si="16"/>
        <v>0</v>
      </c>
      <c r="D53" s="1054">
        <v>0.25</v>
      </c>
      <c r="E53" s="649"/>
      <c r="F53" s="646" t="e">
        <f t="shared" si="15"/>
        <v>#DIV/0!</v>
      </c>
      <c r="G53" s="3223"/>
      <c r="H53" s="996">
        <f>项目基本情况!B37</f>
        <v>0</v>
      </c>
      <c r="I53" s="857">
        <f>SUMIF(修正!A57:A68,H53,修正!C57:C68)</f>
        <v>0</v>
      </c>
      <c r="J53" s="858"/>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7" customFormat="1">
      <c r="A54" s="648" t="s">
        <v>2351</v>
      </c>
      <c r="B54" s="224" t="e">
        <f t="shared" si="17"/>
        <v>#DIV/0!</v>
      </c>
      <c r="C54" s="176">
        <f t="shared" si="16"/>
        <v>0</v>
      </c>
      <c r="D54" s="1054">
        <v>0.25</v>
      </c>
      <c r="E54" s="649"/>
      <c r="F54" s="646" t="e">
        <f t="shared" si="15"/>
        <v>#DIV/0!</v>
      </c>
      <c r="G54" s="3223"/>
      <c r="H54" s="996">
        <f>项目基本情况!B37</f>
        <v>0</v>
      </c>
      <c r="I54" s="857">
        <f>SUMIF(修正!A57:A68,H54,修正!D57:D68)</f>
        <v>0</v>
      </c>
      <c r="J54" s="858"/>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7" customFormat="1" hidden="1">
      <c r="A55" s="648"/>
      <c r="B55" s="224"/>
      <c r="C55" s="176"/>
      <c r="D55" s="1054"/>
      <c r="E55" s="649"/>
      <c r="F55" s="646"/>
      <c r="G55" s="3224"/>
      <c r="H55" s="996"/>
      <c r="I55" s="857"/>
      <c r="J55" s="858"/>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7" customFormat="1">
      <c r="A56" s="648" t="s">
        <v>2352</v>
      </c>
      <c r="B56" s="224" t="e">
        <f t="shared" si="17"/>
        <v>#DIV/0!</v>
      </c>
      <c r="C56" s="176">
        <f t="shared" si="16"/>
        <v>0</v>
      </c>
      <c r="D56" s="1054">
        <v>0.25</v>
      </c>
      <c r="E56" s="223">
        <f>'数据-汇总表'!E11</f>
        <v>0</v>
      </c>
      <c r="F56" s="646" t="e">
        <f t="shared" si="15"/>
        <v>#DIV/0!</v>
      </c>
      <c r="G56" s="2121" t="s">
        <v>2353</v>
      </c>
      <c r="H56" s="996">
        <f>项目基本情况!C37</f>
        <v>0</v>
      </c>
      <c r="I56" s="857">
        <f>SUMIF(修正!A57:A68,H56,修正!E57:E68)</f>
        <v>0</v>
      </c>
      <c r="J56" s="858"/>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7" customFormat="1">
      <c r="A57" s="648" t="s">
        <v>2354</v>
      </c>
      <c r="B57" s="224" t="e">
        <f t="shared" si="17"/>
        <v>#DIV/0!</v>
      </c>
      <c r="C57" s="176">
        <f t="shared" si="16"/>
        <v>0</v>
      </c>
      <c r="D57" s="1054">
        <v>0.25</v>
      </c>
      <c r="E57" s="223">
        <f>'数据-汇总表'!E12</f>
        <v>0</v>
      </c>
      <c r="F57" s="646" t="e">
        <f t="shared" si="15"/>
        <v>#DIV/0!</v>
      </c>
      <c r="G57" s="1001" t="s">
        <v>2355</v>
      </c>
      <c r="H57" s="996">
        <f>IF(G57="商业",项目基本情况!B37,IF(G57="办公",项目基本情况!C37,IF(G57="住宅",项目基本情况!D37,项目基本情况!E37)))</f>
        <v>0</v>
      </c>
      <c r="I57" s="857">
        <f>SUMIF(修正!A57:A68,H57,修正!F57:F68)</f>
        <v>0</v>
      </c>
      <c r="J57" s="858"/>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7" customFormat="1">
      <c r="A58" s="648" t="s">
        <v>2356</v>
      </c>
      <c r="B58" s="224" t="e">
        <f t="shared" si="17"/>
        <v>#DIV/0!</v>
      </c>
      <c r="C58" s="176">
        <f t="shared" si="16"/>
        <v>0</v>
      </c>
      <c r="D58" s="1054">
        <v>0.25</v>
      </c>
      <c r="E58" s="223">
        <f>'数据-汇总表'!E13</f>
        <v>0</v>
      </c>
      <c r="F58" s="646" t="e">
        <f t="shared" si="15"/>
        <v>#DIV/0!</v>
      </c>
      <c r="G58" s="1001" t="s">
        <v>2357</v>
      </c>
      <c r="H58" s="996">
        <f>IF(G58="商业",项目基本情况!B37,IF(G58="办公",项目基本情况!C37,IF(G58="住宅",项目基本情况!D37,项目基本情况!E37)))</f>
        <v>0</v>
      </c>
      <c r="I58" s="857">
        <f>SUMIF(修正!A57:A68,H58,修正!G57:G68)</f>
        <v>0</v>
      </c>
      <c r="J58" s="858"/>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7" customFormat="1">
      <c r="A59" s="648" t="s">
        <v>2358</v>
      </c>
      <c r="B59" s="224" t="e">
        <f t="shared" si="17"/>
        <v>#DIV/0!</v>
      </c>
      <c r="C59" s="176">
        <f t="shared" si="16"/>
        <v>0</v>
      </c>
      <c r="D59" s="1054">
        <v>0.25</v>
      </c>
      <c r="E59" s="223">
        <f>'数据-汇总表'!E14</f>
        <v>0</v>
      </c>
      <c r="F59" s="646" t="e">
        <f t="shared" si="15"/>
        <v>#DIV/0!</v>
      </c>
      <c r="G59" s="2121" t="s">
        <v>2349</v>
      </c>
      <c r="H59" s="996">
        <f>项目基本情况!B37</f>
        <v>0</v>
      </c>
      <c r="I59" s="857">
        <f>SUMIF(修正!A57:A68,H59,修正!G57:G68)</f>
        <v>0</v>
      </c>
      <c r="J59" s="858"/>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7" customFormat="1" ht="15" thickBot="1">
      <c r="A60" s="648" t="s">
        <v>2359</v>
      </c>
      <c r="B60" s="224" t="e">
        <f t="shared" si="17"/>
        <v>#DIV/0!</v>
      </c>
      <c r="C60" s="176">
        <f t="shared" si="16"/>
        <v>0</v>
      </c>
      <c r="D60" s="1054">
        <v>0.25</v>
      </c>
      <c r="E60" s="223">
        <f>'数据-汇总表'!E15</f>
        <v>0</v>
      </c>
      <c r="F60" s="646" t="e">
        <f t="shared" si="15"/>
        <v>#DIV/0!</v>
      </c>
      <c r="G60" s="2122" t="s">
        <v>2353</v>
      </c>
      <c r="H60" s="1006">
        <f>项目基本情况!C37</f>
        <v>0</v>
      </c>
      <c r="I60" s="857">
        <f>SUMIF(修正!A57:A68,H60,修正!G57:G68)</f>
        <v>0</v>
      </c>
      <c r="J60" s="858"/>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7" customFormat="1" ht="15" thickBot="1">
      <c r="A61" s="650" t="s">
        <v>2360</v>
      </c>
      <c r="B61" s="651" t="s">
        <v>28</v>
      </c>
      <c r="C61" s="651" t="s">
        <v>29</v>
      </c>
      <c r="D61" s="651" t="s">
        <v>816</v>
      </c>
      <c r="E61" s="651">
        <f>IF(B41="楼面地价",SUM(E51:E60),'数据-汇总表'!D3)</f>
        <v>0</v>
      </c>
      <c r="F61" s="652" t="e">
        <f>IF(B41="楼面地价",SUM(F51:F60),ROUND(C43*E61/10000,0))</f>
        <v>#DIV/0!</v>
      </c>
      <c r="G61" s="1048"/>
      <c r="H61" s="1048"/>
      <c r="I61" s="1048"/>
      <c r="J61" s="1048"/>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6"/>
      <c r="B62" s="1038"/>
      <c r="C62" s="1040"/>
      <c r="D62" s="1036"/>
      <c r="E62" s="1036"/>
      <c r="F62" s="1036"/>
      <c r="G62" s="1036"/>
      <c r="H62" s="1036"/>
      <c r="I62" s="1036"/>
      <c r="J62" s="1036"/>
      <c r="K62" s="997"/>
      <c r="L62" s="998"/>
      <c r="M62" s="1036"/>
      <c r="N62" s="1036"/>
      <c r="O62" s="1036"/>
      <c r="P62" s="2898"/>
      <c r="Q62" s="2898"/>
      <c r="R62" s="2898"/>
      <c r="S62" s="2898"/>
      <c r="T62" s="2898"/>
      <c r="U62" s="2898"/>
      <c r="V62" s="2898"/>
      <c r="W62" s="2898"/>
      <c r="X62" s="2898"/>
      <c r="Y62" s="2898"/>
      <c r="Z62" s="2898"/>
      <c r="AA62" s="2898"/>
      <c r="AB62" s="2898"/>
      <c r="AC62" s="2898"/>
      <c r="AD62" s="2898"/>
      <c r="AE62" s="2898"/>
    </row>
    <row r="63" spans="1:31">
      <c r="A63" s="1036"/>
      <c r="B63" s="1038"/>
      <c r="C63" s="698" t="str">
        <f>YEAR(C7)&amp;"-"&amp;MONTH(C7)&amp;"-1"</f>
        <v>2022-5-1</v>
      </c>
      <c r="D63" s="698">
        <f>EDATE(C63,-3)</f>
        <v>44593</v>
      </c>
      <c r="E63" s="698">
        <f>EDATE(D63,-3)</f>
        <v>44501</v>
      </c>
      <c r="F63" s="698">
        <f t="shared" ref="F63:O63" si="18">EDATE(E63,-3)</f>
        <v>44409</v>
      </c>
      <c r="G63" s="698">
        <f t="shared" si="18"/>
        <v>44317</v>
      </c>
      <c r="H63" s="698">
        <f t="shared" si="18"/>
        <v>44228</v>
      </c>
      <c r="I63" s="698">
        <f t="shared" si="18"/>
        <v>44136</v>
      </c>
      <c r="J63" s="698">
        <f t="shared" si="18"/>
        <v>44044</v>
      </c>
      <c r="K63" s="698">
        <f t="shared" si="18"/>
        <v>43952</v>
      </c>
      <c r="L63" s="698">
        <f t="shared" si="18"/>
        <v>43862</v>
      </c>
      <c r="M63" s="698">
        <f t="shared" si="18"/>
        <v>43770</v>
      </c>
      <c r="N63" s="698">
        <f t="shared" si="18"/>
        <v>43678</v>
      </c>
      <c r="O63" s="698">
        <f t="shared" si="18"/>
        <v>43586</v>
      </c>
      <c r="P63" s="2898"/>
      <c r="Q63" s="2898"/>
      <c r="R63" s="2898"/>
      <c r="S63" s="2898"/>
      <c r="T63" s="2898"/>
      <c r="U63" s="2898"/>
      <c r="V63" s="2898"/>
      <c r="W63" s="2898"/>
      <c r="X63" s="2898"/>
      <c r="Y63" s="2898"/>
      <c r="Z63" s="2898"/>
      <c r="AA63" s="2898"/>
      <c r="AB63" s="2898"/>
      <c r="AC63" s="2898"/>
      <c r="AD63" s="2898"/>
      <c r="AE63" s="2898"/>
    </row>
    <row r="64" spans="1:31" ht="21.75" thickBot="1">
      <c r="A64" s="700" t="s">
        <v>2254</v>
      </c>
      <c r="B64" s="696"/>
      <c r="C64" s="701"/>
      <c r="D64" s="701"/>
      <c r="E64" s="701"/>
      <c r="F64" s="702"/>
      <c r="G64" s="702"/>
      <c r="H64" s="701"/>
      <c r="I64" s="701"/>
      <c r="J64" s="701"/>
      <c r="K64" s="703"/>
      <c r="L64" s="704"/>
      <c r="M64" s="701"/>
      <c r="N64" s="701"/>
      <c r="O64" s="1049"/>
      <c r="P64" s="2942"/>
      <c r="Q64" s="2912"/>
      <c r="R64" s="2898"/>
      <c r="S64" s="2898"/>
      <c r="T64" s="2898"/>
      <c r="U64" s="2898"/>
      <c r="V64" s="2898"/>
      <c r="W64" s="2898"/>
      <c r="X64" s="2898"/>
      <c r="Y64" s="2898"/>
      <c r="Z64" s="2898"/>
      <c r="AA64" s="2898"/>
      <c r="AB64" s="2898"/>
      <c r="AC64" s="2898"/>
      <c r="AD64" s="2898"/>
      <c r="AE64" s="2898"/>
    </row>
    <row r="65" spans="1:31" s="465" customFormat="1" ht="15">
      <c r="A65" s="2123" t="s">
        <v>2361</v>
      </c>
      <c r="B65" s="1219"/>
      <c r="C65" s="1294" t="str">
        <f>YEAR(C63)&amp;"-"&amp;ROUNDUP(MONTH(C63)/3,0)</f>
        <v>2022-2</v>
      </c>
      <c r="D65" s="1294" t="str">
        <f t="shared" ref="D65:O65" si="19">YEAR(D63)&amp;"-"&amp;ROUNDUP(MONTH(D63)/3,0)</f>
        <v>2022-1</v>
      </c>
      <c r="E65" s="1294" t="str">
        <f t="shared" si="19"/>
        <v>2021-4</v>
      </c>
      <c r="F65" s="1294" t="str">
        <f t="shared" si="19"/>
        <v>2021-3</v>
      </c>
      <c r="G65" s="1294" t="str">
        <f t="shared" si="19"/>
        <v>2021-2</v>
      </c>
      <c r="H65" s="1294" t="str">
        <f t="shared" si="19"/>
        <v>2021-1</v>
      </c>
      <c r="I65" s="1294" t="str">
        <f t="shared" si="19"/>
        <v>2020-4</v>
      </c>
      <c r="J65" s="1294" t="str">
        <f t="shared" si="19"/>
        <v>2020-3</v>
      </c>
      <c r="K65" s="1294" t="str">
        <f t="shared" si="19"/>
        <v>2020-2</v>
      </c>
      <c r="L65" s="1294" t="str">
        <f t="shared" si="19"/>
        <v>2020-1</v>
      </c>
      <c r="M65" s="1294" t="str">
        <f t="shared" si="19"/>
        <v>2019-4</v>
      </c>
      <c r="N65" s="1294" t="str">
        <f t="shared" si="19"/>
        <v>2019-3</v>
      </c>
      <c r="O65" s="1294" t="str">
        <f t="shared" si="19"/>
        <v>2019-2</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8" t="s">
        <v>2380</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2"/>
      <c r="Q66" s="2833"/>
      <c r="R66" s="2833"/>
      <c r="S66" s="2833"/>
      <c r="T66" s="2833"/>
      <c r="U66" s="2833"/>
      <c r="V66" s="2833"/>
      <c r="W66" s="2833"/>
      <c r="X66" s="2833"/>
      <c r="Y66" s="2833"/>
      <c r="Z66" s="2833"/>
      <c r="AA66" s="2833"/>
      <c r="AB66" s="2833"/>
      <c r="AC66" s="2833"/>
      <c r="AD66" s="2833"/>
      <c r="AE66" s="2833"/>
    </row>
    <row r="67" spans="1:31" s="113" customFormat="1" ht="15.75" thickBot="1">
      <c r="A67" s="472" t="s">
        <v>2165</v>
      </c>
      <c r="B67" s="473"/>
      <c r="C67" s="474"/>
      <c r="D67" s="475"/>
      <c r="E67" s="475"/>
      <c r="F67" s="475"/>
      <c r="G67" s="475"/>
      <c r="H67" s="475"/>
      <c r="I67" s="475"/>
      <c r="J67" s="475"/>
      <c r="K67" s="475"/>
      <c r="L67" s="475"/>
      <c r="M67" s="476"/>
      <c r="N67" s="476"/>
      <c r="O67" s="477"/>
      <c r="P67" s="2912"/>
      <c r="Q67" s="2912"/>
      <c r="R67" s="2833"/>
      <c r="S67" s="2833"/>
      <c r="T67" s="2833"/>
      <c r="U67" s="2833"/>
      <c r="V67" s="2833"/>
      <c r="W67" s="2833"/>
      <c r="X67" s="2833"/>
      <c r="Y67" s="2833"/>
      <c r="Z67" s="2833"/>
      <c r="AA67" s="2833"/>
      <c r="AB67" s="2833"/>
      <c r="AC67" s="2833"/>
      <c r="AD67" s="2833"/>
      <c r="AE67" s="2833"/>
    </row>
    <row r="68" spans="1:31" s="113" customFormat="1" ht="15">
      <c r="A68" s="478" t="s">
        <v>2130</v>
      </c>
      <c r="B68" s="467"/>
      <c r="C68" s="479" t="s">
        <v>2232</v>
      </c>
      <c r="D68" s="480"/>
      <c r="E68" s="480"/>
      <c r="F68" s="480"/>
      <c r="G68" s="480"/>
      <c r="H68" s="480"/>
      <c r="I68" s="480"/>
      <c r="J68" s="480"/>
      <c r="K68" s="480"/>
      <c r="L68" s="481"/>
      <c r="M68" s="482"/>
      <c r="N68" s="2925"/>
      <c r="O68" s="2925"/>
      <c r="P68" s="2950"/>
      <c r="Q68" s="2912"/>
      <c r="R68" s="2833"/>
      <c r="S68" s="2833"/>
      <c r="T68" s="2833"/>
      <c r="U68" s="2833"/>
      <c r="V68" s="2833"/>
      <c r="W68" s="2833"/>
      <c r="X68" s="2833"/>
      <c r="Y68" s="2833"/>
      <c r="Z68" s="2833"/>
      <c r="AA68" s="2833"/>
      <c r="AB68" s="2833"/>
      <c r="AC68" s="2833"/>
      <c r="AD68" s="2833"/>
      <c r="AE68" s="2833"/>
    </row>
    <row r="69" spans="1:31" s="113" customFormat="1" ht="15.75" thickBot="1">
      <c r="A69" s="478"/>
      <c r="B69" s="467"/>
      <c r="C69" s="594">
        <v>100</v>
      </c>
      <c r="D69" s="469"/>
      <c r="E69" s="469"/>
      <c r="F69" s="469"/>
      <c r="G69" s="469"/>
      <c r="H69" s="469"/>
      <c r="I69" s="469"/>
      <c r="J69" s="469"/>
      <c r="K69" s="469"/>
      <c r="L69" s="469"/>
      <c r="M69" s="471"/>
      <c r="N69" s="2925"/>
      <c r="O69" s="2925"/>
      <c r="P69" s="2912"/>
      <c r="Q69" s="2912"/>
      <c r="R69" s="2833"/>
      <c r="S69" s="2833"/>
      <c r="T69" s="2833"/>
      <c r="U69" s="2833"/>
      <c r="V69" s="2833"/>
      <c r="W69" s="2833"/>
      <c r="X69" s="2833"/>
      <c r="Y69" s="2833"/>
      <c r="Z69" s="2833"/>
      <c r="AA69" s="2833"/>
      <c r="AB69" s="2833"/>
      <c r="AC69" s="2833"/>
      <c r="AD69" s="2833"/>
      <c r="AE69" s="2833"/>
    </row>
    <row r="70" spans="1:31">
      <c r="A70" s="484" t="s">
        <v>2168</v>
      </c>
      <c r="B70" s="485" t="s">
        <v>2134</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2137</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2139</v>
      </c>
      <c r="B83" s="485" t="s">
        <v>2285</v>
      </c>
      <c r="C83" s="530" t="s">
        <v>2177</v>
      </c>
      <c r="D83" s="530" t="s">
        <v>2178</v>
      </c>
      <c r="E83" s="530" t="s">
        <v>2179</v>
      </c>
      <c r="F83" s="530" t="s">
        <v>2180</v>
      </c>
      <c r="G83" s="530" t="s">
        <v>2181</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2182</v>
      </c>
      <c r="C85" s="535" t="s">
        <v>2177</v>
      </c>
      <c r="D85" s="535" t="s">
        <v>2178</v>
      </c>
      <c r="E85" s="535" t="s">
        <v>2179</v>
      </c>
      <c r="F85" s="535" t="s">
        <v>2180</v>
      </c>
      <c r="G85" s="535" t="s">
        <v>2181</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2363</v>
      </c>
      <c r="C87" s="530" t="s">
        <v>2177</v>
      </c>
      <c r="D87" s="530" t="s">
        <v>2178</v>
      </c>
      <c r="E87" s="530" t="s">
        <v>2179</v>
      </c>
      <c r="F87" s="530" t="s">
        <v>2180</v>
      </c>
      <c r="G87" s="530" t="s">
        <v>2181</v>
      </c>
      <c r="H87" s="535"/>
      <c r="I87" s="535"/>
      <c r="J87" s="535"/>
      <c r="K87" s="535"/>
      <c r="L87" s="653"/>
      <c r="M87" s="577"/>
      <c r="N87" s="2925"/>
      <c r="O87" s="2925"/>
      <c r="P87" s="2951"/>
      <c r="Q87" s="2912"/>
      <c r="R87" s="2833"/>
      <c r="S87" s="2833"/>
      <c r="T87" s="2833"/>
      <c r="U87" s="2833"/>
      <c r="V87" s="2833"/>
      <c r="W87" s="2833"/>
      <c r="X87" s="2833"/>
      <c r="Y87" s="2833"/>
      <c r="Z87" s="2833"/>
      <c r="AA87" s="2833"/>
      <c r="AB87" s="2833"/>
      <c r="AC87" s="2833"/>
      <c r="AD87" s="2833"/>
      <c r="AE87" s="283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3"/>
      <c r="S88" s="2833"/>
      <c r="T88" s="2833"/>
      <c r="U88" s="2833"/>
      <c r="V88" s="2833"/>
      <c r="W88" s="2833"/>
      <c r="X88" s="2833"/>
      <c r="Y88" s="2833"/>
      <c r="Z88" s="2833"/>
      <c r="AA88" s="2833"/>
      <c r="AB88" s="2833"/>
      <c r="AC88" s="2833"/>
      <c r="AD88" s="2833"/>
      <c r="AE88" s="2833"/>
    </row>
    <row r="89" spans="1:31" s="113" customFormat="1" ht="27.75" thickTop="1">
      <c r="A89" s="536"/>
      <c r="B89" s="495" t="s">
        <v>2364</v>
      </c>
      <c r="C89" s="530" t="s">
        <v>2177</v>
      </c>
      <c r="D89" s="530" t="s">
        <v>2178</v>
      </c>
      <c r="E89" s="530" t="s">
        <v>2179</v>
      </c>
      <c r="F89" s="530" t="s">
        <v>2180</v>
      </c>
      <c r="G89" s="530" t="s">
        <v>2181</v>
      </c>
      <c r="H89" s="535"/>
      <c r="I89" s="535"/>
      <c r="J89" s="535"/>
      <c r="K89" s="535"/>
      <c r="L89" s="535"/>
      <c r="M89" s="577"/>
      <c r="N89" s="2925"/>
      <c r="O89" s="2925"/>
      <c r="P89" s="2951"/>
      <c r="Q89" s="2912"/>
      <c r="R89" s="2833"/>
      <c r="S89" s="2833"/>
      <c r="T89" s="2833"/>
      <c r="U89" s="2833"/>
      <c r="V89" s="2833"/>
      <c r="W89" s="2833"/>
      <c r="X89" s="2833"/>
      <c r="Y89" s="2833"/>
      <c r="Z89" s="2833"/>
      <c r="AA89" s="2833"/>
      <c r="AB89" s="2833"/>
      <c r="AC89" s="2833"/>
      <c r="AD89" s="2833"/>
      <c r="AE89" s="283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3"/>
      <c r="S90" s="2833"/>
      <c r="T90" s="2833"/>
      <c r="U90" s="2833"/>
      <c r="V90" s="2833"/>
      <c r="W90" s="2833"/>
      <c r="X90" s="2833"/>
      <c r="Y90" s="2833"/>
      <c r="Z90" s="2833"/>
      <c r="AA90" s="2833"/>
      <c r="AB90" s="2833"/>
      <c r="AC90" s="2833"/>
      <c r="AD90" s="2833"/>
      <c r="AE90" s="2833"/>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2381</v>
      </c>
      <c r="C93" s="615" t="s">
        <v>2255</v>
      </c>
      <c r="D93" s="615" t="s">
        <v>2256</v>
      </c>
      <c r="E93" s="615" t="s">
        <v>2257</v>
      </c>
      <c r="F93" s="615" t="s">
        <v>2258</v>
      </c>
      <c r="G93" s="615" t="s">
        <v>2259</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2271</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2330</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0"/>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2"/>
      <c r="H106" s="632"/>
      <c r="I106" s="632"/>
      <c r="J106" s="632"/>
      <c r="K106" s="632"/>
      <c r="L106" s="632"/>
      <c r="M106" s="654"/>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2143</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2370</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2372</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2373</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5"/>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125" style="1625" customWidth="1"/>
    <col min="3" max="3" width="11.375" style="1625" customWidth="1"/>
    <col min="4" max="4" width="31.62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2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0"/>
      <c r="C2" s="3260"/>
      <c r="D2" s="3260"/>
      <c r="E2" s="3260"/>
    </row>
    <row r="3" spans="1:5" ht="18">
      <c r="A3" s="3261" t="str">
        <f>IF(项目基本情况!B9="房地产市场价值","估价结果一览表（市场价值不需“结果表-1”）","估价结果一览表")</f>
        <v>估价结果一览表</v>
      </c>
      <c r="B3" s="3261"/>
      <c r="C3" s="3261"/>
      <c r="D3" s="3261"/>
      <c r="E3" s="3261"/>
    </row>
    <row r="4" spans="1:5" ht="19.5" thickBot="1">
      <c r="A4" s="1626"/>
      <c r="B4" s="3259" t="s">
        <v>1354</v>
      </c>
      <c r="C4" s="3259"/>
      <c r="D4" s="3259"/>
      <c r="E4" s="1626"/>
    </row>
    <row r="5" spans="1:5" ht="16.5" thickTop="1">
      <c r="A5" s="1624"/>
      <c r="B5" s="3257" t="s">
        <v>1346</v>
      </c>
      <c r="C5" s="1627" t="s">
        <v>1347</v>
      </c>
      <c r="D5" s="937">
        <f ca="1">结果表!H101</f>
        <v>228</v>
      </c>
      <c r="E5" s="1624"/>
    </row>
    <row r="6" spans="1:5" ht="15.75">
      <c r="A6" s="1624"/>
      <c r="B6" s="3257"/>
      <c r="C6" s="1627" t="s">
        <v>1348</v>
      </c>
      <c r="D6" s="937" t="str">
        <f ca="1">NUMBERSTRING(INT(D5*10000),2)&amp;"元整"</f>
        <v>贰佰贰拾捌万元整</v>
      </c>
      <c r="E6" s="1624"/>
    </row>
    <row r="7" spans="1:5" ht="15.75">
      <c r="A7" s="1624"/>
      <c r="B7" s="3262"/>
      <c r="C7" s="1628" t="s">
        <v>1349</v>
      </c>
      <c r="D7" s="938">
        <f ca="1">结果表!H102</f>
        <v>8966</v>
      </c>
      <c r="E7" s="1624"/>
    </row>
    <row r="8" spans="1:5" ht="15.75">
      <c r="A8" s="1624"/>
      <c r="B8" s="3263" t="str">
        <f>结果表!E103</f>
        <v>2.估价师知悉的法定优先受偿款</v>
      </c>
      <c r="C8" s="1629" t="s">
        <v>1350</v>
      </c>
      <c r="D8" s="938">
        <f>结果表!H103</f>
        <v>0</v>
      </c>
      <c r="E8" s="1624"/>
    </row>
    <row r="9" spans="1:5" ht="15.75">
      <c r="A9" s="1624"/>
      <c r="B9" s="3265"/>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256" t="str">
        <f>结果表!E107</f>
        <v>3.房地产抵押价值</v>
      </c>
      <c r="C13" s="1632" t="s">
        <v>1347</v>
      </c>
      <c r="D13" s="940">
        <f ca="1">结果表!H107</f>
        <v>228</v>
      </c>
      <c r="E13" s="1624"/>
    </row>
    <row r="14" spans="1:5" ht="15.75">
      <c r="A14" s="1624"/>
      <c r="B14" s="3257"/>
      <c r="C14" s="1627" t="s">
        <v>1348</v>
      </c>
      <c r="D14" s="937" t="str">
        <f ca="1">NUMBERSTRING(INT(D13*10000),2)&amp;"元整"</f>
        <v>贰佰贰拾捌万元整</v>
      </c>
      <c r="E14" s="1624"/>
    </row>
    <row r="15" spans="1:5" ht="15">
      <c r="A15" s="1624"/>
      <c r="B15" s="3262"/>
      <c r="C15" s="1628" t="s">
        <v>1358</v>
      </c>
      <c r="D15" s="946">
        <f ca="1">结果表!H108</f>
        <v>8966</v>
      </c>
      <c r="E15" s="1624"/>
    </row>
    <row r="16" spans="1:5" ht="15">
      <c r="A16" s="1624"/>
      <c r="B16" s="3263" t="str">
        <f>结果表!E109</f>
        <v>——</v>
      </c>
      <c r="C16" s="1632" t="s">
        <v>1359</v>
      </c>
      <c r="D16" s="1633" t="str">
        <f>结果表!H109</f>
        <v>——</v>
      </c>
      <c r="E16" s="1624"/>
    </row>
    <row r="17" spans="1:5" ht="15.75">
      <c r="A17" s="1624"/>
      <c r="B17" s="3264"/>
      <c r="C17" s="1627" t="s">
        <v>1360</v>
      </c>
      <c r="D17" s="937" t="e">
        <f>NUMBERSTRING(INT(D16*10000),2)&amp;"元整"</f>
        <v>#VALUE!</v>
      </c>
      <c r="E17" s="1624"/>
    </row>
    <row r="18" spans="1:5" ht="15">
      <c r="A18" s="1624"/>
      <c r="B18" s="3265"/>
      <c r="C18" s="1628" t="s">
        <v>1349</v>
      </c>
      <c r="D18" s="946" t="str">
        <f>结果表!H110</f>
        <v>——</v>
      </c>
      <c r="E18" s="1624"/>
    </row>
    <row r="19" spans="1:5" ht="15.75">
      <c r="A19" s="1624"/>
      <c r="B19" s="3256" t="str">
        <f>结果表!E111</f>
        <v>——</v>
      </c>
      <c r="C19" s="1632" t="s">
        <v>1347</v>
      </c>
      <c r="D19" s="938" t="str">
        <f>结果表!H111</f>
        <v>——</v>
      </c>
      <c r="E19" s="1624"/>
    </row>
    <row r="20" spans="1:5" ht="15.75">
      <c r="A20" s="1624"/>
      <c r="B20" s="3257"/>
      <c r="C20" s="1627" t="s">
        <v>1360</v>
      </c>
      <c r="D20" s="937" t="e">
        <f>NUMBERSTRING(INT(D19*10000),2)&amp;"元整"</f>
        <v>#VALUE!</v>
      </c>
      <c r="E20" s="1624"/>
    </row>
    <row r="21" spans="1:5" ht="15.75" thickBot="1">
      <c r="A21" s="1624"/>
      <c r="B21" s="3258"/>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625" style="2198" customWidth="1"/>
    <col min="2" max="2" width="19.125" style="2301" customWidth="1"/>
    <col min="3" max="4" width="12" style="2132"/>
    <col min="5" max="5" width="14.625" style="2132" customWidth="1"/>
    <col min="6" max="8" width="12" style="2132"/>
    <col min="9" max="9" width="12.125" style="2132" bestFit="1" customWidth="1"/>
    <col min="10" max="10" width="12" style="2132"/>
    <col min="11" max="11" width="8.125" style="2193" customWidth="1"/>
    <col min="12" max="12" width="12" style="2132"/>
    <col min="13" max="13" width="8.5" style="2132" customWidth="1"/>
    <col min="14" max="14" width="9.625" style="2132" customWidth="1"/>
    <col min="15" max="25" width="12" style="2132"/>
    <col min="26" max="26" width="9.375" style="2198" customWidth="1"/>
    <col min="27" max="32" width="9.375" style="1232" customWidth="1"/>
    <col min="33" max="36" width="9.375" style="2198" customWidth="1"/>
    <col min="37" max="38" width="9.375" style="2132" customWidth="1"/>
    <col min="39" max="16384" width="12" style="2132"/>
  </cols>
  <sheetData>
    <row r="1" spans="1:36" ht="28.5">
      <c r="A1" s="202" t="s">
        <v>2382</v>
      </c>
      <c r="B1" s="203"/>
      <c r="C1" s="207" t="s">
        <v>2383</v>
      </c>
      <c r="D1" s="348">
        <f>SUM(D29:D30,D33:D39)</f>
        <v>0</v>
      </c>
      <c r="E1" s="2129"/>
      <c r="F1" s="2129"/>
      <c r="G1" s="2129"/>
      <c r="H1" s="2129"/>
      <c r="I1" s="2129"/>
      <c r="J1" s="2129"/>
      <c r="K1" s="1230"/>
      <c r="L1" s="2130" t="s">
        <v>2384</v>
      </c>
      <c r="M1" s="972">
        <f>SUMPRODUCT((区片价!B5:B9=I2)*(区片价!C3:F3=E2)*(区片价!C5:F9))</f>
        <v>0</v>
      </c>
      <c r="N1" s="975">
        <f>SUMPRODUCT((因素修正幅度!B5:B9=I2)*(因素修正幅度!C3:F3=E2)*(因素修正幅度!C5:F9))</f>
        <v>0</v>
      </c>
      <c r="O1" s="2131"/>
      <c r="P1" s="2131"/>
      <c r="Q1" s="1230"/>
      <c r="R1" s="1324" t="s">
        <v>2385</v>
      </c>
      <c r="S1" s="1324" t="s">
        <v>2386</v>
      </c>
      <c r="T1" s="1324" t="s">
        <v>2387</v>
      </c>
      <c r="U1" s="1324" t="s">
        <v>2388</v>
      </c>
      <c r="V1" s="1324" t="s">
        <v>2389</v>
      </c>
      <c r="W1" s="1328"/>
      <c r="X1" s="1328"/>
      <c r="Y1" s="1328"/>
      <c r="Z1" s="1328"/>
      <c r="AA1" s="1328"/>
      <c r="AB1" s="1328"/>
      <c r="AC1" s="1329"/>
      <c r="AD1" s="1330"/>
      <c r="AE1" s="1330"/>
      <c r="AF1" s="1330"/>
      <c r="AG1" s="1330"/>
      <c r="AH1" s="1330"/>
      <c r="AI1" s="1330"/>
      <c r="AJ1" s="1331"/>
    </row>
    <row r="2" spans="1:36" ht="15.75">
      <c r="A2" s="207" t="s">
        <v>2390</v>
      </c>
      <c r="B2" s="210" t="e">
        <f>C26</f>
        <v>#DIV/0!</v>
      </c>
      <c r="C2" s="2133" t="s">
        <v>2391</v>
      </c>
      <c r="D2" s="2134" t="s">
        <v>2392</v>
      </c>
      <c r="E2" s="2135"/>
      <c r="F2" s="2134" t="s">
        <v>2393</v>
      </c>
      <c r="G2" s="2136">
        <f>IF(E2="商业",项目基本情况!B37,IF(E2="办公",项目基本情况!C37,IF(E2="住宅",项目基本情况!D37,项目基本情况!E37)))</f>
        <v>0</v>
      </c>
      <c r="H2" s="2134" t="s">
        <v>2394</v>
      </c>
      <c r="I2" s="2136">
        <f>IF(E2="商业",项目基本情况!B38,IF(E2="办公",项目基本情况!C38,IF(E2="住宅",项目基本情况!D38,项目基本情况!E38)))</f>
        <v>0</v>
      </c>
      <c r="J2" s="2137"/>
      <c r="K2" s="1230"/>
      <c r="L2" s="2138" t="s">
        <v>2395</v>
      </c>
      <c r="M2" s="973">
        <f>SUMPRODUCT((区片价!B10:B28=I2)*(区片价!C3:F3=E2)*(区片价!C10:F28))</f>
        <v>0</v>
      </c>
      <c r="N2" s="975">
        <f>SUMPRODUCT((因素修正幅度!B10:B28=I2)*(因素修正幅度!C3:F3=E2)*(因素修正幅度!C10:F28))</f>
        <v>0</v>
      </c>
      <c r="O2" s="1230"/>
      <c r="P2" s="1230"/>
      <c r="Q2" s="1230"/>
      <c r="R2" s="1324">
        <v>1</v>
      </c>
      <c r="S2" s="1324" t="e">
        <f>ROUND(IF(G3&gt;1,IF(R2&lt;7,SUMPRODUCT((B93:B98=R2)*(C92:N92=G2)*(C93:N98)),SUMIF(C92:N92,G2,C100:N100)),IF(R2&lt;7,SUMPRODUCT((B102:B107=R2)*(C92:N92=G2)*(C102:N107)),SUMIF(C92:N92,G2,C109:N109))),4)</f>
        <v>#DIV/0!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2396</v>
      </c>
      <c r="B3" s="210" t="e">
        <f>ROUND(B2*10000/D1,0)</f>
        <v>#DIV/0!</v>
      </c>
      <c r="C3" s="2133" t="s">
        <v>2397</v>
      </c>
      <c r="D3" s="2134" t="s">
        <v>2398</v>
      </c>
      <c r="E3" s="2139"/>
      <c r="F3" s="2140" t="s">
        <v>2399</v>
      </c>
      <c r="G3" s="834" t="e">
        <f>IF(F3="宗地容积率",'数据-汇总表'!I4,IF(F3="估价对象容积率",'数据-汇总表'!I6,'数据-汇总表'!I7))</f>
        <v>#DIV/0!</v>
      </c>
      <c r="H3" s="175" t="s">
        <v>2400</v>
      </c>
      <c r="I3" s="859"/>
      <c r="J3" s="2137" t="s">
        <v>2401</v>
      </c>
      <c r="K3" s="1230"/>
      <c r="L3" s="2138" t="s">
        <v>2402</v>
      </c>
      <c r="M3" s="973">
        <f>SUMPRODUCT((区片价!B29:B48=I2)*(区片价!C3:F3=E2)*(区片价!C29:F48))</f>
        <v>0</v>
      </c>
      <c r="N3" s="975">
        <f>SUMPRODUCT((因素修正幅度!B29:B48=I2)*(因素修正幅度!C3:F3=E2)*(因素修正幅度!C29:F48))</f>
        <v>0</v>
      </c>
      <c r="O3" s="1230"/>
      <c r="P3" s="1230"/>
      <c r="Q3" s="1230"/>
      <c r="R3" s="1324">
        <v>2</v>
      </c>
      <c r="S3" s="1324" t="e">
        <f>ROUND(IF(G3&gt;1,IF(R3&lt;7,SUMPRODUCT((B93:B98=R3)*(C92:N92=G2)*(C93:N98)),SUMIF(C92:N92,G2,C100:N100)),IF(R3&lt;7,SUMPRODUCT((B102:B107=R3)*(C92:N92=G2)*(C102:N107)),SUMIF(C92:N92,G2,C109:N109))),4)</f>
        <v>#DIV/0!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577"/>
      <c r="B4" s="3578"/>
      <c r="C4" s="3578"/>
      <c r="D4" s="3579"/>
      <c r="E4" s="3579"/>
      <c r="F4" s="3579"/>
      <c r="G4" s="3579"/>
      <c r="H4" s="3579"/>
      <c r="I4" s="3579"/>
      <c r="J4" s="3580"/>
      <c r="K4" s="1230"/>
      <c r="L4" s="2138" t="s">
        <v>2403</v>
      </c>
      <c r="M4" s="973">
        <f>SUMPRODUCT((区片价!B49:B75=I2)*(区片价!C3:F3=E2)*(区片价!C49:F75))</f>
        <v>0</v>
      </c>
      <c r="N4" s="975">
        <f>SUMPRODUCT((因素修正幅度!B49:B75=I2)*(因素修正幅度!C3:F3=E2)*(因素修正幅度!C49:F75))</f>
        <v>0</v>
      </c>
      <c r="O4" s="1230"/>
      <c r="P4" s="1230"/>
      <c r="Q4" s="1230"/>
      <c r="R4" s="1324">
        <v>3</v>
      </c>
      <c r="S4" s="1324" t="e">
        <f>ROUND(IF(G3&gt;1,IF(R4&lt;7,SUMPRODUCT((B93:B98=R4)*(C92:N92=G2)*(C93:N98)),SUMIF(C92:N92,G2,C100:N100)),IF(R4&lt;7,SUMPRODUCT((B102:B107=R4)*(C92:N92=G2)*(C102:N107)),SUMIF(C92:N92,G2,C109:N109))),4)</f>
        <v>#DIV/0!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50" customFormat="1" ht="15.75" thickBot="1">
      <c r="A5" s="2141" t="s">
        <v>626</v>
      </c>
      <c r="B5" s="2142" t="s">
        <v>2404</v>
      </c>
      <c r="C5" s="835" t="e">
        <f>ROUND(IF(E2="商业",C6*C7+C16,(IF(E2="住宅",C6*C12+C16,C6+C16))),0)</f>
        <v>#DIV/0!</v>
      </c>
      <c r="D5" s="1471" t="e">
        <f>ROUND(C6+C16,0)</f>
        <v>#DIV/0!</v>
      </c>
      <c r="E5" s="1471"/>
      <c r="F5" s="2143"/>
      <c r="G5" s="2144"/>
      <c r="H5" s="2144"/>
      <c r="I5" s="2144"/>
      <c r="J5" s="2145"/>
      <c r="K5" s="2146"/>
      <c r="L5" s="2138" t="s">
        <v>2405</v>
      </c>
      <c r="M5" s="973">
        <f>SUMPRODUCT((区片价!B76:B109=I2)*(区片价!C3:F3=E2)*(区片价!C76:F109))</f>
        <v>0</v>
      </c>
      <c r="N5" s="975">
        <f>SUMPRODUCT((因素修正幅度!B76:B109=I2)*(因素修正幅度!C3:F3=E2)*(因素修正幅度!C76:F109))</f>
        <v>0</v>
      </c>
      <c r="O5" s="1230"/>
      <c r="P5" s="1230"/>
      <c r="Q5" s="1230"/>
      <c r="R5" s="1324">
        <v>4</v>
      </c>
      <c r="S5" s="1324" t="e">
        <f>ROUND(IF(G3&gt;1,IF(R5&lt;7,SUMPRODUCT((B93:B98=R5)*(C92:N92=G2)*(C93:N98)),SUMIF(C92:N92,G2,C100:N100)),IF(R5&lt;7,SUMPRODUCT((B102:B107=R5)*(C92:N92=G2)*(C102:N107)),SUMIF(C92:N92,G2,C109:N109))),4)</f>
        <v>#DIV/0!</v>
      </c>
      <c r="T5" s="1324" t="e">
        <f t="shared" si="0"/>
        <v>#DIV/0!</v>
      </c>
      <c r="U5" s="1325"/>
      <c r="V5" s="1324" t="e">
        <f t="shared" si="1"/>
        <v>#DIV/0!</v>
      </c>
      <c r="W5" s="1328"/>
      <c r="X5" s="1328"/>
      <c r="Y5" s="1328"/>
      <c r="Z5" s="1328"/>
      <c r="AA5" s="1328"/>
      <c r="AB5" s="1328"/>
      <c r="AC5" s="2147"/>
      <c r="AD5" s="2148"/>
      <c r="AE5" s="2148"/>
      <c r="AF5" s="2148"/>
      <c r="AG5" s="2148"/>
      <c r="AH5" s="2148"/>
      <c r="AI5" s="2148"/>
      <c r="AJ5" s="2149"/>
    </row>
    <row r="6" spans="1:36" ht="15.75" thickBot="1">
      <c r="A6" s="2151" t="s">
        <v>2406</v>
      </c>
      <c r="B6" s="2152" t="s">
        <v>2407</v>
      </c>
      <c r="C6" s="836">
        <f>SUMIF(L1:L12,G2,M1:M12)</f>
        <v>0</v>
      </c>
      <c r="D6" s="2153" t="s">
        <v>2408</v>
      </c>
      <c r="E6" s="2154"/>
      <c r="F6" s="2154"/>
      <c r="G6" s="2155"/>
      <c r="H6" s="2155"/>
      <c r="I6" s="2155"/>
      <c r="J6" s="2156"/>
      <c r="K6" s="1516"/>
      <c r="L6" s="2138" t="s">
        <v>2409</v>
      </c>
      <c r="M6" s="973">
        <f>SUMPRODUCT((区片价!B110:B157=I2)*(区片价!C3:F3=E2)*(区片价!C110:F157))</f>
        <v>0</v>
      </c>
      <c r="N6" s="975">
        <f>SUMPRODUCT((因素修正幅度!B110:B157=I2)*(因素修正幅度!C3:F3=E2)*(因素修正幅度!C110:F157))</f>
        <v>0</v>
      </c>
      <c r="O6" s="1230"/>
      <c r="P6" s="1230"/>
      <c r="Q6" s="1230"/>
      <c r="R6" s="1324">
        <v>5</v>
      </c>
      <c r="S6" s="1324" t="e">
        <f>ROUND(IF(G3&gt;1,IF(R6&lt;7,SUMPRODUCT((B93:B98=R6)*(C92:N92=G2)*(C93:N98)),SUMIF(C92:N92,G2,C100:N100)),IF(R6&lt;7,SUMPRODUCT((B102:B107=R6)*(C92:N92=G2)*(C102:N107)),SUMIF(C92:N92,G2,C109:N109))),4)</f>
        <v>#DIV/0!</v>
      </c>
      <c r="T6" s="1324" t="e">
        <f t="shared" si="0"/>
        <v>#DIV/0!</v>
      </c>
      <c r="U6" s="1325"/>
      <c r="V6" s="1324" t="e">
        <f t="shared" si="1"/>
        <v>#DIV/0!</v>
      </c>
      <c r="W6" s="1328"/>
      <c r="X6" s="1328"/>
      <c r="Y6" s="1328"/>
      <c r="Z6" s="1328"/>
      <c r="AA6" s="1328"/>
      <c r="AB6" s="1328"/>
      <c r="AC6" s="2147"/>
      <c r="AD6" s="2148"/>
      <c r="AE6" s="2148"/>
      <c r="AF6" s="2148"/>
      <c r="AG6" s="2148"/>
      <c r="AH6" s="2148"/>
      <c r="AI6" s="2148"/>
      <c r="AJ6" s="2149"/>
    </row>
    <row r="7" spans="1:36" ht="24">
      <c r="A7" s="3558" t="str">
        <f>IF(E2="商业",IF(C8="不临58条商业街","",2),"")</f>
        <v/>
      </c>
      <c r="B7" s="2157" t="s">
        <v>2410</v>
      </c>
      <c r="C7" s="837" t="e">
        <f>IF(C8="不临58条商业街",1,ROUND(1+(1.6*E8+1.2*E9+0.8*E10+0.4*E11)*C9,4))</f>
        <v>#DIV/0!</v>
      </c>
      <c r="D7" s="2158" t="s">
        <v>2411</v>
      </c>
      <c r="E7" s="860"/>
      <c r="F7" s="2159"/>
      <c r="G7" s="2160"/>
      <c r="H7" s="2160"/>
      <c r="I7" s="2160"/>
      <c r="J7" s="2161"/>
      <c r="K7" s="1516"/>
      <c r="L7" s="2138" t="s">
        <v>2412</v>
      </c>
      <c r="M7" s="973">
        <f>SUMPRODUCT((区片价!B158:B205=I2)*(区片价!C3:F3=E2)*(区片价!C158:F205))</f>
        <v>0</v>
      </c>
      <c r="N7" s="975">
        <f>SUMPRODUCT((因素修正幅度!B158:B205=I2)*(因素修正幅度!C3:F3=E2)*(因素修正幅度!C158:F205))</f>
        <v>0</v>
      </c>
      <c r="O7" s="1230"/>
      <c r="P7" s="1230"/>
      <c r="Q7" s="1230"/>
      <c r="R7" s="1324">
        <v>6</v>
      </c>
      <c r="S7" s="1324" t="e">
        <f>ROUND(IF(G3&gt;1,IF(R7&lt;7,SUMPRODUCT((B93:B98=R7)*(C92:N92=G2)*(C93:N98)),SUMIF(C92:N92,G2,C100:N100)),IF(R7&lt;7,SUMPRODUCT((B102:B107=R7)*(C92:N92=G2)*(C102:N107)),SUMIF(C92:N92,G2,C109:N109))),4)</f>
        <v>#DIV/0!</v>
      </c>
      <c r="T7" s="1324" t="e">
        <f t="shared" si="0"/>
        <v>#DIV/0!</v>
      </c>
      <c r="U7" s="1325"/>
      <c r="V7" s="1324" t="e">
        <f t="shared" si="1"/>
        <v>#DIV/0!</v>
      </c>
      <c r="W7" s="1490" t="s">
        <v>2413</v>
      </c>
      <c r="X7" s="1326">
        <f>G2</f>
        <v>0</v>
      </c>
      <c r="Y7" s="1326" t="s">
        <v>2414</v>
      </c>
      <c r="Z7" s="1327" t="e">
        <f>G3</f>
        <v>#DIV/0!</v>
      </c>
      <c r="AA7" s="1328"/>
      <c r="AB7" s="1328"/>
      <c r="AC7" s="1329"/>
      <c r="AD7" s="1330"/>
      <c r="AE7" s="1330"/>
      <c r="AF7" s="1330"/>
      <c r="AG7" s="1330"/>
      <c r="AH7" s="1330"/>
      <c r="AI7" s="1330"/>
      <c r="AJ7" s="1331"/>
    </row>
    <row r="8" spans="1:36" ht="15">
      <c r="A8" s="3581"/>
      <c r="B8" s="175" t="s">
        <v>2415</v>
      </c>
      <c r="C8" s="2162"/>
      <c r="D8" s="838" t="s">
        <v>139</v>
      </c>
      <c r="E8" s="839" t="e">
        <f>ROUND(C11/E7,4)</f>
        <v>#DIV/0!</v>
      </c>
      <c r="F8" s="2163" t="s">
        <v>2416</v>
      </c>
      <c r="G8" s="2164"/>
      <c r="H8" s="2164"/>
      <c r="I8" s="2164"/>
      <c r="J8" s="2165"/>
      <c r="K8" s="1230"/>
      <c r="L8" s="2138" t="s">
        <v>2417</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574" t="s">
        <v>2418</v>
      </c>
      <c r="X8" s="3575"/>
      <c r="Y8" s="1332" t="s">
        <v>2419</v>
      </c>
      <c r="Z8" s="1332" t="s">
        <v>2420</v>
      </c>
      <c r="AA8" s="1332" t="s">
        <v>2421</v>
      </c>
      <c r="AB8" s="1332" t="s">
        <v>2422</v>
      </c>
      <c r="AC8" s="1332" t="s">
        <v>2423</v>
      </c>
      <c r="AD8" s="1332" t="s">
        <v>2424</v>
      </c>
      <c r="AE8" s="1332" t="s">
        <v>2425</v>
      </c>
      <c r="AF8" s="1332" t="s">
        <v>2426</v>
      </c>
      <c r="AG8" s="1332" t="s">
        <v>2427</v>
      </c>
      <c r="AH8" s="1332" t="s">
        <v>2428</v>
      </c>
      <c r="AI8" s="1332" t="s">
        <v>2429</v>
      </c>
      <c r="AJ8" s="1332" t="s">
        <v>2430</v>
      </c>
    </row>
    <row r="9" spans="1:36" ht="15">
      <c r="A9" s="3581"/>
      <c r="B9" s="175" t="s">
        <v>2431</v>
      </c>
      <c r="C9" s="840">
        <f>SUMIF(修正!C71:C138,C8,修正!E71:E138)</f>
        <v>0</v>
      </c>
      <c r="D9" s="176" t="s">
        <v>140</v>
      </c>
      <c r="E9" s="176" t="e">
        <f>ROUND(C11/E7,4)</f>
        <v>#DIV/0!</v>
      </c>
      <c r="F9" s="2163" t="s">
        <v>2432</v>
      </c>
      <c r="G9" s="2164"/>
      <c r="H9" s="2164"/>
      <c r="I9" s="2164"/>
      <c r="J9" s="2165"/>
      <c r="K9" s="1230"/>
      <c r="L9" s="2138" t="s">
        <v>2433</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576" t="s">
        <v>2434</v>
      </c>
      <c r="X9" s="1333" t="s">
        <v>2435</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581"/>
      <c r="B10" s="175" t="s">
        <v>2436</v>
      </c>
      <c r="C10" s="176">
        <f>SUMIF(修正!C71:C138,C8,修正!F71:F138)</f>
        <v>0</v>
      </c>
      <c r="D10" s="176" t="s">
        <v>141</v>
      </c>
      <c r="E10" s="176" t="e">
        <f>ROUND(C11/E7,4)</f>
        <v>#DIV/0!</v>
      </c>
      <c r="F10" s="2163" t="s">
        <v>2437</v>
      </c>
      <c r="G10" s="2164"/>
      <c r="H10" s="2164"/>
      <c r="I10" s="2164"/>
      <c r="J10" s="2165"/>
      <c r="K10" s="1230"/>
      <c r="L10" s="2138" t="s">
        <v>2438</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576"/>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581"/>
      <c r="B11" s="2166" t="s">
        <v>2439</v>
      </c>
      <c r="C11" s="841">
        <f>C10/4</f>
        <v>0</v>
      </c>
      <c r="D11" s="841" t="s">
        <v>142</v>
      </c>
      <c r="E11" s="841" t="e">
        <f>ROUND(C11/E7,4)</f>
        <v>#DIV/0!</v>
      </c>
      <c r="F11" s="2167" t="s">
        <v>2440</v>
      </c>
      <c r="G11" s="2168"/>
      <c r="H11" s="2168"/>
      <c r="I11" s="2168"/>
      <c r="J11" s="2169"/>
      <c r="K11" s="1230"/>
      <c r="L11" s="2138" t="s">
        <v>2441</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576" t="s">
        <v>2442</v>
      </c>
      <c r="X11" s="1336" t="s">
        <v>2443</v>
      </c>
      <c r="Y11" s="1337" t="e">
        <f>$G$3</f>
        <v>#DIV/0!</v>
      </c>
      <c r="Z11" s="1337" t="e">
        <f t="shared" ref="Z11:AJ11" si="3">$G$3</f>
        <v>#DIV/0!</v>
      </c>
      <c r="AA11" s="1337" t="e">
        <f t="shared" si="3"/>
        <v>#DIV/0!</v>
      </c>
      <c r="AB11" s="1337" t="e">
        <f t="shared" si="3"/>
        <v>#DIV/0!</v>
      </c>
      <c r="AC11" s="1337" t="e">
        <f t="shared" si="3"/>
        <v>#DIV/0!</v>
      </c>
      <c r="AD11" s="1337" t="e">
        <f t="shared" si="3"/>
        <v>#DIV/0!</v>
      </c>
      <c r="AE11" s="1337" t="e">
        <f t="shared" si="3"/>
        <v>#DIV/0!</v>
      </c>
      <c r="AF11" s="1337" t="e">
        <f t="shared" si="3"/>
        <v>#DIV/0!</v>
      </c>
      <c r="AG11" s="1337" t="e">
        <f t="shared" si="3"/>
        <v>#DIV/0!</v>
      </c>
      <c r="AH11" s="1337" t="e">
        <f t="shared" si="3"/>
        <v>#DIV/0!</v>
      </c>
      <c r="AI11" s="1337" t="e">
        <f t="shared" si="3"/>
        <v>#DIV/0!</v>
      </c>
      <c r="AJ11" s="1337" t="e">
        <f t="shared" si="3"/>
        <v>#DIV/0!</v>
      </c>
    </row>
    <row r="12" spans="1:36" ht="25.5" thickBot="1">
      <c r="A12" s="3558" t="s">
        <v>2444</v>
      </c>
      <c r="B12" s="2170" t="s">
        <v>2445</v>
      </c>
      <c r="C12" s="837">
        <f>ROUND(C15*D15*E15*F15*G15*H15*I15*J15,4)</f>
        <v>1</v>
      </c>
      <c r="D12" s="2171" t="s">
        <v>2446</v>
      </c>
      <c r="E12" s="2172"/>
      <c r="F12" s="2172"/>
      <c r="G12" s="2173"/>
      <c r="H12" s="2173"/>
      <c r="I12" s="2173"/>
      <c r="J12" s="2174"/>
      <c r="K12" s="1230"/>
      <c r="L12" s="2175" t="s">
        <v>2447</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576"/>
      <c r="X12" s="1338" t="s">
        <v>2448</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582"/>
      <c r="B13" s="2176" t="s">
        <v>2449</v>
      </c>
      <c r="C13" s="2177" t="s">
        <v>2450</v>
      </c>
      <c r="D13" s="1482" t="s">
        <v>2451</v>
      </c>
      <c r="E13" s="1482" t="s">
        <v>2452</v>
      </c>
      <c r="F13" s="30" t="s">
        <v>2453</v>
      </c>
      <c r="G13" s="2178" t="s">
        <v>2454</v>
      </c>
      <c r="H13" s="2178" t="s">
        <v>2454</v>
      </c>
      <c r="I13" s="2178" t="s">
        <v>2454</v>
      </c>
      <c r="J13" s="2179" t="s">
        <v>2454</v>
      </c>
      <c r="K13" s="1230"/>
      <c r="L13" s="1230"/>
      <c r="M13" s="1230"/>
      <c r="N13" s="1230"/>
      <c r="O13" s="1230"/>
      <c r="P13" s="1230"/>
      <c r="Q13" s="1230"/>
      <c r="R13" s="1324">
        <v>12</v>
      </c>
      <c r="S13" s="1325"/>
      <c r="T13" s="1324" t="e">
        <f t="shared" si="0"/>
        <v>#DIV/0!</v>
      </c>
      <c r="U13" s="1325"/>
      <c r="V13" s="1324" t="e">
        <f t="shared" si="1"/>
        <v>#DIV/0!</v>
      </c>
      <c r="W13" s="3576"/>
      <c r="X13" s="1338"/>
      <c r="Y13" s="1335" t="e">
        <f>(-0.163*(Y12^2)-0.59*Y12+7617)*(10^(-4))/Y11</f>
        <v>#DIV/0!</v>
      </c>
      <c r="Z13" s="1335" t="e">
        <f t="shared" ref="Z13:AJ13" si="5">(-0.163*(Z12^2)-0.59*Z12+7617)*(10^(-4))/Z11</f>
        <v>#DIV/0!</v>
      </c>
      <c r="AA13" s="1335" t="e">
        <f t="shared" si="5"/>
        <v>#DIV/0!</v>
      </c>
      <c r="AB13" s="1335" t="e">
        <f t="shared" si="5"/>
        <v>#DIV/0!</v>
      </c>
      <c r="AC13" s="1335" t="e">
        <f t="shared" si="5"/>
        <v>#DIV/0!</v>
      </c>
      <c r="AD13" s="1335" t="e">
        <f t="shared" si="5"/>
        <v>#DIV/0!</v>
      </c>
      <c r="AE13" s="1335" t="e">
        <f t="shared" si="5"/>
        <v>#DIV/0!</v>
      </c>
      <c r="AF13" s="1335" t="e">
        <f t="shared" si="5"/>
        <v>#DIV/0!</v>
      </c>
      <c r="AG13" s="1335" t="e">
        <f t="shared" si="5"/>
        <v>#DIV/0!</v>
      </c>
      <c r="AH13" s="1335" t="e">
        <f t="shared" si="5"/>
        <v>#DIV/0!</v>
      </c>
      <c r="AI13" s="1335" t="e">
        <f t="shared" si="5"/>
        <v>#DIV/0!</v>
      </c>
      <c r="AJ13" s="1335" t="e">
        <f t="shared" si="5"/>
        <v>#DIV/0!</v>
      </c>
    </row>
    <row r="14" spans="1:36" ht="15">
      <c r="A14" s="3582"/>
      <c r="B14" s="2180"/>
      <c r="C14" s="2181"/>
      <c r="D14" s="2182"/>
      <c r="E14" s="2182"/>
      <c r="F14" s="2183"/>
      <c r="G14" s="2184" t="s">
        <v>2455</v>
      </c>
      <c r="H14" s="2185"/>
      <c r="I14" s="2186"/>
      <c r="J14" s="2187"/>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4"/>
      <c r="AE14" s="2964"/>
      <c r="AF14" s="2964"/>
      <c r="AG14" s="2964"/>
      <c r="AH14" s="2964"/>
      <c r="AI14" s="2964"/>
      <c r="AJ14" s="2965"/>
    </row>
    <row r="15" spans="1:36" ht="15.75" thickBot="1">
      <c r="A15" s="3583"/>
      <c r="B15" s="2188" t="s">
        <v>2456</v>
      </c>
      <c r="C15" s="193">
        <f>IF(C14="有",1.1,1)</f>
        <v>1</v>
      </c>
      <c r="D15" s="193">
        <f>IF(D14="有",1.1,1)</f>
        <v>1</v>
      </c>
      <c r="E15" s="193">
        <f>IF(E14="有",1.1,1)</f>
        <v>1</v>
      </c>
      <c r="F15" s="193">
        <f>IF(F14="500米范围内",1.2,IF(F14="500-1000米",1.1,1))</f>
        <v>1</v>
      </c>
      <c r="G15" s="861">
        <v>1</v>
      </c>
      <c r="H15" s="861">
        <v>1</v>
      </c>
      <c r="I15" s="861">
        <v>1</v>
      </c>
      <c r="J15" s="862">
        <v>1</v>
      </c>
      <c r="K15" s="1230"/>
      <c r="L15" s="2131"/>
      <c r="M15" s="2131"/>
      <c r="N15" s="2131"/>
      <c r="O15" s="2131"/>
      <c r="P15" s="2131"/>
      <c r="Q15" s="1230"/>
      <c r="R15" s="1324">
        <v>14</v>
      </c>
      <c r="S15" s="1325"/>
      <c r="T15" s="1324" t="e">
        <f t="shared" si="0"/>
        <v>#DIV/0!</v>
      </c>
      <c r="U15" s="1325"/>
      <c r="V15" s="1324" t="e">
        <f t="shared" si="1"/>
        <v>#DIV/0!</v>
      </c>
      <c r="W15" s="1328"/>
      <c r="X15" s="1328"/>
      <c r="Y15" s="1328"/>
      <c r="Z15" s="1328"/>
      <c r="AA15" s="1328"/>
      <c r="AB15" s="1328"/>
      <c r="AC15" s="1329"/>
      <c r="AD15" s="2964"/>
      <c r="AE15" s="2964"/>
      <c r="AF15" s="2964"/>
      <c r="AG15" s="2964"/>
      <c r="AH15" s="2964"/>
      <c r="AI15" s="2964"/>
      <c r="AJ15" s="2965"/>
    </row>
    <row r="16" spans="1:36" ht="24.6" customHeight="1">
      <c r="A16" s="3558" t="s">
        <v>2461</v>
      </c>
      <c r="B16" s="2157" t="s">
        <v>2462</v>
      </c>
      <c r="C16" s="2319" t="e">
        <f>ROUND(IF(F17="与级别开发程度一致",0,(G17-E17)/C17),0)</f>
        <v>#DIV/0!</v>
      </c>
      <c r="D16" s="3571" t="s">
        <v>2466</v>
      </c>
      <c r="E16" s="3572"/>
      <c r="F16" s="3571" t="s">
        <v>2463</v>
      </c>
      <c r="G16" s="3572"/>
      <c r="H16" s="2189"/>
      <c r="I16" s="2189"/>
      <c r="J16" s="2323"/>
      <c r="K16" s="2189"/>
      <c r="L16" s="2189"/>
      <c r="M16" s="2189"/>
      <c r="N16" s="2189"/>
      <c r="O16" s="2190"/>
      <c r="P16" s="2131"/>
      <c r="Q16" s="1230"/>
      <c r="R16" s="1324">
        <v>15</v>
      </c>
      <c r="S16" s="1325"/>
      <c r="T16" s="1324" t="e">
        <f t="shared" si="0"/>
        <v>#DIV/0!</v>
      </c>
      <c r="U16" s="1325"/>
      <c r="V16" s="1324" t="e">
        <f t="shared" si="1"/>
        <v>#DIV/0!</v>
      </c>
      <c r="W16" s="1328"/>
      <c r="X16" s="1328"/>
      <c r="Y16" s="1328"/>
      <c r="Z16" s="1328"/>
      <c r="AA16" s="1328"/>
      <c r="AB16" s="1328"/>
      <c r="AC16" s="1329"/>
      <c r="AD16" s="2964"/>
      <c r="AE16" s="2964"/>
      <c r="AF16" s="2964"/>
      <c r="AG16" s="2964"/>
      <c r="AH16" s="2964"/>
      <c r="AI16" s="2964"/>
      <c r="AJ16" s="2965"/>
    </row>
    <row r="17" spans="1:37" ht="13.5" thickBot="1">
      <c r="A17" s="3559"/>
      <c r="B17" s="2330" t="s">
        <v>2465</v>
      </c>
      <c r="C17" s="2331">
        <f>SUMPRODUCT((修正!A2:A7=E2)*(修正!B1:M1=G2)*(修正!B2:M7))</f>
        <v>0</v>
      </c>
      <c r="D17" s="193" t="str">
        <f>IF(OR(G2="八级",G2="九级",G2="十级",G2="十一级",G2="十二级"),"五通一平","七通一平")</f>
        <v>七通一平</v>
      </c>
      <c r="E17" s="2320">
        <f>SUMPRODUCT((修正!B1:M1=G2)*(修正!B17:M17))</f>
        <v>0</v>
      </c>
      <c r="F17" s="2321"/>
      <c r="G17" s="2322">
        <f>SUM(H17:O17)</f>
        <v>0</v>
      </c>
      <c r="H17" s="2331">
        <f>SUMPRODUCT((七通一平=H16)*(修正!B1:M1=G2)*(修正!B8:M16))</f>
        <v>0</v>
      </c>
      <c r="I17" s="2331">
        <f>SUMPRODUCT((七通一平=I16)*(修正!B1:M1=G2)*(修正!B8:M16))</f>
        <v>0</v>
      </c>
      <c r="J17" s="2332">
        <f>SUMPRODUCT((七通一平=J16)*(修正!B1:M1=G2)*(修正!B8:M16))</f>
        <v>0</v>
      </c>
      <c r="K17" s="2331">
        <f>SUMPRODUCT((七通一平=K16)*(修正!B1:M1=G2)*(修正!B8:M16))</f>
        <v>0</v>
      </c>
      <c r="L17" s="2331">
        <f>SUMPRODUCT((七通一平=L16)*(修正!B1:M1=G2)*(修正!B8:M16))</f>
        <v>0</v>
      </c>
      <c r="M17" s="2331">
        <f>SUMPRODUCT((七通一平=M16)*(修正!B1:M1=G2)*(修正!B8:M16))</f>
        <v>0</v>
      </c>
      <c r="N17" s="2331">
        <f>SUMPRODUCT((七通一平=N16)*(修正!B1:M1=G2)*(修正!B8:M16))</f>
        <v>0</v>
      </c>
      <c r="O17" s="2333">
        <f>SUMPRODUCT((七通一平=O16)*(修正!B1:M1=G2)*(修正!B8:M16))</f>
        <v>0</v>
      </c>
      <c r="P17" s="2131"/>
      <c r="Q17" s="1230"/>
      <c r="R17" s="1230"/>
      <c r="S17" s="1230"/>
      <c r="T17" s="1230"/>
      <c r="U17" s="1230"/>
      <c r="V17" s="1230"/>
      <c r="W17" s="1230"/>
      <c r="X17" s="1230"/>
      <c r="Y17" s="1230"/>
      <c r="Z17" s="1231"/>
      <c r="AA17" s="1231"/>
      <c r="AB17" s="1231"/>
      <c r="AC17" s="1231"/>
      <c r="AD17" s="1231"/>
      <c r="AE17" s="1230"/>
      <c r="AF17" s="1230"/>
      <c r="AG17" s="2131"/>
      <c r="AH17" s="2131"/>
      <c r="AI17" s="2131"/>
      <c r="AJ17" s="2131"/>
    </row>
    <row r="18" spans="1:37" s="2150" customFormat="1" ht="15.75" thickBot="1">
      <c r="A18" s="2324" t="s">
        <v>627</v>
      </c>
      <c r="B18" s="2325" t="s">
        <v>2468</v>
      </c>
      <c r="C18" s="2326">
        <f>SUMIF(修正!C20:C51,E3,修正!E20:E51)</f>
        <v>0</v>
      </c>
      <c r="D18" s="2327"/>
      <c r="E18" s="2328"/>
      <c r="F18" s="2328"/>
      <c r="G18" s="2328"/>
      <c r="H18" s="2328"/>
      <c r="I18" s="2328"/>
      <c r="J18" s="2329"/>
      <c r="K18" s="1237"/>
      <c r="L18" s="2963"/>
      <c r="M18" s="2963"/>
      <c r="N18" s="2963"/>
      <c r="O18" s="1235"/>
      <c r="P18" s="1235"/>
      <c r="Q18" s="1236"/>
      <c r="R18" s="1236"/>
      <c r="S18" s="1236"/>
      <c r="T18" s="1231"/>
      <c r="U18" s="1231"/>
      <c r="V18" s="1231"/>
      <c r="W18" s="1230"/>
      <c r="X18" s="1230"/>
      <c r="Y18" s="1230"/>
      <c r="Z18" s="1237"/>
      <c r="AA18" s="1237"/>
      <c r="AB18" s="1237"/>
      <c r="AC18" s="1237"/>
      <c r="AD18" s="1237"/>
      <c r="AE18" s="1231"/>
      <c r="AF18" s="1231"/>
      <c r="AG18" s="2288"/>
      <c r="AH18" s="2288"/>
      <c r="AI18" s="2288"/>
      <c r="AJ18" s="2963"/>
    </row>
    <row r="19" spans="1:37" s="2150" customFormat="1" ht="27.75" thickBot="1">
      <c r="A19" s="2194" t="s">
        <v>628</v>
      </c>
      <c r="B19" s="2195" t="s">
        <v>2469</v>
      </c>
      <c r="C19" s="842" t="e">
        <f>ROUND(IF(H19="按公示增长率计算",SUMPRODUCT((地价!A3:A37=YEAR(G19)&amp;"-"&amp;ROUNDUP(MONTH(G19)/3,0))*(地价!X2:AB2=E2)*(地价!X3:AB37)),IF(H19="地价指数",M20/M19,(1+I19)^O19)),4)</f>
        <v>#VALUE!</v>
      </c>
      <c r="D19" s="2199" t="s">
        <v>2470</v>
      </c>
      <c r="E19" s="843">
        <v>41640</v>
      </c>
      <c r="F19" s="2199" t="s">
        <v>2471</v>
      </c>
      <c r="G19" s="844">
        <f>'数据-取费表'!B2</f>
        <v>44698</v>
      </c>
      <c r="H19" s="2200"/>
      <c r="I19" s="845" t="str">
        <f>IF(H19="季度增幅（自定义）",SUMIF(N21:N24,E2,O21:O24),"")</f>
        <v/>
      </c>
      <c r="J19" s="2197"/>
      <c r="K19" s="1237"/>
      <c r="L19" s="2201" t="s">
        <v>2472</v>
      </c>
      <c r="M19" s="1446">
        <f>ROUND(SUMIF(地价!B2:F2,E2,地价!B37:F37),0)</f>
        <v>0</v>
      </c>
      <c r="N19" s="2202" t="s">
        <v>2473</v>
      </c>
      <c r="O19" s="846">
        <f>ROUNDDOWN(DATEDIF(E19,G19,"M")/3,0)</f>
        <v>33</v>
      </c>
      <c r="P19" s="1234"/>
      <c r="Q19" s="1236"/>
      <c r="R19" s="1236"/>
      <c r="S19" s="1236"/>
      <c r="T19" s="1231"/>
      <c r="U19" s="1231"/>
      <c r="V19" s="1231"/>
      <c r="W19" s="1230"/>
      <c r="X19" s="1230"/>
      <c r="Y19" s="1230"/>
      <c r="Z19" s="1237"/>
      <c r="AA19" s="1237"/>
      <c r="AB19" s="1237"/>
      <c r="AC19" s="1237"/>
      <c r="AD19" s="1237"/>
      <c r="AE19" s="1237"/>
      <c r="AF19" s="1236"/>
      <c r="AG19" s="2966"/>
      <c r="AH19" s="2288"/>
      <c r="AI19" s="2967"/>
      <c r="AJ19" s="2967"/>
      <c r="AK19" s="2203"/>
    </row>
    <row r="20" spans="1:37" s="2150" customFormat="1" ht="27.75" thickBot="1">
      <c r="A20" s="2204" t="s">
        <v>629</v>
      </c>
      <c r="B20" s="2205" t="s">
        <v>2474</v>
      </c>
      <c r="C20" s="847" t="e">
        <f>ROUND(POWER(1+G20,J20-I20)*(POWER(1+G20,I20)-1)/(POWER(1+G20,J20)-1),4)</f>
        <v>#DIV/0!</v>
      </c>
      <c r="D20" s="2206" t="s">
        <v>2475</v>
      </c>
      <c r="E20" s="1453">
        <f>存贷款利率!E20/100</f>
        <v>4.3499999999999997E-2</v>
      </c>
      <c r="F20" s="2206" t="s">
        <v>2467</v>
      </c>
      <c r="G20" s="851">
        <f>SUMIF(M26:P26,E2,M28:P28)</f>
        <v>0</v>
      </c>
      <c r="H20" s="2206" t="s">
        <v>2476</v>
      </c>
      <c r="I20" s="852" t="e">
        <f>SUMIF('数据-取费表'!C6:C15,E2,'数据-取费表'!F6:F15)/COUNTIF('数据-取费表'!C6:C15,E2)</f>
        <v>#DIV/0!</v>
      </c>
      <c r="J20" s="853">
        <f>IF(E2="住宅",70,IF(E2="商业",40,50))</f>
        <v>50</v>
      </c>
      <c r="K20" s="1237"/>
      <c r="L20" s="2207" t="s">
        <v>2477</v>
      </c>
      <c r="M20" s="1447">
        <f>ROUND(SUMPRODUCT((地价!A4:A37=YEAR(G19)&amp;"-"&amp;ROUNDUP(MONTH(G19)/3,0))*(地价!B2:F2=E2)*(地价!B4:F37)),0)</f>
        <v>0</v>
      </c>
      <c r="N20" s="2208" t="s">
        <v>2478</v>
      </c>
      <c r="O20" s="2209" t="s">
        <v>2479</v>
      </c>
      <c r="P20" s="2210" t="s">
        <v>2480</v>
      </c>
      <c r="Q20" s="2963"/>
      <c r="R20" s="1236"/>
      <c r="S20" s="1236"/>
      <c r="T20" s="1231"/>
      <c r="U20" s="1231"/>
      <c r="V20" s="1231"/>
      <c r="W20" s="1230"/>
      <c r="X20" s="1230"/>
      <c r="Y20" s="1230"/>
      <c r="Z20" s="1237"/>
      <c r="AA20" s="1237"/>
      <c r="AB20" s="1237"/>
      <c r="AC20" s="1237"/>
      <c r="AD20" s="1237"/>
      <c r="AE20" s="1237"/>
      <c r="AF20" s="1237"/>
      <c r="AG20" s="2963"/>
      <c r="AH20" s="2963"/>
      <c r="AI20" s="2963"/>
      <c r="AJ20" s="2963"/>
    </row>
    <row r="21" spans="1:37" s="2150" customFormat="1" ht="15">
      <c r="A21" s="2211" t="s">
        <v>630</v>
      </c>
      <c r="B21" s="2212" t="s">
        <v>2481</v>
      </c>
      <c r="C21" s="854" t="e">
        <f>IF(B21="容积率修正",IF(G3&lt;=10,D22,J22),C23)</f>
        <v>#DIV/0!</v>
      </c>
      <c r="D21" s="2213"/>
      <c r="E21" s="2213"/>
      <c r="F21" s="2213"/>
      <c r="G21" s="2213"/>
      <c r="H21" s="2213"/>
      <c r="I21" s="2213"/>
      <c r="J21" s="2214"/>
      <c r="K21" s="1237"/>
      <c r="L21" s="2963"/>
      <c r="M21" s="2963"/>
      <c r="N21" s="2215" t="s">
        <v>2482</v>
      </c>
      <c r="O21" s="1285"/>
      <c r="P21" s="1286">
        <f>SUMPRODUCT((地价!A3:A37=YEAR(G19)&amp;"-"&amp;ROUNDUP(MONTH(G19)/3,0))*(地价!AD2:AH2=N21)*(地价!AD3:AH37))</f>
        <v>0</v>
      </c>
      <c r="Q21" s="2963"/>
      <c r="R21" s="1236"/>
      <c r="S21" s="1236"/>
      <c r="T21" s="1231"/>
      <c r="U21" s="1231"/>
      <c r="V21" s="1231"/>
      <c r="W21" s="1230"/>
      <c r="X21" s="1230"/>
      <c r="Y21" s="1230"/>
      <c r="Z21" s="1237"/>
      <c r="AA21" s="1237"/>
      <c r="AB21" s="1237"/>
      <c r="AC21" s="1237"/>
      <c r="AD21" s="1237"/>
      <c r="AE21" s="1237"/>
      <c r="AF21" s="1237"/>
      <c r="AG21" s="2963"/>
      <c r="AH21" s="2963"/>
      <c r="AI21" s="2963"/>
      <c r="AJ21" s="2963"/>
    </row>
    <row r="22" spans="1:37" s="2150" customFormat="1" ht="14.25">
      <c r="A22" s="2089" t="s">
        <v>2483</v>
      </c>
      <c r="B22" s="2216" t="s">
        <v>2484</v>
      </c>
      <c r="C22" s="1484" t="s">
        <v>2485</v>
      </c>
      <c r="D22" s="1484" t="e">
        <f>IF(E22=G22,F22,IF(G3&lt;=10,ROUND(F22+(H22-F22)*(G3-E22)/(G22-E22),4),"——"))</f>
        <v>#DIV/0!</v>
      </c>
      <c r="E22" s="834" t="e">
        <f>ROUNDDOWN(G3,1)</f>
        <v>#DIV/0!</v>
      </c>
      <c r="F22" s="148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4" t="e">
        <f>ROUNDUP(G3,1)</f>
        <v>#DIV/0!</v>
      </c>
      <c r="H22" s="148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4" t="s">
        <v>155</v>
      </c>
      <c r="J22" s="855" t="e">
        <f>IF(G3&gt;10,D113,"——")</f>
        <v>#DIV/0!</v>
      </c>
      <c r="K22" s="1237"/>
      <c r="L22" s="2963"/>
      <c r="M22" s="2963"/>
      <c r="N22" s="2215" t="s">
        <v>2486</v>
      </c>
      <c r="O22" s="1285"/>
      <c r="P22" s="1286">
        <f>SUMPRODUCT((地价!A3:A37=YEAR(G19)&amp;"-"&amp;ROUNDUP(MONTH(G19)/3,0))*(地价!AD2:AH2=N22)*(地价!AD3:AH37))</f>
        <v>0</v>
      </c>
      <c r="Q22" s="2963"/>
      <c r="R22" s="1236"/>
      <c r="S22" s="1236"/>
      <c r="T22" s="1231"/>
      <c r="U22" s="1231"/>
      <c r="V22" s="1231"/>
      <c r="W22" s="1230"/>
      <c r="X22" s="1230"/>
      <c r="Y22" s="1230"/>
      <c r="Z22" s="1237"/>
      <c r="AA22" s="1237"/>
      <c r="AB22" s="1237"/>
      <c r="AC22" s="1237"/>
      <c r="AD22" s="1237"/>
      <c r="AE22" s="1237"/>
      <c r="AF22" s="1237"/>
      <c r="AG22" s="2963"/>
      <c r="AH22" s="2963"/>
      <c r="AI22" s="2963"/>
      <c r="AJ22" s="2963"/>
    </row>
    <row r="23" spans="1:37" ht="27.75" thickBot="1">
      <c r="A23" s="2089" t="s">
        <v>2487</v>
      </c>
      <c r="B23" s="2217" t="s">
        <v>2488</v>
      </c>
      <c r="C23" s="928" t="e">
        <f>ROUND(IF(G3&gt;1,IF(I3&lt;7,SUMPRODUCT((B93:B98=I3)*(C92:N92=G2)*(C93:N98)),SUMIF(C92:N92,G2,C100:N100)),IF(I3&lt;7,SUMPRODUCT((B102:B107=I3)*(C92:N92=G2)*(C102:N107)),SUMIF(C92:N92,G2,C109:N109))),4)</f>
        <v>#DIV/0!</v>
      </c>
      <c r="D23" s="2185"/>
      <c r="E23" s="2185"/>
      <c r="F23" s="2218"/>
      <c r="G23" s="2219"/>
      <c r="H23" s="2220"/>
      <c r="I23" s="2221"/>
      <c r="J23" s="2222"/>
      <c r="K23" s="1230"/>
      <c r="L23" s="2131"/>
      <c r="M23" s="2131"/>
      <c r="N23" s="2215" t="s">
        <v>2489</v>
      </c>
      <c r="O23" s="1285"/>
      <c r="P23" s="1286">
        <f>SUMPRODUCT((地价!A3:A37=YEAR(G19)&amp;"-"&amp;ROUNDUP(MONTH(G19)/3,0))*(地价!AD2:AH2=N23)*(地价!AD3:AH37))</f>
        <v>0</v>
      </c>
      <c r="Q23" s="2131"/>
      <c r="R23" s="1236"/>
      <c r="S23" s="1236"/>
      <c r="T23" s="1231"/>
      <c r="U23" s="1231"/>
      <c r="V23" s="1231"/>
      <c r="W23" s="1230"/>
      <c r="X23" s="1230"/>
      <c r="Y23" s="1230"/>
      <c r="Z23" s="1237"/>
      <c r="AA23" s="1237"/>
      <c r="AB23" s="1237"/>
      <c r="AC23" s="1237"/>
      <c r="AD23" s="1237"/>
      <c r="AE23" s="1231"/>
      <c r="AF23" s="1231"/>
      <c r="AG23" s="2288"/>
      <c r="AH23" s="2288"/>
      <c r="AI23" s="2288"/>
      <c r="AJ23" s="2288"/>
      <c r="AK23" s="2198"/>
    </row>
    <row r="24" spans="1:37" s="2150" customFormat="1" ht="15.75" thickBot="1">
      <c r="A24" s="2204" t="s">
        <v>631</v>
      </c>
      <c r="B24" s="2195" t="s">
        <v>2490</v>
      </c>
      <c r="C24" s="842">
        <f>SUMIF(A45:A88,E2,B45:B88)</f>
        <v>0</v>
      </c>
      <c r="D24" s="2196"/>
      <c r="E24" s="2223"/>
      <c r="F24" s="2223"/>
      <c r="G24" s="2223"/>
      <c r="H24" s="2223"/>
      <c r="I24" s="2223"/>
      <c r="J24" s="2224"/>
      <c r="K24" s="1237"/>
      <c r="L24" s="2963"/>
      <c r="M24" s="2963"/>
      <c r="N24" s="2225" t="s">
        <v>2491</v>
      </c>
      <c r="O24" s="1287"/>
      <c r="P24" s="1288">
        <f>SUMPRODUCT((地价!A3:A37=YEAR(G19)&amp;"-"&amp;ROUNDUP(MONTH(G19)/3,0))*(地价!AD2:AH2=N24)*(地价!AD3:AH37))</f>
        <v>0</v>
      </c>
      <c r="Q24" s="2963"/>
      <c r="R24" s="1236"/>
      <c r="S24" s="1236"/>
      <c r="T24" s="1231"/>
      <c r="U24" s="1231"/>
      <c r="V24" s="1231"/>
      <c r="W24" s="1230"/>
      <c r="X24" s="1230"/>
      <c r="Y24" s="1230"/>
      <c r="Z24" s="1237"/>
      <c r="AA24" s="1237"/>
      <c r="AB24" s="1237"/>
      <c r="AC24" s="1237"/>
      <c r="AD24" s="1237"/>
      <c r="AE24" s="1237"/>
      <c r="AF24" s="1237"/>
      <c r="AG24" s="2963"/>
      <c r="AH24" s="2963"/>
      <c r="AI24" s="2963"/>
      <c r="AJ24" s="2963"/>
    </row>
    <row r="25" spans="1:37" ht="15.75" thickBot="1">
      <c r="A25" s="2204" t="s">
        <v>632</v>
      </c>
      <c r="B25" s="2226" t="s">
        <v>2492</v>
      </c>
      <c r="C25" s="848"/>
      <c r="D25" s="2160"/>
      <c r="E25" s="2160"/>
      <c r="F25" s="2227"/>
      <c r="G25" s="2160"/>
      <c r="H25" s="2160"/>
      <c r="I25" s="2160"/>
      <c r="J25" s="2161"/>
      <c r="K25" s="1230"/>
      <c r="L25" s="2131"/>
      <c r="M25" s="2131"/>
      <c r="N25" s="2958" t="s">
        <v>2493</v>
      </c>
      <c r="O25" s="2959"/>
      <c r="P25" s="2960">
        <f>SUMPRODUCT((地价!A3:A37=YEAR(G19)&amp;"-"&amp;ROUNDUP(MONTH(G19)/3,0))*(地价!AD2:AH2=N25)*(地价!AD3:AH37))</f>
        <v>0</v>
      </c>
      <c r="Q25" s="2131"/>
      <c r="R25" s="1236"/>
      <c r="S25" s="1236"/>
      <c r="T25" s="1231"/>
      <c r="U25" s="1231"/>
      <c r="V25" s="1231"/>
      <c r="W25" s="1230"/>
      <c r="X25" s="1230"/>
      <c r="Y25" s="1230"/>
      <c r="Z25" s="1237"/>
      <c r="AA25" s="1237"/>
      <c r="AB25" s="1237"/>
      <c r="AC25" s="1237"/>
      <c r="AD25" s="1237"/>
      <c r="AE25" s="1231"/>
      <c r="AF25" s="1231"/>
      <c r="AG25" s="2288"/>
      <c r="AH25" s="2288"/>
      <c r="AI25" s="2288"/>
      <c r="AJ25" s="2288"/>
    </row>
    <row r="26" spans="1:37" ht="15">
      <c r="A26" s="2228"/>
      <c r="B26" s="2216" t="s">
        <v>2494</v>
      </c>
      <c r="C26" s="2490" t="e">
        <f>IF(B21="容积率修正",E29+SUM(E33:E39),SUM(V2:V16)+SUM(E33:E39))</f>
        <v>#DIV/0!</v>
      </c>
      <c r="D26" s="2229"/>
      <c r="E26" s="2185"/>
      <c r="F26" s="2230"/>
      <c r="G26" s="2185"/>
      <c r="H26" s="2185"/>
      <c r="I26" s="2185"/>
      <c r="J26" s="2231"/>
      <c r="K26" s="1230"/>
      <c r="L26" s="2961" t="s">
        <v>2392</v>
      </c>
      <c r="M26" s="2158" t="s">
        <v>2457</v>
      </c>
      <c r="N26" s="2158" t="s">
        <v>2458</v>
      </c>
      <c r="O26" s="2158" t="s">
        <v>2459</v>
      </c>
      <c r="P26" s="2962" t="s">
        <v>2460</v>
      </c>
      <c r="Q26" s="2131"/>
      <c r="R26" s="1236"/>
      <c r="S26" s="1236"/>
      <c r="T26" s="1231"/>
      <c r="U26" s="1231"/>
      <c r="V26" s="1231"/>
      <c r="W26" s="1230"/>
      <c r="X26" s="1230"/>
      <c r="Y26" s="1230"/>
      <c r="Z26" s="1237"/>
      <c r="AA26" s="1237"/>
      <c r="AB26" s="1237"/>
      <c r="AC26" s="1237"/>
      <c r="AD26" s="1237"/>
      <c r="AE26" s="1231"/>
      <c r="AF26" s="1231"/>
      <c r="AG26" s="2288"/>
      <c r="AH26" s="2288"/>
      <c r="AI26" s="2288"/>
      <c r="AJ26" s="2288"/>
    </row>
    <row r="27" spans="1:37" ht="15.75" thickBot="1">
      <c r="A27" s="2228"/>
      <c r="B27" s="2232" t="s">
        <v>2495</v>
      </c>
      <c r="C27" s="849" t="e">
        <f>E30+SUM(I33:I39)</f>
        <v>#DIV/0!</v>
      </c>
      <c r="D27" s="2233"/>
      <c r="E27" s="2234"/>
      <c r="F27" s="2235"/>
      <c r="G27" s="2234"/>
      <c r="H27" s="2234"/>
      <c r="I27" s="2234"/>
      <c r="J27" s="2236"/>
      <c r="K27" s="1230"/>
      <c r="L27" s="2191" t="s">
        <v>2464</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8"/>
      <c r="AH27" s="2288"/>
      <c r="AI27" s="2288"/>
      <c r="AJ27" s="2288"/>
    </row>
    <row r="28" spans="1:37" ht="15.75" thickBot="1">
      <c r="A28" s="2237"/>
      <c r="B28" s="2238" t="s">
        <v>2496</v>
      </c>
      <c r="C28" s="2239" t="s">
        <v>2497</v>
      </c>
      <c r="D28" s="2239" t="s">
        <v>2498</v>
      </c>
      <c r="E28" s="2240" t="s">
        <v>2499</v>
      </c>
      <c r="F28" s="2241"/>
      <c r="G28" s="2173"/>
      <c r="H28" s="2173"/>
      <c r="I28" s="2173"/>
      <c r="J28" s="2174"/>
      <c r="K28" s="1230"/>
      <c r="L28" s="2192" t="s">
        <v>2467</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8"/>
      <c r="AH28" s="2288"/>
      <c r="AI28" s="2288"/>
      <c r="AJ28" s="2288"/>
    </row>
    <row r="29" spans="1:37" ht="22.5" customHeight="1">
      <c r="A29" s="2242"/>
      <c r="B29" s="2243" t="s">
        <v>2500</v>
      </c>
      <c r="C29" s="180" t="e">
        <f>ROUND(C5*C18*C19*C20*C21*C24,0)</f>
        <v>#DIV/0!</v>
      </c>
      <c r="D29" s="2244"/>
      <c r="E29" s="857" t="e">
        <f>ROUND(C29*D29/10000,0)</f>
        <v>#DIV/0!</v>
      </c>
      <c r="F29" s="2245" t="s">
        <v>2501</v>
      </c>
      <c r="G29" s="2246"/>
      <c r="H29" s="2246"/>
      <c r="I29" s="2246"/>
      <c r="J29" s="2247"/>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1"/>
      <c r="AH29" s="2131"/>
      <c r="AI29" s="2131"/>
      <c r="AJ29" s="2131"/>
    </row>
    <row r="30" spans="1:37" ht="25.5" thickBot="1">
      <c r="A30" s="2248"/>
      <c r="B30" s="2249" t="s">
        <v>2502</v>
      </c>
      <c r="C30" s="193" t="e">
        <f>ROUND(IF(E2="工业",C29*M39,C29*M38),0)</f>
        <v>#DIV/0!</v>
      </c>
      <c r="D30" s="2250"/>
      <c r="E30" s="857" t="e">
        <f>ROUND(C30*D30/10000,0)</f>
        <v>#DIV/0!</v>
      </c>
      <c r="F30" s="2251" t="s">
        <v>2503</v>
      </c>
      <c r="G30" s="2252"/>
      <c r="H30" s="2252"/>
      <c r="I30" s="2252"/>
      <c r="J30" s="2253"/>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1"/>
      <c r="AH30" s="2131"/>
      <c r="AI30" s="2131"/>
      <c r="AJ30" s="2131"/>
    </row>
    <row r="31" spans="1:37" ht="14.25">
      <c r="A31" s="2254"/>
      <c r="B31" s="2255" t="s">
        <v>2504</v>
      </c>
      <c r="C31" s="2256" t="s">
        <v>2505</v>
      </c>
      <c r="D31" s="2173"/>
      <c r="E31" s="2256"/>
      <c r="F31" s="2256"/>
      <c r="G31" s="2171" t="s">
        <v>2506</v>
      </c>
      <c r="H31" s="2173"/>
      <c r="I31" s="2257"/>
      <c r="J31" s="2174"/>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1"/>
      <c r="AH31" s="2131"/>
      <c r="AI31" s="2131"/>
      <c r="AJ31" s="2131"/>
    </row>
    <row r="32" spans="1:37" ht="24">
      <c r="A32" s="2242"/>
      <c r="B32" s="2258"/>
      <c r="C32" s="458" t="s">
        <v>2497</v>
      </c>
      <c r="D32" s="455" t="s">
        <v>2498</v>
      </c>
      <c r="E32" s="455" t="s">
        <v>2499</v>
      </c>
      <c r="F32" s="348" t="s">
        <v>2507</v>
      </c>
      <c r="G32" s="2259" t="s">
        <v>2497</v>
      </c>
      <c r="H32" s="2259" t="s">
        <v>2498</v>
      </c>
      <c r="I32" s="2259" t="s">
        <v>2499</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1"/>
      <c r="AH32" s="2131"/>
      <c r="AI32" s="2131"/>
      <c r="AJ32" s="2131"/>
    </row>
    <row r="33" spans="1:37" ht="36" customHeight="1">
      <c r="A33" s="3568"/>
      <c r="B33" s="2260" t="s">
        <v>2508</v>
      </c>
      <c r="C33" s="180" t="e">
        <f>ROUND(D5*C19*C20*C24*F33,0)</f>
        <v>#DIV/0!</v>
      </c>
      <c r="D33" s="2244"/>
      <c r="E33" s="176" t="e">
        <f>ROUND(C33*D33/10000,0)</f>
        <v>#DIV/0!</v>
      </c>
      <c r="F33" s="176">
        <f>SUMIF(修正!A57:A68,G2,修正!B57:B68)</f>
        <v>0</v>
      </c>
      <c r="G33" s="176" t="e">
        <f t="shared" ref="G33" si="6">ROUND(IF(E2="工业",C33*$M$39,C33*$M$38),0)</f>
        <v>#DIV/0!</v>
      </c>
      <c r="H33" s="176">
        <f>D33</f>
        <v>0</v>
      </c>
      <c r="I33" s="176" t="e">
        <f>ROUND(G33*H33/10000,0)</f>
        <v>#DIV/0!</v>
      </c>
      <c r="J33" s="3573" t="s">
        <v>2806</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8"/>
      <c r="AH33" s="2288"/>
      <c r="AI33" s="2288"/>
      <c r="AJ33" s="2288"/>
    </row>
    <row r="34" spans="1:37" ht="14.25">
      <c r="A34" s="3569"/>
      <c r="B34" s="2177" t="s">
        <v>2509</v>
      </c>
      <c r="C34" s="180" t="e">
        <f>ROUND(D5*C19*C20*C24*F34,0)</f>
        <v>#DIV/0!</v>
      </c>
      <c r="D34" s="2244"/>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9"/>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8"/>
      <c r="AH34" s="2288"/>
      <c r="AI34" s="2288"/>
      <c r="AJ34" s="2288"/>
    </row>
    <row r="35" spans="1:37">
      <c r="A35" s="3569"/>
      <c r="B35" s="2177" t="s">
        <v>2510</v>
      </c>
      <c r="C35" s="180" t="e">
        <f>ROUND(D5*C19*C20*C24*F35,0)</f>
        <v>#DIV/0!</v>
      </c>
      <c r="D35" s="2244"/>
      <c r="E35" s="176" t="e">
        <f t="shared" si="7"/>
        <v>#DIV/0!</v>
      </c>
      <c r="F35" s="176">
        <f>SUMIF(修正!A57:A68,G2,修正!D57:D68)</f>
        <v>0</v>
      </c>
      <c r="G35" s="176" t="e">
        <f>ROUND(IF(E2="工业",C35*$M$39,C35*$M$38),0)</f>
        <v>#DIV/0!</v>
      </c>
      <c r="H35" s="176">
        <f t="shared" si="8"/>
        <v>0</v>
      </c>
      <c r="I35" s="176" t="e">
        <f t="shared" si="9"/>
        <v>#DIV/0!</v>
      </c>
      <c r="J35" s="3569"/>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8"/>
      <c r="AH35" s="2288"/>
      <c r="AI35" s="2288"/>
      <c r="AJ35" s="2288"/>
    </row>
    <row r="36" spans="1:37" ht="13.5" thickBot="1">
      <c r="A36" s="3570"/>
      <c r="B36" s="2177" t="s">
        <v>2511</v>
      </c>
      <c r="C36" s="180" t="e">
        <f>ROUND(D5*C19*C20*C24*F36,0)</f>
        <v>#DIV/0!</v>
      </c>
      <c r="D36" s="2244"/>
      <c r="E36" s="176" t="e">
        <f t="shared" si="7"/>
        <v>#DIV/0!</v>
      </c>
      <c r="F36" s="176" t="e">
        <f>SUMIF(修正!A57:A68,G2,修正!#REF!)</f>
        <v>#REF!</v>
      </c>
      <c r="G36" s="176" t="e">
        <f>ROUND(IF(E2="工业",C36*$M$39,C36*$M$38),0)</f>
        <v>#DIV/0!</v>
      </c>
      <c r="H36" s="176">
        <f t="shared" si="8"/>
        <v>0</v>
      </c>
      <c r="I36" s="176" t="e">
        <f t="shared" si="9"/>
        <v>#DIV/0!</v>
      </c>
      <c r="J36" s="3570"/>
      <c r="K36" s="1230"/>
      <c r="L36" s="2131"/>
      <c r="M36" s="2131"/>
      <c r="N36" s="1230"/>
      <c r="O36" s="1230"/>
      <c r="P36" s="1230"/>
      <c r="Q36" s="1230"/>
      <c r="R36" s="1230"/>
      <c r="S36" s="1230"/>
      <c r="T36" s="1230"/>
      <c r="U36" s="1230"/>
      <c r="V36" s="1230"/>
      <c r="W36" s="1230"/>
      <c r="X36" s="1230"/>
      <c r="Y36" s="1230"/>
      <c r="Z36" s="1231"/>
      <c r="AA36" s="1231"/>
      <c r="AB36" s="1231"/>
      <c r="AC36" s="1231"/>
      <c r="AD36" s="1231"/>
      <c r="AE36" s="1231"/>
      <c r="AF36" s="1231"/>
      <c r="AG36" s="2288"/>
      <c r="AH36" s="2288"/>
      <c r="AI36" s="2288"/>
      <c r="AJ36" s="2288"/>
    </row>
    <row r="37" spans="1:37">
      <c r="A37" s="2262"/>
      <c r="B37" s="2177" t="s">
        <v>2512</v>
      </c>
      <c r="C37" s="176" t="e">
        <f>ROUND(D5*C19*C20*C24*F37,0)</f>
        <v>#DIV/0!</v>
      </c>
      <c r="D37" s="2244"/>
      <c r="E37" s="176" t="e">
        <f t="shared" si="7"/>
        <v>#DIV/0!</v>
      </c>
      <c r="F37" s="180">
        <f>SUMIF(修正!A57:A68,G2,修正!E57:E68)</f>
        <v>0</v>
      </c>
      <c r="G37" s="176" t="e">
        <f>ROUND(IF(E2="工业",C37*$M$39,C37*$M$38),0)</f>
        <v>#DIV/0!</v>
      </c>
      <c r="H37" s="176">
        <f t="shared" si="8"/>
        <v>0</v>
      </c>
      <c r="I37" s="176" t="e">
        <f t="shared" si="9"/>
        <v>#DIV/0!</v>
      </c>
      <c r="J37" s="2261"/>
      <c r="K37" s="1230"/>
      <c r="L37" s="2263" t="s">
        <v>2513</v>
      </c>
      <c r="M37" s="2264"/>
      <c r="N37" s="1230"/>
      <c r="O37" s="1230"/>
      <c r="P37" s="1230"/>
      <c r="Q37" s="1230"/>
      <c r="R37" s="1230"/>
      <c r="S37" s="1230"/>
      <c r="T37" s="1230"/>
      <c r="U37" s="1230"/>
      <c r="V37" s="1230"/>
      <c r="W37" s="1230"/>
      <c r="X37" s="1230"/>
      <c r="Y37" s="1230"/>
      <c r="Z37" s="1231"/>
      <c r="AA37" s="1231"/>
      <c r="AB37" s="1231"/>
      <c r="AC37" s="1231"/>
      <c r="AD37" s="1231"/>
      <c r="AE37" s="1231"/>
      <c r="AF37" s="1231"/>
      <c r="AG37" s="2288"/>
      <c r="AH37" s="2288"/>
      <c r="AI37" s="2288"/>
      <c r="AJ37" s="2288"/>
    </row>
    <row r="38" spans="1:37">
      <c r="A38" s="2262"/>
      <c r="B38" s="2177" t="s">
        <v>2514</v>
      </c>
      <c r="C38" s="176" t="e">
        <f>ROUND(D5*C19*C41*C24*F38,0)</f>
        <v>#DIV/0!</v>
      </c>
      <c r="D38" s="2244"/>
      <c r="E38" s="176" t="e">
        <f t="shared" si="7"/>
        <v>#DIV/0!</v>
      </c>
      <c r="F38" s="180">
        <f>SUMIF(修正!A57:A68,G2,修正!F57:F68)</f>
        <v>0</v>
      </c>
      <c r="G38" s="176" t="e">
        <f>ROUND(IF(E2="工业",C38*$M$39,C38*$M$38),0)</f>
        <v>#DIV/0!</v>
      </c>
      <c r="H38" s="176">
        <f t="shared" si="8"/>
        <v>0</v>
      </c>
      <c r="I38" s="176" t="e">
        <f t="shared" si="9"/>
        <v>#DIV/0!</v>
      </c>
      <c r="J38" s="2261"/>
      <c r="K38" s="1230"/>
      <c r="L38" s="1553" t="s">
        <v>2515</v>
      </c>
      <c r="M38" s="2265">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8"/>
      <c r="B39" s="2266" t="s">
        <v>2516</v>
      </c>
      <c r="C39" s="193" t="e">
        <f>ROUND(D5*C19*C41*C24*F39,0)</f>
        <v>#DIV/0!</v>
      </c>
      <c r="D39" s="2250"/>
      <c r="E39" s="193" t="e">
        <f t="shared" si="7"/>
        <v>#DIV/0!</v>
      </c>
      <c r="F39" s="850">
        <f>SUMIF(修正!A57:A68,G2,修正!G57:G68)</f>
        <v>0</v>
      </c>
      <c r="G39" s="193" t="e">
        <f>ROUND(IF(E2="工业",C39*$M$39,C39*$M$38),0)</f>
        <v>#DIV/0!</v>
      </c>
      <c r="H39" s="193">
        <f t="shared" si="8"/>
        <v>0</v>
      </c>
      <c r="I39" s="193" t="e">
        <f t="shared" si="9"/>
        <v>#DIV/0!</v>
      </c>
      <c r="J39" s="2267"/>
      <c r="K39" s="1230"/>
      <c r="L39" s="2268" t="s">
        <v>2460</v>
      </c>
      <c r="M39" s="2269">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8" t="s">
        <v>2620</v>
      </c>
      <c r="C41" s="348" t="e">
        <f>ROUND(POWER(1+E41,H41-G41)*(POWER(1+E41,G41)-1)/(POWER(1+E41,H41)-1),4)</f>
        <v>#DIV/0!</v>
      </c>
      <c r="D41" s="176" t="s">
        <v>2467</v>
      </c>
      <c r="E41" s="2317">
        <f>G20</f>
        <v>0</v>
      </c>
      <c r="F41" s="176" t="s">
        <v>2476</v>
      </c>
      <c r="G41" s="189"/>
      <c r="H41" s="176">
        <v>50</v>
      </c>
      <c r="Z41" s="1231"/>
      <c r="AA41" s="1231"/>
      <c r="AB41" s="1231"/>
      <c r="AC41" s="1231"/>
      <c r="AD41" s="1231"/>
      <c r="AE41" s="1231"/>
      <c r="AF41" s="1231"/>
      <c r="AG41" s="1231"/>
      <c r="AH41" s="1231"/>
      <c r="AI41" s="1231"/>
      <c r="AJ41" s="1231"/>
    </row>
    <row r="42" spans="1:37" s="1230" customFormat="1">
      <c r="A42" s="1231"/>
      <c r="B42" s="2270"/>
      <c r="Z42" s="1231"/>
      <c r="AA42" s="1231"/>
      <c r="AB42" s="1231"/>
      <c r="AC42" s="1231"/>
      <c r="AD42" s="1231"/>
      <c r="AE42" s="1231"/>
      <c r="AF42" s="1231"/>
      <c r="AG42" s="1231"/>
      <c r="AH42" s="1231"/>
      <c r="AI42" s="1231"/>
      <c r="AJ42" s="1231"/>
    </row>
    <row r="43" spans="1:37" s="1230" customFormat="1">
      <c r="A43" s="1231"/>
      <c r="B43" s="2270"/>
      <c r="Z43" s="1231"/>
      <c r="AA43" s="1231"/>
      <c r="AB43" s="1231"/>
      <c r="AC43" s="1231"/>
      <c r="AD43" s="1231"/>
      <c r="AE43" s="1231"/>
      <c r="AF43" s="1231"/>
      <c r="AG43" s="1231"/>
      <c r="AH43" s="1231"/>
      <c r="AI43" s="1231"/>
      <c r="AJ43" s="1231"/>
    </row>
    <row r="44" spans="1:37" s="1230" customFormat="1">
      <c r="A44" s="1231"/>
      <c r="B44" s="2270"/>
      <c r="Z44" s="1231"/>
      <c r="AA44" s="1231"/>
      <c r="AB44" s="1231"/>
      <c r="AC44" s="1231"/>
      <c r="AD44" s="1231"/>
      <c r="AE44" s="1231"/>
      <c r="AF44" s="1231"/>
      <c r="AG44" s="1231"/>
      <c r="AH44" s="1231"/>
      <c r="AI44" s="1231"/>
      <c r="AJ44" s="1231"/>
    </row>
    <row r="45" spans="1:37" s="1230" customFormat="1" ht="15.75" thickBot="1">
      <c r="A45" s="2271" t="s">
        <v>2517</v>
      </c>
      <c r="B45" s="2272"/>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3" t="s">
        <v>2518</v>
      </c>
      <c r="B46" s="2274">
        <f>1+E48</f>
        <v>1</v>
      </c>
      <c r="C46" s="2275"/>
      <c r="D46" s="750"/>
      <c r="E46" s="751"/>
      <c r="F46" s="2276"/>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7" t="s">
        <v>2519</v>
      </c>
      <c r="B47" s="1483" t="s">
        <v>2520</v>
      </c>
      <c r="C47" s="1483" t="s">
        <v>2521</v>
      </c>
      <c r="D47" s="1483" t="s">
        <v>2522</v>
      </c>
      <c r="E47" s="755" t="s">
        <v>2523</v>
      </c>
      <c r="F47" s="2278" t="s">
        <v>2524</v>
      </c>
      <c r="G47" s="1483" t="s">
        <v>574</v>
      </c>
      <c r="H47" s="2279" t="s">
        <v>2525</v>
      </c>
      <c r="I47" s="1483" t="s">
        <v>2526</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38.25">
      <c r="A48" s="2277" t="s">
        <v>2527</v>
      </c>
      <c r="B48" s="2280" t="str">
        <f>估价对象房地状况!C4</f>
        <v>估价对象位于XX商圈，周边商业氛围成熟，人流量大，商业繁华度好</v>
      </c>
      <c r="C48" s="2182"/>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51">
      <c r="A49" s="2277" t="s">
        <v>2528</v>
      </c>
      <c r="B49" s="2281" t="str">
        <f>估价对象房地状况!C18</f>
        <v>估价对象周边道路状况、公共交通通达情况、停车便捷程度，综合评价交通便捷度较好</v>
      </c>
      <c r="C49" s="2182"/>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7" t="s">
        <v>2529</v>
      </c>
      <c r="B50" s="2281">
        <f>估价对象房地状况!C19</f>
        <v>0</v>
      </c>
      <c r="C50" s="2182"/>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7" t="s">
        <v>2530</v>
      </c>
      <c r="B51" s="2282" t="s">
        <v>2531</v>
      </c>
      <c r="C51" s="2182"/>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7" t="s">
        <v>2532</v>
      </c>
      <c r="B52" s="2281">
        <f>估价对象房地状况!C24</f>
        <v>0</v>
      </c>
      <c r="C52" s="2182"/>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7" t="s">
        <v>2533</v>
      </c>
      <c r="B53" s="2283" t="s">
        <v>2534</v>
      </c>
      <c r="C53" s="2182"/>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4" t="s">
        <v>2535</v>
      </c>
      <c r="B54" s="1444" t="str">
        <f>估价对象房地状况!C21</f>
        <v>估价对象所在区域公共配套设施齐备情况</v>
      </c>
      <c r="C54" s="2182"/>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4" t="s">
        <v>2536</v>
      </c>
      <c r="B55" s="2281" t="str">
        <f>估价对象房地状况!C22</f>
        <v>估价对象所在区域基础设施水平</v>
      </c>
      <c r="C55" s="2182"/>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39" thickBot="1">
      <c r="A56" s="2285" t="s">
        <v>2537</v>
      </c>
      <c r="B56" s="2286" t="str">
        <f>估价对象房地状况!C20</f>
        <v>区域自然环境：；人文环境；综合评价环境状况一般</v>
      </c>
      <c r="C56" s="2182"/>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3" t="s">
        <v>2538</v>
      </c>
      <c r="B57" s="2274">
        <f>1+E59</f>
        <v>1</v>
      </c>
      <c r="C57" s="750"/>
      <c r="D57" s="750"/>
      <c r="E57" s="751"/>
      <c r="F57" s="2276"/>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7" t="s">
        <v>2519</v>
      </c>
      <c r="B58" s="1483"/>
      <c r="C58" s="1483" t="s">
        <v>2521</v>
      </c>
      <c r="D58" s="1483" t="s">
        <v>2522</v>
      </c>
      <c r="E58" s="755" t="s">
        <v>2523</v>
      </c>
      <c r="F58" s="2278" t="s">
        <v>2539</v>
      </c>
      <c r="G58" s="1483" t="s">
        <v>574</v>
      </c>
      <c r="H58" s="2279" t="s">
        <v>2525</v>
      </c>
      <c r="I58" s="1483" t="s">
        <v>2526</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38.25">
      <c r="A59" s="2277" t="s">
        <v>2540</v>
      </c>
      <c r="B59" s="2280" t="str">
        <f>估价对象房地状况!C17</f>
        <v>估价对象位于XX商圈，周边办公楼项目较多，入驻率高，办公集聚程度较好</v>
      </c>
      <c r="C59" s="2182"/>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51">
      <c r="A60" s="2277" t="s">
        <v>2528</v>
      </c>
      <c r="B60" s="2281" t="str">
        <f>估价对象房地状况!C18</f>
        <v>估价对象周边道路状况、公共交通通达情况、停车便捷程度，综合评价交通便捷度较好</v>
      </c>
      <c r="C60" s="2182"/>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7" t="s">
        <v>2529</v>
      </c>
      <c r="B61" s="2281">
        <f>估价对象房地状况!C19</f>
        <v>0</v>
      </c>
      <c r="C61" s="2182"/>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7" t="s">
        <v>2530</v>
      </c>
      <c r="B62" s="2282" t="s">
        <v>2531</v>
      </c>
      <c r="C62" s="2182"/>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7" t="s">
        <v>2532</v>
      </c>
      <c r="B63" s="2281">
        <f>估价对象房地状况!C24</f>
        <v>0</v>
      </c>
      <c r="C63" s="2182"/>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7" t="s">
        <v>2533</v>
      </c>
      <c r="B64" s="2283" t="s">
        <v>2534</v>
      </c>
      <c r="C64" s="2182"/>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7" t="s">
        <v>2535</v>
      </c>
      <c r="B65" s="1444" t="str">
        <f>估价对象房地状况!C21</f>
        <v>估价对象所在区域公共配套设施齐备情况</v>
      </c>
      <c r="C65" s="2182"/>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7" t="s">
        <v>2536</v>
      </c>
      <c r="B66" s="1444" t="str">
        <f>估价对象房地状况!C22</f>
        <v>估价对象所在区域基础设施水平</v>
      </c>
      <c r="C66" s="2182"/>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39" thickBot="1">
      <c r="A67" s="2285" t="s">
        <v>2537</v>
      </c>
      <c r="B67" s="2287" t="str">
        <f>估价对象房地状况!C20</f>
        <v>区域自然环境：；人文环境；综合评价环境状况一般</v>
      </c>
      <c r="C67" s="2182"/>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3" t="s">
        <v>2541</v>
      </c>
      <c r="B68" s="2274">
        <f>1+E70</f>
        <v>1</v>
      </c>
      <c r="C68" s="750"/>
      <c r="D68" s="750"/>
      <c r="E68" s="751"/>
      <c r="F68" s="2276"/>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7" t="s">
        <v>2519</v>
      </c>
      <c r="B69" s="1483"/>
      <c r="C69" s="1483" t="s">
        <v>2521</v>
      </c>
      <c r="D69" s="1483" t="s">
        <v>2522</v>
      </c>
      <c r="E69" s="755" t="s">
        <v>2523</v>
      </c>
      <c r="F69" s="2278" t="s">
        <v>2539</v>
      </c>
      <c r="G69" s="1483" t="s">
        <v>574</v>
      </c>
      <c r="H69" s="2279" t="s">
        <v>2525</v>
      </c>
      <c r="I69" s="1483" t="s">
        <v>2526</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51">
      <c r="A70" s="2277" t="s">
        <v>2542</v>
      </c>
      <c r="B70" s="2280" t="str">
        <f>估价对象房地状况!C15</f>
        <v>估价对象周边居住用地比例、居住小区规模和社区发展完善程度，综合评价居住社区成熟度一般</v>
      </c>
      <c r="C70" s="2182"/>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51">
      <c r="A71" s="2277" t="s">
        <v>2528</v>
      </c>
      <c r="B71" s="2281" t="str">
        <f>估价对象房地状况!C18</f>
        <v>估价对象周边道路状况、公共交通通达情况、停车便捷程度，综合评价交通便捷度较好</v>
      </c>
      <c r="C71" s="2182"/>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7" t="s">
        <v>2529</v>
      </c>
      <c r="B72" s="2281">
        <f>估价对象房地状况!C19</f>
        <v>0</v>
      </c>
      <c r="C72" s="2182"/>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7" t="s">
        <v>2543</v>
      </c>
      <c r="B73" s="2281">
        <f>估价对象房地状况!C24</f>
        <v>0</v>
      </c>
      <c r="C73" s="2182"/>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7" t="s">
        <v>2535</v>
      </c>
      <c r="B74" s="1444" t="str">
        <f>估价对象房地状况!C21</f>
        <v>估价对象所在区域公共配套设施齐备情况</v>
      </c>
      <c r="C74" s="2182"/>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7" t="s">
        <v>2536</v>
      </c>
      <c r="B75" s="1444" t="str">
        <f>估价对象房地状况!C22</f>
        <v>估价对象所在区域基础设施水平</v>
      </c>
      <c r="C75" s="2182"/>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1" customFormat="1" ht="24">
      <c r="A76" s="2277" t="s">
        <v>2533</v>
      </c>
      <c r="B76" s="2283" t="s">
        <v>2534</v>
      </c>
      <c r="C76" s="2182"/>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8"/>
      <c r="AB76" s="1231"/>
      <c r="AC76" s="1231"/>
      <c r="AD76" s="1231"/>
      <c r="AE76" s="1231"/>
      <c r="AF76" s="1231"/>
      <c r="AG76" s="1231"/>
      <c r="AH76" s="2288"/>
      <c r="AI76" s="2288"/>
      <c r="AJ76" s="2288"/>
      <c r="AK76" s="2288"/>
    </row>
    <row r="77" spans="1:37" ht="38.25">
      <c r="A77" s="2277" t="s">
        <v>2537</v>
      </c>
      <c r="B77" s="2280" t="str">
        <f>估价对象房地状况!C20</f>
        <v>区域自然环境：；人文环境；综合评价环境状况一般</v>
      </c>
      <c r="C77" s="2182"/>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2"/>
      <c r="AA77" s="2198"/>
      <c r="AG77" s="1232"/>
      <c r="AK77" s="2198"/>
    </row>
    <row r="78" spans="1:37" ht="24.75" thickBot="1">
      <c r="A78" s="2285" t="s">
        <v>2544</v>
      </c>
      <c r="B78" s="2289"/>
      <c r="C78" s="2182"/>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2"/>
      <c r="AA78" s="2198"/>
      <c r="AG78" s="1232"/>
      <c r="AK78" s="2198"/>
    </row>
    <row r="79" spans="1:37" ht="15">
      <c r="A79" s="2273" t="s">
        <v>2545</v>
      </c>
      <c r="B79" s="2274">
        <f>1+E81</f>
        <v>1</v>
      </c>
      <c r="C79" s="750"/>
      <c r="D79" s="750"/>
      <c r="E79" s="751"/>
      <c r="F79" s="2276"/>
      <c r="G79" s="6"/>
      <c r="H79" s="6"/>
      <c r="I79" s="6"/>
      <c r="J79" s="7"/>
      <c r="K79" s="7"/>
      <c r="L79" s="7"/>
      <c r="M79" s="7"/>
      <c r="N79" s="7"/>
      <c r="Z79" s="2132"/>
      <c r="AA79" s="2198"/>
      <c r="AG79" s="1232"/>
      <c r="AK79" s="2198"/>
    </row>
    <row r="80" spans="1:37" ht="24.75">
      <c r="A80" s="2277" t="s">
        <v>2519</v>
      </c>
      <c r="B80" s="1483"/>
      <c r="C80" s="1483" t="s">
        <v>2521</v>
      </c>
      <c r="D80" s="1483" t="s">
        <v>2522</v>
      </c>
      <c r="E80" s="755" t="s">
        <v>2523</v>
      </c>
      <c r="F80" s="2278" t="s">
        <v>2539</v>
      </c>
      <c r="G80" s="1483" t="s">
        <v>574</v>
      </c>
      <c r="H80" s="2279" t="s">
        <v>2525</v>
      </c>
      <c r="I80" s="1483" t="s">
        <v>2526</v>
      </c>
      <c r="J80" s="560" t="s">
        <v>2177</v>
      </c>
      <c r="K80" s="560" t="s">
        <v>2178</v>
      </c>
      <c r="L80" s="560" t="s">
        <v>2179</v>
      </c>
      <c r="M80" s="560" t="s">
        <v>2180</v>
      </c>
      <c r="N80" s="560" t="s">
        <v>2181</v>
      </c>
      <c r="Z80" s="2132"/>
      <c r="AA80" s="2198"/>
      <c r="AG80" s="1232"/>
      <c r="AK80" s="2198"/>
    </row>
    <row r="81" spans="1:37" ht="38.25">
      <c r="A81" s="2277" t="s">
        <v>2546</v>
      </c>
      <c r="B81" s="2281" t="str">
        <f>估价对象房地状况!G15</f>
        <v>估价对象位于XX开发区，园区建设成熟度XX，产业集聚程度XX</v>
      </c>
      <c r="C81" s="2182"/>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2"/>
      <c r="AA81" s="2198"/>
      <c r="AG81" s="1232"/>
      <c r="AK81" s="2198"/>
    </row>
    <row r="82" spans="1:37" ht="51">
      <c r="A82" s="2277" t="s">
        <v>2528</v>
      </c>
      <c r="B82" s="2281" t="str">
        <f>估价对象房地状况!G16</f>
        <v>估价对象周边道路状况、公共交通通达情况、停车便捷程度，综合评价交通便捷度较好</v>
      </c>
      <c r="C82" s="2182"/>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2"/>
      <c r="AA82" s="2198"/>
      <c r="AG82" s="1232"/>
      <c r="AK82" s="2198"/>
    </row>
    <row r="83" spans="1:37" ht="24">
      <c r="A83" s="2277" t="s">
        <v>2529</v>
      </c>
      <c r="B83" s="2281">
        <f>估价对象房地状况!G17</f>
        <v>0</v>
      </c>
      <c r="C83" s="2182"/>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2"/>
      <c r="AA83" s="2198"/>
      <c r="AG83" s="1232"/>
      <c r="AK83" s="2198"/>
    </row>
    <row r="84" spans="1:37" ht="14.25">
      <c r="A84" s="2277" t="s">
        <v>2543</v>
      </c>
      <c r="B84" s="2281">
        <f>估价对象房地状况!G22</f>
        <v>0</v>
      </c>
      <c r="C84" s="2182"/>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2"/>
      <c r="AA84" s="2198"/>
      <c r="AG84" s="1232"/>
      <c r="AK84" s="2198"/>
    </row>
    <row r="85" spans="1:37" ht="25.5">
      <c r="A85" s="2277" t="s">
        <v>2535</v>
      </c>
      <c r="B85" s="1444" t="str">
        <f>估价对象房地状况!G19</f>
        <v>估价对象所在区域公共配套设施齐备情况</v>
      </c>
      <c r="C85" s="2182"/>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2"/>
      <c r="AA85" s="2198"/>
      <c r="AG85" s="1232"/>
      <c r="AK85" s="2198"/>
    </row>
    <row r="86" spans="1:37" ht="25.5">
      <c r="A86" s="2277" t="s">
        <v>2536</v>
      </c>
      <c r="B86" s="1444" t="str">
        <f>估价对象房地状况!G20</f>
        <v>估价对象所在区域基础设施水平</v>
      </c>
      <c r="C86" s="2182"/>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2"/>
      <c r="AA86" s="2198"/>
      <c r="AG86" s="1232"/>
      <c r="AK86" s="2198"/>
    </row>
    <row r="87" spans="1:37" ht="24">
      <c r="A87" s="2277" t="s">
        <v>2533</v>
      </c>
      <c r="B87" s="2283" t="s">
        <v>2547</v>
      </c>
      <c r="C87" s="2182"/>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2"/>
      <c r="AA87" s="2198"/>
      <c r="AG87" s="1232"/>
      <c r="AK87" s="2198"/>
    </row>
    <row r="88" spans="1:37" ht="39" thickBot="1">
      <c r="A88" s="2285" t="s">
        <v>2548</v>
      </c>
      <c r="B88" s="2290" t="str">
        <f>估价对象房地状况!G18</f>
        <v>该园区内是否有污染型企业，绿化情况，卫生条件，整体环境状况判断</v>
      </c>
      <c r="C88" s="2182"/>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2"/>
      <c r="AA88" s="2198"/>
      <c r="AG88" s="1232"/>
      <c r="AK88" s="2198"/>
    </row>
    <row r="90" spans="1:37">
      <c r="A90" s="3560" t="s">
        <v>2549</v>
      </c>
      <c r="B90" s="3560"/>
      <c r="C90" s="3560"/>
      <c r="D90" s="3560"/>
      <c r="E90" s="3560"/>
      <c r="F90" s="3560"/>
      <c r="G90" s="3560"/>
      <c r="H90" s="3560"/>
      <c r="I90" s="3560"/>
      <c r="J90" s="3560"/>
      <c r="K90" s="2291"/>
      <c r="L90" s="2291"/>
      <c r="M90" s="2291"/>
      <c r="N90" s="2291"/>
    </row>
    <row r="91" spans="1:37">
      <c r="A91" s="3562" t="s">
        <v>2550</v>
      </c>
      <c r="B91" s="3562" t="s">
        <v>2551</v>
      </c>
      <c r="C91" s="2245" t="s">
        <v>2552</v>
      </c>
      <c r="D91" s="2246"/>
      <c r="E91" s="2246"/>
      <c r="F91" s="2246"/>
      <c r="G91" s="2246"/>
      <c r="H91" s="2246"/>
      <c r="I91" s="2246"/>
      <c r="J91" s="2292"/>
      <c r="K91" s="2293"/>
      <c r="L91" s="2293"/>
      <c r="M91" s="2293"/>
      <c r="N91" s="2293"/>
    </row>
    <row r="92" spans="1:37">
      <c r="A92" s="3562"/>
      <c r="B92" s="3562"/>
      <c r="C92" s="857" t="s">
        <v>2419</v>
      </c>
      <c r="D92" s="857" t="s">
        <v>2420</v>
      </c>
      <c r="E92" s="857" t="s">
        <v>2421</v>
      </c>
      <c r="F92" s="857" t="s">
        <v>2422</v>
      </c>
      <c r="G92" s="857" t="s">
        <v>2423</v>
      </c>
      <c r="H92" s="857" t="s">
        <v>2424</v>
      </c>
      <c r="I92" s="857" t="s">
        <v>2425</v>
      </c>
      <c r="J92" s="857" t="s">
        <v>2426</v>
      </c>
      <c r="K92" s="857" t="s">
        <v>2427</v>
      </c>
      <c r="L92" s="857" t="s">
        <v>2428</v>
      </c>
      <c r="M92" s="857" t="s">
        <v>2429</v>
      </c>
      <c r="N92" s="857" t="s">
        <v>2430</v>
      </c>
    </row>
    <row r="93" spans="1:37">
      <c r="A93" s="3563" t="s">
        <v>2553</v>
      </c>
      <c r="B93" s="2294">
        <v>1</v>
      </c>
      <c r="C93" s="2295">
        <v>1.9361999999999999</v>
      </c>
      <c r="D93" s="2295">
        <v>1.9361999999999999</v>
      </c>
      <c r="E93" s="2295">
        <v>1.8629</v>
      </c>
      <c r="F93" s="2295">
        <v>1.8629</v>
      </c>
      <c r="G93" s="2295">
        <v>1.8629</v>
      </c>
      <c r="H93" s="2295">
        <v>1.8629</v>
      </c>
      <c r="I93" s="2295">
        <v>1.8629</v>
      </c>
      <c r="J93" s="2295">
        <v>1.9419999999999999</v>
      </c>
      <c r="K93" s="2295">
        <v>1.9419999999999999</v>
      </c>
      <c r="L93" s="2295">
        <v>1.9419999999999999</v>
      </c>
      <c r="M93" s="2295">
        <v>1.9419999999999999</v>
      </c>
      <c r="N93" s="2295">
        <v>1.9419999999999999</v>
      </c>
    </row>
    <row r="94" spans="1:37">
      <c r="A94" s="3564"/>
      <c r="B94" s="2294">
        <v>2</v>
      </c>
      <c r="C94" s="2295">
        <v>1.4198</v>
      </c>
      <c r="D94" s="2295">
        <v>1.4198</v>
      </c>
      <c r="E94" s="2295">
        <v>1.3371999999999999</v>
      </c>
      <c r="F94" s="2295">
        <v>1.3371999999999999</v>
      </c>
      <c r="G94" s="2295">
        <v>1.3371999999999999</v>
      </c>
      <c r="H94" s="2295">
        <v>1.3371999999999999</v>
      </c>
      <c r="I94" s="2295">
        <v>1.3371999999999999</v>
      </c>
      <c r="J94" s="2295">
        <v>1.2799</v>
      </c>
      <c r="K94" s="2295">
        <v>1.2799</v>
      </c>
      <c r="L94" s="2295">
        <v>1.2799</v>
      </c>
      <c r="M94" s="2295">
        <v>1.2799</v>
      </c>
      <c r="N94" s="2295">
        <v>1.2799</v>
      </c>
    </row>
    <row r="95" spans="1:37">
      <c r="A95" s="3564"/>
      <c r="B95" s="2294">
        <v>3</v>
      </c>
      <c r="C95" s="2295">
        <v>1.1594</v>
      </c>
      <c r="D95" s="2295">
        <v>1.1594</v>
      </c>
      <c r="E95" s="2295">
        <v>1.0788</v>
      </c>
      <c r="F95" s="2295">
        <v>1.0788</v>
      </c>
      <c r="G95" s="2295">
        <v>1.0788</v>
      </c>
      <c r="H95" s="2295">
        <v>1.0788</v>
      </c>
      <c r="I95" s="2295">
        <v>1.0788</v>
      </c>
      <c r="J95" s="2295">
        <v>1.0072000000000001</v>
      </c>
      <c r="K95" s="2295">
        <v>1.0072000000000001</v>
      </c>
      <c r="L95" s="2295">
        <v>1.0072000000000001</v>
      </c>
      <c r="M95" s="2295">
        <v>1.0072000000000001</v>
      </c>
      <c r="N95" s="2295">
        <v>1.0072000000000001</v>
      </c>
    </row>
    <row r="96" spans="1:37">
      <c r="A96" s="3564"/>
      <c r="B96" s="2294">
        <v>4</v>
      </c>
      <c r="C96" s="2295">
        <v>0.96220000000000006</v>
      </c>
      <c r="D96" s="2295">
        <v>0.96220000000000006</v>
      </c>
      <c r="E96" s="2295">
        <v>0.86560000000000004</v>
      </c>
      <c r="F96" s="2295">
        <v>0.86560000000000004</v>
      </c>
      <c r="G96" s="2295">
        <v>0.86560000000000004</v>
      </c>
      <c r="H96" s="2295">
        <v>0.86560000000000004</v>
      </c>
      <c r="I96" s="2295">
        <v>0.86560000000000004</v>
      </c>
      <c r="J96" s="2295">
        <v>0.75249999999999995</v>
      </c>
      <c r="K96" s="2295">
        <v>0.75249999999999995</v>
      </c>
      <c r="L96" s="2295">
        <v>0.75249999999999995</v>
      </c>
      <c r="M96" s="2295">
        <v>0.75249999999999995</v>
      </c>
      <c r="N96" s="2295">
        <v>0.75249999999999995</v>
      </c>
    </row>
    <row r="97" spans="1:14">
      <c r="A97" s="3564"/>
      <c r="B97" s="2294">
        <v>5</v>
      </c>
      <c r="C97" s="2295">
        <v>0.8417</v>
      </c>
      <c r="D97" s="2295">
        <v>0.8417</v>
      </c>
      <c r="E97" s="2295">
        <v>0.73709999999999998</v>
      </c>
      <c r="F97" s="2295">
        <v>0.73709999999999998</v>
      </c>
      <c r="G97" s="2295">
        <v>0.73709999999999998</v>
      </c>
      <c r="H97" s="2295">
        <v>0.73709999999999998</v>
      </c>
      <c r="I97" s="2295">
        <v>0.73709999999999998</v>
      </c>
      <c r="J97" s="2295">
        <v>0.56589999999999996</v>
      </c>
      <c r="K97" s="2295">
        <v>0.56589999999999996</v>
      </c>
      <c r="L97" s="2295">
        <v>0.56589999999999996</v>
      </c>
      <c r="M97" s="2295">
        <v>0.56589999999999996</v>
      </c>
      <c r="N97" s="2295">
        <v>0.56589999999999996</v>
      </c>
    </row>
    <row r="98" spans="1:14">
      <c r="A98" s="3564"/>
      <c r="B98" s="2294">
        <v>6</v>
      </c>
      <c r="C98" s="2295">
        <v>0.76080000000000003</v>
      </c>
      <c r="D98" s="2295">
        <v>0.76080000000000003</v>
      </c>
      <c r="E98" s="2295">
        <v>0.6482</v>
      </c>
      <c r="F98" s="2295">
        <v>0.6482</v>
      </c>
      <c r="G98" s="2295">
        <v>0.6482</v>
      </c>
      <c r="H98" s="2295">
        <v>0.6482</v>
      </c>
      <c r="I98" s="2295">
        <v>0.6482</v>
      </c>
      <c r="J98" s="2295">
        <v>0.45250000000000001</v>
      </c>
      <c r="K98" s="2295">
        <v>0.45250000000000001</v>
      </c>
      <c r="L98" s="2295">
        <v>0.45250000000000001</v>
      </c>
      <c r="M98" s="2295">
        <v>0.45250000000000001</v>
      </c>
      <c r="N98" s="2295">
        <v>0.45250000000000001</v>
      </c>
    </row>
    <row r="99" spans="1:14">
      <c r="A99" s="3564"/>
      <c r="B99" s="2294" t="s">
        <v>2435</v>
      </c>
      <c r="C99" s="2296">
        <f>$I$3</f>
        <v>0</v>
      </c>
      <c r="D99" s="2296">
        <f t="shared" ref="D99:M99" si="30">$I$3</f>
        <v>0</v>
      </c>
      <c r="E99" s="2296">
        <f t="shared" si="30"/>
        <v>0</v>
      </c>
      <c r="F99" s="2296">
        <f t="shared" si="30"/>
        <v>0</v>
      </c>
      <c r="G99" s="2296">
        <f t="shared" si="30"/>
        <v>0</v>
      </c>
      <c r="H99" s="2296">
        <f t="shared" si="30"/>
        <v>0</v>
      </c>
      <c r="I99" s="2296">
        <f t="shared" si="30"/>
        <v>0</v>
      </c>
      <c r="J99" s="2296">
        <f t="shared" si="30"/>
        <v>0</v>
      </c>
      <c r="K99" s="2296">
        <f t="shared" si="30"/>
        <v>0</v>
      </c>
      <c r="L99" s="2296">
        <f t="shared" si="30"/>
        <v>0</v>
      </c>
      <c r="M99" s="2296">
        <f t="shared" si="30"/>
        <v>0</v>
      </c>
      <c r="N99" s="2296">
        <f>$I$3</f>
        <v>0</v>
      </c>
    </row>
    <row r="100" spans="1:14">
      <c r="A100" s="3565"/>
      <c r="B100" s="2294">
        <v>7</v>
      </c>
      <c r="C100" s="2297">
        <f>(-0.163*(C99^2)-0.59*C99+7617)*(10^(-4))</f>
        <v>0.76170000000000004</v>
      </c>
      <c r="D100" s="2297">
        <f>(-0.163*(D99^2)-0.59*D99+7617)*(10^(-4))</f>
        <v>0.76170000000000004</v>
      </c>
      <c r="E100" s="2297">
        <f>(-0.161*(E99^2)-7.509*E99+6533)*(10^(-4))</f>
        <v>0.65329999999999999</v>
      </c>
      <c r="F100" s="2297">
        <f>(-0.161*(F99^2)-7.509*F99+6533)*(10^(-4))</f>
        <v>0.65329999999999999</v>
      </c>
      <c r="G100" s="2297">
        <f>(-0.161*(G99^2)-7.509*G99+6533)*(10^(-4))</f>
        <v>0.65329999999999999</v>
      </c>
      <c r="H100" s="2297">
        <f>(-0.161*(H99^2)-7.509*H99+6533)*(10^(-4))</f>
        <v>0.65329999999999999</v>
      </c>
      <c r="I100" s="2297">
        <f>(-0.161*(I99^2)-7.509*I99+6533)*(10^(-4))</f>
        <v>0.65329999999999999</v>
      </c>
      <c r="J100" s="2297">
        <f>(-0.214*(J99^2)-21.991*J99+4665)*(10^(-4))</f>
        <v>0.46650000000000003</v>
      </c>
      <c r="K100" s="2297">
        <f>(-0.214*(K99^2)-21.991*K99+4665)*(10^(-4))</f>
        <v>0.46650000000000003</v>
      </c>
      <c r="L100" s="2297">
        <f>(-0.214*(L99^2)-21.991*L99+4665)*(10^(-4))</f>
        <v>0.46650000000000003</v>
      </c>
      <c r="M100" s="2297">
        <f>(-0.214*(M99^2)-21.991*M99+4665)*(10^(-4))</f>
        <v>0.46650000000000003</v>
      </c>
      <c r="N100" s="2297">
        <f>(-0.214*(N99^2)-21.991*N99+4665)*(10^(-4))</f>
        <v>0.46650000000000003</v>
      </c>
    </row>
    <row r="101" spans="1:14">
      <c r="A101" s="3563" t="s">
        <v>2554</v>
      </c>
      <c r="B101" s="2298" t="s">
        <v>2555</v>
      </c>
      <c r="C101" s="2299" t="e">
        <f>$G$3</f>
        <v>#DIV/0!</v>
      </c>
      <c r="D101" s="2299" t="e">
        <f t="shared" ref="D101:N101" si="31">$G$3</f>
        <v>#DIV/0!</v>
      </c>
      <c r="E101" s="2299" t="e">
        <f t="shared" si="31"/>
        <v>#DIV/0!</v>
      </c>
      <c r="F101" s="2299" t="e">
        <f t="shared" si="31"/>
        <v>#DIV/0!</v>
      </c>
      <c r="G101" s="2299" t="e">
        <f t="shared" si="31"/>
        <v>#DIV/0!</v>
      </c>
      <c r="H101" s="2299" t="e">
        <f t="shared" si="31"/>
        <v>#DIV/0!</v>
      </c>
      <c r="I101" s="2299" t="e">
        <f t="shared" si="31"/>
        <v>#DIV/0!</v>
      </c>
      <c r="J101" s="2299" t="e">
        <f t="shared" si="31"/>
        <v>#DIV/0!</v>
      </c>
      <c r="K101" s="2299" t="e">
        <f t="shared" si="31"/>
        <v>#DIV/0!</v>
      </c>
      <c r="L101" s="2299" t="e">
        <f t="shared" si="31"/>
        <v>#DIV/0!</v>
      </c>
      <c r="M101" s="2299" t="e">
        <f t="shared" si="31"/>
        <v>#DIV/0!</v>
      </c>
      <c r="N101" s="2299" t="e">
        <f t="shared" si="31"/>
        <v>#DIV/0!</v>
      </c>
    </row>
    <row r="102" spans="1:14">
      <c r="A102" s="3564"/>
      <c r="B102" s="2294">
        <v>1</v>
      </c>
      <c r="C102" s="2295" t="e">
        <f>1.9362/C101</f>
        <v>#DIV/0!</v>
      </c>
      <c r="D102" s="2295" t="e">
        <f>1.9362/D101</f>
        <v>#DIV/0!</v>
      </c>
      <c r="E102" s="2295" t="e">
        <f>1.8629/E101</f>
        <v>#DIV/0!</v>
      </c>
      <c r="F102" s="2295" t="e">
        <f>1.8629/F101</f>
        <v>#DIV/0!</v>
      </c>
      <c r="G102" s="2295" t="e">
        <f>1.8629/G101</f>
        <v>#DIV/0!</v>
      </c>
      <c r="H102" s="2295" t="e">
        <f>1.8629/H101</f>
        <v>#DIV/0!</v>
      </c>
      <c r="I102" s="2295" t="e">
        <f>1.8629/I101</f>
        <v>#DIV/0!</v>
      </c>
      <c r="J102" s="2295" t="e">
        <f>1.942/J101</f>
        <v>#DIV/0!</v>
      </c>
      <c r="K102" s="2295" t="e">
        <f>1.942/K101</f>
        <v>#DIV/0!</v>
      </c>
      <c r="L102" s="2295" t="e">
        <f>1.942/L101</f>
        <v>#DIV/0!</v>
      </c>
      <c r="M102" s="2295" t="e">
        <f>1.942/M101</f>
        <v>#DIV/0!</v>
      </c>
      <c r="N102" s="2295" t="e">
        <f>1.942/N101</f>
        <v>#DIV/0!</v>
      </c>
    </row>
    <row r="103" spans="1:14">
      <c r="A103" s="3564"/>
      <c r="B103" s="2294">
        <v>2</v>
      </c>
      <c r="C103" s="2295" t="e">
        <f>1.4198/C101</f>
        <v>#DIV/0!</v>
      </c>
      <c r="D103" s="2295" t="e">
        <f>1.4198/D101</f>
        <v>#DIV/0!</v>
      </c>
      <c r="E103" s="2295" t="e">
        <f>1.3372/E101</f>
        <v>#DIV/0!</v>
      </c>
      <c r="F103" s="2295" t="e">
        <f>1.3372/F101</f>
        <v>#DIV/0!</v>
      </c>
      <c r="G103" s="2295" t="e">
        <f>1.3372/G101</f>
        <v>#DIV/0!</v>
      </c>
      <c r="H103" s="2295" t="e">
        <f>1.3372/H101</f>
        <v>#DIV/0!</v>
      </c>
      <c r="I103" s="2295" t="e">
        <f>1.3372/I101</f>
        <v>#DIV/0!</v>
      </c>
      <c r="J103" s="2295" t="e">
        <f>1.2799/J101</f>
        <v>#DIV/0!</v>
      </c>
      <c r="K103" s="2295" t="e">
        <f>1.2799/K101</f>
        <v>#DIV/0!</v>
      </c>
      <c r="L103" s="2295" t="e">
        <f>1.2799/L101</f>
        <v>#DIV/0!</v>
      </c>
      <c r="M103" s="2295" t="e">
        <f>1.2799/M101</f>
        <v>#DIV/0!</v>
      </c>
      <c r="N103" s="2295" t="e">
        <f>1.2799/N101</f>
        <v>#DIV/0!</v>
      </c>
    </row>
    <row r="104" spans="1:14">
      <c r="A104" s="3564"/>
      <c r="B104" s="2294">
        <v>3</v>
      </c>
      <c r="C104" s="2295" t="e">
        <f>1.1594/C101</f>
        <v>#DIV/0!</v>
      </c>
      <c r="D104" s="2295" t="e">
        <f>1.1594/D101</f>
        <v>#DIV/0!</v>
      </c>
      <c r="E104" s="2295" t="e">
        <f>1.0788/E101</f>
        <v>#DIV/0!</v>
      </c>
      <c r="F104" s="2295" t="e">
        <f>1.0788/F101</f>
        <v>#DIV/0!</v>
      </c>
      <c r="G104" s="2295" t="e">
        <f>1.0788/G101</f>
        <v>#DIV/0!</v>
      </c>
      <c r="H104" s="2295" t="e">
        <f>1.0788/H101</f>
        <v>#DIV/0!</v>
      </c>
      <c r="I104" s="2295" t="e">
        <f>1.0788/I101</f>
        <v>#DIV/0!</v>
      </c>
      <c r="J104" s="2295" t="e">
        <f>1.0072/J101</f>
        <v>#DIV/0!</v>
      </c>
      <c r="K104" s="2295" t="e">
        <f>1.0072/K101</f>
        <v>#DIV/0!</v>
      </c>
      <c r="L104" s="2295" t="e">
        <f>1.0072/L101</f>
        <v>#DIV/0!</v>
      </c>
      <c r="M104" s="2295" t="e">
        <f>1.0072/M101</f>
        <v>#DIV/0!</v>
      </c>
      <c r="N104" s="2295" t="e">
        <f>1.0072/N101</f>
        <v>#DIV/0!</v>
      </c>
    </row>
    <row r="105" spans="1:14">
      <c r="A105" s="3564"/>
      <c r="B105" s="2294">
        <v>4</v>
      </c>
      <c r="C105" s="2295" t="e">
        <f>0.9622/C101</f>
        <v>#DIV/0!</v>
      </c>
      <c r="D105" s="2295" t="e">
        <f>0.9622/D101</f>
        <v>#DIV/0!</v>
      </c>
      <c r="E105" s="2295" t="e">
        <f>0.8656/E101</f>
        <v>#DIV/0!</v>
      </c>
      <c r="F105" s="2295" t="e">
        <f>0.8656/F101</f>
        <v>#DIV/0!</v>
      </c>
      <c r="G105" s="2295" t="e">
        <f>0.8656/G101</f>
        <v>#DIV/0!</v>
      </c>
      <c r="H105" s="2295" t="e">
        <f>0.8656/H101</f>
        <v>#DIV/0!</v>
      </c>
      <c r="I105" s="2295" t="e">
        <f>0.8656/I101</f>
        <v>#DIV/0!</v>
      </c>
      <c r="J105" s="2295" t="e">
        <f>0.7525/J101</f>
        <v>#DIV/0!</v>
      </c>
      <c r="K105" s="2295" t="e">
        <f>0.7525/K101</f>
        <v>#DIV/0!</v>
      </c>
      <c r="L105" s="2295" t="e">
        <f>0.7525/L101</f>
        <v>#DIV/0!</v>
      </c>
      <c r="M105" s="2295" t="e">
        <f>0.7525/M101</f>
        <v>#DIV/0!</v>
      </c>
      <c r="N105" s="2295" t="e">
        <f>0.7525/N101</f>
        <v>#DIV/0!</v>
      </c>
    </row>
    <row r="106" spans="1:14">
      <c r="A106" s="3564"/>
      <c r="B106" s="2294">
        <v>5</v>
      </c>
      <c r="C106" s="2295" t="e">
        <f>0.8417/C101</f>
        <v>#DIV/0!</v>
      </c>
      <c r="D106" s="2295" t="e">
        <f>0.8417/D101</f>
        <v>#DIV/0!</v>
      </c>
      <c r="E106" s="2295" t="e">
        <f>0.7371/E101</f>
        <v>#DIV/0!</v>
      </c>
      <c r="F106" s="2295" t="e">
        <f>0.7371/F101</f>
        <v>#DIV/0!</v>
      </c>
      <c r="G106" s="2295" t="e">
        <f>0.7371/G101</f>
        <v>#DIV/0!</v>
      </c>
      <c r="H106" s="2295" t="e">
        <f>0.7371/H101</f>
        <v>#DIV/0!</v>
      </c>
      <c r="I106" s="2295" t="e">
        <f>0.7371/I101</f>
        <v>#DIV/0!</v>
      </c>
      <c r="J106" s="2295" t="e">
        <f>0.5659/J101</f>
        <v>#DIV/0!</v>
      </c>
      <c r="K106" s="2295" t="e">
        <f>0.5659/K101</f>
        <v>#DIV/0!</v>
      </c>
      <c r="L106" s="2295" t="e">
        <f>0.5659/L101</f>
        <v>#DIV/0!</v>
      </c>
      <c r="M106" s="2295" t="e">
        <f>0.5659/M101</f>
        <v>#DIV/0!</v>
      </c>
      <c r="N106" s="2295" t="e">
        <f>0.5659/N101</f>
        <v>#DIV/0!</v>
      </c>
    </row>
    <row r="107" spans="1:14">
      <c r="A107" s="3564"/>
      <c r="B107" s="2294">
        <v>6</v>
      </c>
      <c r="C107" s="2295" t="e">
        <f>0.7608/C101</f>
        <v>#DIV/0!</v>
      </c>
      <c r="D107" s="2295" t="e">
        <f>0.7608/D101</f>
        <v>#DIV/0!</v>
      </c>
      <c r="E107" s="2295" t="e">
        <f>0.6482/E101</f>
        <v>#DIV/0!</v>
      </c>
      <c r="F107" s="2295" t="e">
        <f>0.6482/F101</f>
        <v>#DIV/0!</v>
      </c>
      <c r="G107" s="2295" t="e">
        <f>0.6482/G101</f>
        <v>#DIV/0!</v>
      </c>
      <c r="H107" s="2295" t="e">
        <f>0.6482/H101</f>
        <v>#DIV/0!</v>
      </c>
      <c r="I107" s="2295" t="e">
        <f>0.6482/I101</f>
        <v>#DIV/0!</v>
      </c>
      <c r="J107" s="2295" t="e">
        <f>0.4525/J101</f>
        <v>#DIV/0!</v>
      </c>
      <c r="K107" s="2295" t="e">
        <f>0.4525/K101</f>
        <v>#DIV/0!</v>
      </c>
      <c r="L107" s="2295" t="e">
        <f>0.4525/L101</f>
        <v>#DIV/0!</v>
      </c>
      <c r="M107" s="2295" t="e">
        <f>0.4525/M101</f>
        <v>#DIV/0!</v>
      </c>
      <c r="N107" s="2295" t="e">
        <f>0.4525/N101</f>
        <v>#DIV/0!</v>
      </c>
    </row>
    <row r="108" spans="1:14">
      <c r="A108" s="3564"/>
      <c r="B108" s="3566" t="s">
        <v>2556</v>
      </c>
      <c r="C108" s="2296">
        <f>C99</f>
        <v>0</v>
      </c>
      <c r="D108" s="2296">
        <f t="shared" ref="D108:N108" si="32">D99</f>
        <v>0</v>
      </c>
      <c r="E108" s="2296">
        <f t="shared" si="32"/>
        <v>0</v>
      </c>
      <c r="F108" s="2296">
        <f t="shared" si="32"/>
        <v>0</v>
      </c>
      <c r="G108" s="2296">
        <f t="shared" si="32"/>
        <v>0</v>
      </c>
      <c r="H108" s="2296">
        <f t="shared" si="32"/>
        <v>0</v>
      </c>
      <c r="I108" s="2296">
        <f t="shared" si="32"/>
        <v>0</v>
      </c>
      <c r="J108" s="2296">
        <f t="shared" si="32"/>
        <v>0</v>
      </c>
      <c r="K108" s="2296">
        <f t="shared" si="32"/>
        <v>0</v>
      </c>
      <c r="L108" s="2296">
        <f t="shared" si="32"/>
        <v>0</v>
      </c>
      <c r="M108" s="2296">
        <f t="shared" si="32"/>
        <v>0</v>
      </c>
      <c r="N108" s="2296">
        <f t="shared" si="32"/>
        <v>0</v>
      </c>
    </row>
    <row r="109" spans="1:14">
      <c r="A109" s="3565"/>
      <c r="B109" s="3567"/>
      <c r="C109" s="2297" t="e">
        <f>(-0.163*(C108^2)-0.59*C108+7617)*(10^(-4))/C101</f>
        <v>#DIV/0!</v>
      </c>
      <c r="D109" s="2297" t="e">
        <f>(-0.163*(D108^2)-0.59*D108+7617)*(10^(-4))/D101</f>
        <v>#DIV/0!</v>
      </c>
      <c r="E109" s="2297" t="e">
        <f>(-0.161*(E108^2)-7.509*E108+6533)*(10^(-4))/E101</f>
        <v>#DIV/0!</v>
      </c>
      <c r="F109" s="2297" t="e">
        <f>(-0.161*(F108^2)-7.509*F108+6533)*(10^(-4))/F101</f>
        <v>#DIV/0!</v>
      </c>
      <c r="G109" s="2297" t="e">
        <f>(-0.161*(G108^2)-7.509*G108+6533)*(10^(-4))/G101</f>
        <v>#DIV/0!</v>
      </c>
      <c r="H109" s="2297" t="e">
        <f>(-0.161*(H108^2)-7.509*H108+6533)*(10^(-4))/H101</f>
        <v>#DIV/0!</v>
      </c>
      <c r="I109" s="2297" t="e">
        <f>(-0.161*(I108^2)-7.509*I108+6533)*(10^(-4))/I101</f>
        <v>#DIV/0!</v>
      </c>
      <c r="J109" s="2297" t="e">
        <f>(-0.214*(J108^2)-21.991*J108+4665)*(10^(-4))/J101</f>
        <v>#DIV/0!</v>
      </c>
      <c r="K109" s="2297" t="e">
        <f>(-0.214*(K108^2)-21.991*K108+4665)*(10^(-4))/K101</f>
        <v>#DIV/0!</v>
      </c>
      <c r="L109" s="2297" t="e">
        <f>(-0.214*(L108^2)-21.991*L108+4665)*(10^(-4))/L101</f>
        <v>#DIV/0!</v>
      </c>
      <c r="M109" s="2297" t="e">
        <f>(-0.214*(M108^2)-21.991*M108+4665)*(10^(-4))/M101</f>
        <v>#DIV/0!</v>
      </c>
      <c r="N109" s="2297" t="e">
        <f>(-0.214*(N108^2)-21.991*N108+4665)*(10^(-4))/N101</f>
        <v>#DIV/0!</v>
      </c>
    </row>
    <row r="110" spans="1:14">
      <c r="A110" s="3561" t="s">
        <v>2557</v>
      </c>
      <c r="B110" s="3561"/>
      <c r="C110" s="3561"/>
      <c r="D110" s="3561"/>
      <c r="E110" s="3561"/>
      <c r="F110" s="3561"/>
      <c r="G110" s="3561"/>
      <c r="H110" s="3561"/>
      <c r="I110" s="3561"/>
      <c r="J110" s="3561"/>
      <c r="K110" s="2300"/>
      <c r="L110" s="2300"/>
      <c r="M110" s="2300"/>
      <c r="N110" s="2300"/>
    </row>
    <row r="112" spans="1:14" ht="13.5" thickBot="1"/>
    <row r="113" spans="1:13" ht="25.5" thickBot="1">
      <c r="A113" s="821" t="s">
        <v>2558</v>
      </c>
      <c r="B113" s="1175" t="e">
        <f>G3</f>
        <v>#DIV/0!</v>
      </c>
      <c r="C113" s="822" t="s">
        <v>2559</v>
      </c>
      <c r="D113" s="823" t="e">
        <f>SUMPRODUCT((A115:A118=F113)*(B114:M114=H113)*B115:M118)</f>
        <v>#DIV/0!</v>
      </c>
      <c r="E113" s="2136" t="s">
        <v>2392</v>
      </c>
      <c r="F113" s="2302">
        <f>E2</f>
        <v>0</v>
      </c>
      <c r="G113" s="2136" t="s">
        <v>2393</v>
      </c>
      <c r="H113" s="2302">
        <f>G2</f>
        <v>0</v>
      </c>
      <c r="I113" s="2136"/>
      <c r="J113" s="2303"/>
      <c r="K113" s="2303"/>
      <c r="L113" s="2303"/>
      <c r="M113" s="2303"/>
    </row>
    <row r="114" spans="1:13">
      <c r="A114" s="826"/>
      <c r="B114" s="2304" t="s">
        <v>2560</v>
      </c>
      <c r="C114" s="2304" t="s">
        <v>2561</v>
      </c>
      <c r="D114" s="2304" t="s">
        <v>2562</v>
      </c>
      <c r="E114" s="2305" t="s">
        <v>2563</v>
      </c>
      <c r="F114" s="2305" t="s">
        <v>2564</v>
      </c>
      <c r="G114" s="2305" t="s">
        <v>2565</v>
      </c>
      <c r="H114" s="2306" t="s">
        <v>2566</v>
      </c>
      <c r="I114" s="2306" t="s">
        <v>2567</v>
      </c>
      <c r="J114" s="2307" t="s">
        <v>2568</v>
      </c>
      <c r="K114" s="2307" t="s">
        <v>2569</v>
      </c>
      <c r="L114" s="2307" t="s">
        <v>2570</v>
      </c>
      <c r="M114" s="2308" t="s">
        <v>2571</v>
      </c>
    </row>
    <row r="115" spans="1:13">
      <c r="A115" s="827" t="s">
        <v>2457</v>
      </c>
      <c r="B115" s="828" t="e">
        <f>ROUND(0.9335-0.0094*B113,4)</f>
        <v>#DIV/0!</v>
      </c>
      <c r="C115" s="828" t="e">
        <f>B115</f>
        <v>#DIV/0!</v>
      </c>
      <c r="D115" s="828" t="e">
        <f>ROUND(0.8331-0.0109*B113,4)</f>
        <v>#DIV/0!</v>
      </c>
      <c r="E115" s="828" t="e">
        <f>D115</f>
        <v>#DIV/0!</v>
      </c>
      <c r="F115" s="828" t="e">
        <f>E115</f>
        <v>#DIV/0!</v>
      </c>
      <c r="G115" s="828" t="e">
        <f>F115</f>
        <v>#DIV/0!</v>
      </c>
      <c r="H115" s="828" t="e">
        <f>G115</f>
        <v>#DIV/0!</v>
      </c>
      <c r="I115" s="828" t="e">
        <f>ROUND(0.689-0.0155*B113,4)</f>
        <v>#DIV/0!</v>
      </c>
      <c r="J115" s="828" t="e">
        <f t="shared" ref="J115:M118" si="33">I115</f>
        <v>#DIV/0!</v>
      </c>
      <c r="K115" s="828" t="e">
        <f t="shared" si="33"/>
        <v>#DIV/0!</v>
      </c>
      <c r="L115" s="828" t="e">
        <f t="shared" si="33"/>
        <v>#DIV/0!</v>
      </c>
      <c r="M115" s="829" t="e">
        <f t="shared" si="33"/>
        <v>#DIV/0!</v>
      </c>
    </row>
    <row r="116" spans="1:13">
      <c r="A116" s="827" t="s">
        <v>2458</v>
      </c>
      <c r="B116" s="828" t="e">
        <f>ROUND(0.949-0.012*B113,4)</f>
        <v>#DIV/0!</v>
      </c>
      <c r="C116" s="828" t="e">
        <f>B116</f>
        <v>#DIV/0!</v>
      </c>
      <c r="D116" s="828" t="e">
        <f>ROUND(0.8567-0.013*B113,4)</f>
        <v>#DIV/0!</v>
      </c>
      <c r="E116" s="828" t="e">
        <f t="shared" ref="E116:H117" si="34">D116</f>
        <v>#DIV/0!</v>
      </c>
      <c r="F116" s="828" t="e">
        <f t="shared" si="34"/>
        <v>#DIV/0!</v>
      </c>
      <c r="G116" s="828" t="e">
        <f t="shared" si="34"/>
        <v>#DIV/0!</v>
      </c>
      <c r="H116" s="828" t="e">
        <f t="shared" si="34"/>
        <v>#DIV/0!</v>
      </c>
      <c r="I116" s="828" t="e">
        <f>ROUND(0.7694-0.014*B113,4)</f>
        <v>#DIV/0!</v>
      </c>
      <c r="J116" s="828" t="e">
        <f t="shared" si="33"/>
        <v>#DIV/0!</v>
      </c>
      <c r="K116" s="828" t="e">
        <f t="shared" si="33"/>
        <v>#DIV/0!</v>
      </c>
      <c r="L116" s="828" t="e">
        <f t="shared" si="33"/>
        <v>#DIV/0!</v>
      </c>
      <c r="M116" s="829" t="e">
        <f t="shared" si="33"/>
        <v>#DIV/0!</v>
      </c>
    </row>
    <row r="117" spans="1:13">
      <c r="A117" s="827" t="s">
        <v>2459</v>
      </c>
      <c r="B117" s="828" t="e">
        <f>ROUND(0.8808-0.006*B113,4)</f>
        <v>#DIV/0!</v>
      </c>
      <c r="C117" s="828" t="e">
        <f>B117</f>
        <v>#DIV/0!</v>
      </c>
      <c r="D117" s="828" t="e">
        <f>ROUND(0.8748-0.008*B113,4)</f>
        <v>#DIV/0!</v>
      </c>
      <c r="E117" s="828" t="e">
        <f t="shared" si="34"/>
        <v>#DIV/0!</v>
      </c>
      <c r="F117" s="828" t="e">
        <f t="shared" si="34"/>
        <v>#DIV/0!</v>
      </c>
      <c r="G117" s="828" t="e">
        <f t="shared" si="34"/>
        <v>#DIV/0!</v>
      </c>
      <c r="H117" s="828" t="e">
        <f t="shared" si="34"/>
        <v>#DIV/0!</v>
      </c>
      <c r="I117" s="828" t="e">
        <f>ROUND(0.7412-0.0095*B113,4)</f>
        <v>#DIV/0!</v>
      </c>
      <c r="J117" s="828" t="e">
        <f t="shared" si="33"/>
        <v>#DIV/0!</v>
      </c>
      <c r="K117" s="828" t="e">
        <f t="shared" si="33"/>
        <v>#DIV/0!</v>
      </c>
      <c r="L117" s="828" t="e">
        <f t="shared" si="33"/>
        <v>#DIV/0!</v>
      </c>
      <c r="M117" s="829" t="e">
        <f t="shared" si="33"/>
        <v>#DIV/0!</v>
      </c>
    </row>
    <row r="118" spans="1:13" ht="13.5" thickBot="1">
      <c r="A118" s="667" t="s">
        <v>2460</v>
      </c>
      <c r="B118" s="830" t="e">
        <f>ROUND(0.7275-0.01*B113,4)</f>
        <v>#DIV/0!</v>
      </c>
      <c r="C118" s="830" t="e">
        <f>B118</f>
        <v>#DIV/0!</v>
      </c>
      <c r="D118" s="830" t="e">
        <f>ROUND(0.7043-0.012*B113,4)</f>
        <v>#DIV/0!</v>
      </c>
      <c r="E118" s="830" t="e">
        <f>D118</f>
        <v>#DIV/0!</v>
      </c>
      <c r="F118" s="830" t="e">
        <f>E118</f>
        <v>#DIV/0!</v>
      </c>
      <c r="G118" s="830" t="e">
        <f>ROUND(0.6299-0.0122*B113,4)</f>
        <v>#DIV/0!</v>
      </c>
      <c r="H118" s="830" t="e">
        <f>G118</f>
        <v>#DIV/0!</v>
      </c>
      <c r="I118" s="830" t="e">
        <f>ROUND(0.5667-0.0136*B113,4)</f>
        <v>#DIV/0!</v>
      </c>
      <c r="J118" s="830" t="e">
        <f t="shared" si="33"/>
        <v>#DIV/0!</v>
      </c>
      <c r="K118" s="830" t="e">
        <f t="shared" si="33"/>
        <v>#DIV/0!</v>
      </c>
      <c r="L118" s="830" t="e">
        <f t="shared" si="33"/>
        <v>#DIV/0!</v>
      </c>
      <c r="M118" s="83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1" t="s">
        <v>2941</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2942</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2943</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2944</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2945</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2946</v>
      </c>
      <c r="B7" s="3195">
        <v>2.5</v>
      </c>
      <c r="C7" s="3195">
        <v>2.5</v>
      </c>
      <c r="D7" s="3195">
        <v>2</v>
      </c>
      <c r="E7" s="3195">
        <v>2</v>
      </c>
      <c r="F7" s="3195">
        <v>2</v>
      </c>
      <c r="G7" s="3195">
        <v>2</v>
      </c>
      <c r="H7" s="3195">
        <v>2</v>
      </c>
      <c r="I7" s="3196">
        <v>1.5</v>
      </c>
      <c r="J7" s="3196">
        <v>1.5</v>
      </c>
      <c r="K7" s="3196">
        <v>1.5</v>
      </c>
      <c r="L7" s="3196">
        <v>1.5</v>
      </c>
      <c r="M7" s="3197">
        <v>1.5</v>
      </c>
    </row>
    <row r="8" spans="1:13" ht="19.5" customHeight="1">
      <c r="A8" s="793"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3"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3"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3"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3"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3"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3"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4"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2622</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2" t="s">
        <v>2947</v>
      </c>
      <c r="B19" s="3204" t="s">
        <v>2948</v>
      </c>
      <c r="C19" s="3205" t="s">
        <v>2949</v>
      </c>
      <c r="D19" s="3206"/>
      <c r="E19" s="3200" t="s">
        <v>2950</v>
      </c>
      <c r="F19" s="800"/>
      <c r="G19" s="800"/>
    </row>
    <row r="20" spans="1:13" s="805" customFormat="1" ht="19.5" customHeight="1">
      <c r="A20" s="3591" t="s">
        <v>2951</v>
      </c>
      <c r="B20" s="3584" t="s">
        <v>2952</v>
      </c>
      <c r="C20" s="3207" t="s">
        <v>2953</v>
      </c>
      <c r="D20" s="3208"/>
      <c r="E20" s="3209">
        <v>1</v>
      </c>
      <c r="F20" s="3210" t="s">
        <v>2954</v>
      </c>
      <c r="G20" s="804"/>
      <c r="H20" s="798"/>
      <c r="I20" s="798"/>
    </row>
    <row r="21" spans="1:13" s="805" customFormat="1" ht="19.5" customHeight="1">
      <c r="A21" s="3592"/>
      <c r="B21" s="3585"/>
      <c r="C21" s="802" t="s">
        <v>2955</v>
      </c>
      <c r="D21" s="803"/>
      <c r="E21" s="3211">
        <v>1</v>
      </c>
      <c r="F21" s="3210" t="s">
        <v>2956</v>
      </c>
      <c r="G21" s="804"/>
      <c r="H21" s="798"/>
      <c r="I21" s="798"/>
    </row>
    <row r="22" spans="1:13" s="805" customFormat="1" ht="19.5" customHeight="1">
      <c r="A22" s="3592"/>
      <c r="B22" s="3585"/>
      <c r="C22" s="802" t="s">
        <v>2957</v>
      </c>
      <c r="D22" s="803"/>
      <c r="E22" s="3211">
        <v>0.9</v>
      </c>
      <c r="F22" s="3210" t="s">
        <v>2958</v>
      </c>
      <c r="G22" s="804"/>
      <c r="H22" s="798"/>
      <c r="I22" s="798"/>
    </row>
    <row r="23" spans="1:13" s="805" customFormat="1" ht="19.5" customHeight="1">
      <c r="A23" s="3592"/>
      <c r="B23" s="3585"/>
      <c r="C23" s="802" t="s">
        <v>2959</v>
      </c>
      <c r="D23" s="803"/>
      <c r="E23" s="3211">
        <v>0.9</v>
      </c>
      <c r="F23" s="3210" t="s">
        <v>2960</v>
      </c>
      <c r="G23" s="804"/>
      <c r="H23" s="798"/>
      <c r="I23" s="798"/>
    </row>
    <row r="24" spans="1:13" s="805" customFormat="1" ht="19.5" customHeight="1">
      <c r="A24" s="3592"/>
      <c r="B24" s="3585"/>
      <c r="C24" s="802" t="s">
        <v>2961</v>
      </c>
      <c r="D24" s="803"/>
      <c r="E24" s="3211">
        <v>0.8</v>
      </c>
      <c r="F24" s="3210" t="s">
        <v>2962</v>
      </c>
      <c r="G24" s="804"/>
      <c r="H24" s="798"/>
      <c r="I24" s="798"/>
    </row>
    <row r="25" spans="1:13" s="805" customFormat="1" ht="19.5" customHeight="1" thickBot="1">
      <c r="A25" s="3593"/>
      <c r="B25" s="3586"/>
      <c r="C25" s="3212" t="s">
        <v>2963</v>
      </c>
      <c r="D25" s="3213"/>
      <c r="E25" s="3214">
        <v>0.8</v>
      </c>
      <c r="F25" s="3210" t="s">
        <v>2964</v>
      </c>
      <c r="G25" s="804"/>
      <c r="H25" s="798"/>
      <c r="I25" s="798"/>
    </row>
    <row r="26" spans="1:13" s="805" customFormat="1" ht="19.5" customHeight="1" thickBot="1">
      <c r="A26" s="3215" t="s">
        <v>2965</v>
      </c>
      <c r="B26" s="3216" t="s">
        <v>2952</v>
      </c>
      <c r="C26" s="3217" t="s">
        <v>2966</v>
      </c>
      <c r="D26" s="3218"/>
      <c r="E26" s="3219">
        <v>1</v>
      </c>
      <c r="F26" s="3210" t="s">
        <v>2967</v>
      </c>
      <c r="G26" s="804"/>
      <c r="H26" s="798"/>
      <c r="I26" s="798"/>
    </row>
    <row r="27" spans="1:13" s="805" customFormat="1" ht="19.5" customHeight="1">
      <c r="A27" s="3587" t="s">
        <v>2968</v>
      </c>
      <c r="B27" s="3584" t="s">
        <v>2968</v>
      </c>
      <c r="C27" s="3207" t="s">
        <v>2969</v>
      </c>
      <c r="D27" s="3208"/>
      <c r="E27" s="3209">
        <v>1</v>
      </c>
      <c r="F27" s="3210" t="s">
        <v>2970</v>
      </c>
      <c r="G27" s="804"/>
      <c r="H27" s="798"/>
      <c r="I27" s="798"/>
    </row>
    <row r="28" spans="1:13" s="805" customFormat="1" ht="19.5" customHeight="1">
      <c r="A28" s="3588"/>
      <c r="B28" s="3585"/>
      <c r="C28" s="802" t="s">
        <v>2971</v>
      </c>
      <c r="D28" s="803"/>
      <c r="E28" s="3211">
        <v>1</v>
      </c>
      <c r="F28" s="3210" t="s">
        <v>2972</v>
      </c>
      <c r="G28" s="804"/>
      <c r="H28" s="798"/>
      <c r="I28" s="798"/>
    </row>
    <row r="29" spans="1:13" s="805" customFormat="1" ht="19.5" customHeight="1">
      <c r="A29" s="3588"/>
      <c r="B29" s="3585"/>
      <c r="C29" s="802" t="s">
        <v>2973</v>
      </c>
      <c r="D29" s="803"/>
      <c r="E29" s="3211">
        <v>0.8</v>
      </c>
      <c r="F29" s="3210" t="s">
        <v>2974</v>
      </c>
      <c r="G29" s="804"/>
      <c r="H29" s="798"/>
      <c r="I29" s="798"/>
    </row>
    <row r="30" spans="1:13" s="805" customFormat="1" ht="19.5" customHeight="1">
      <c r="A30" s="3588"/>
      <c r="B30" s="3585"/>
      <c r="C30" s="802" t="s">
        <v>2975</v>
      </c>
      <c r="D30" s="803"/>
      <c r="E30" s="3211">
        <v>0.8</v>
      </c>
      <c r="F30" s="3210" t="s">
        <v>2976</v>
      </c>
      <c r="G30" s="804"/>
      <c r="H30" s="798"/>
      <c r="I30" s="798"/>
    </row>
    <row r="31" spans="1:13" s="805" customFormat="1" ht="19.5" customHeight="1">
      <c r="A31" s="3588"/>
      <c r="B31" s="3585"/>
      <c r="C31" s="802" t="s">
        <v>2977</v>
      </c>
      <c r="D31" s="803"/>
      <c r="E31" s="3211">
        <v>0.8</v>
      </c>
      <c r="F31" s="3210" t="s">
        <v>2978</v>
      </c>
      <c r="G31" s="804"/>
      <c r="H31" s="798"/>
      <c r="I31" s="798"/>
    </row>
    <row r="32" spans="1:13" s="805" customFormat="1" ht="19.5" customHeight="1">
      <c r="A32" s="3588"/>
      <c r="B32" s="3585"/>
      <c r="C32" s="802" t="s">
        <v>2979</v>
      </c>
      <c r="D32" s="803"/>
      <c r="E32" s="3211">
        <v>0.7</v>
      </c>
      <c r="F32" s="3210" t="s">
        <v>2980</v>
      </c>
      <c r="G32" s="804"/>
      <c r="H32" s="798"/>
      <c r="I32" s="798"/>
    </row>
    <row r="33" spans="1:9" s="805" customFormat="1" ht="19.5" customHeight="1">
      <c r="A33" s="3588"/>
      <c r="B33" s="3585"/>
      <c r="C33" s="802" t="s">
        <v>2981</v>
      </c>
      <c r="D33" s="803"/>
      <c r="E33" s="3211">
        <v>0.8</v>
      </c>
      <c r="F33" s="3210" t="s">
        <v>2982</v>
      </c>
      <c r="G33" s="804"/>
      <c r="H33" s="798"/>
      <c r="I33" s="798"/>
    </row>
    <row r="34" spans="1:9" s="805" customFormat="1" ht="19.5" customHeight="1">
      <c r="A34" s="3588"/>
      <c r="B34" s="3585"/>
      <c r="C34" s="802" t="s">
        <v>2983</v>
      </c>
      <c r="D34" s="803"/>
      <c r="E34" s="3211">
        <v>0.6</v>
      </c>
      <c r="F34" s="3210" t="s">
        <v>2984</v>
      </c>
      <c r="G34" s="804"/>
      <c r="H34" s="798"/>
      <c r="I34" s="798"/>
    </row>
    <row r="35" spans="1:9" s="805" customFormat="1" ht="19.5" customHeight="1">
      <c r="A35" s="3588"/>
      <c r="B35" s="3585"/>
      <c r="C35" s="802" t="s">
        <v>2985</v>
      </c>
      <c r="D35" s="803"/>
      <c r="E35" s="3211">
        <v>0.2</v>
      </c>
      <c r="F35" s="3210" t="s">
        <v>2986</v>
      </c>
      <c r="G35" s="804"/>
      <c r="H35" s="798"/>
      <c r="I35" s="798"/>
    </row>
    <row r="36" spans="1:9" s="805" customFormat="1" ht="19.5" customHeight="1">
      <c r="A36" s="3588"/>
      <c r="B36" s="3585"/>
      <c r="C36" s="802" t="s">
        <v>2987</v>
      </c>
      <c r="D36" s="803"/>
      <c r="E36" s="3211">
        <v>0.2</v>
      </c>
      <c r="F36" s="3210" t="s">
        <v>2988</v>
      </c>
      <c r="G36" s="804"/>
      <c r="H36" s="798"/>
      <c r="I36" s="798"/>
    </row>
    <row r="37" spans="1:9" s="805" customFormat="1" ht="19.5" customHeight="1">
      <c r="A37" s="3588"/>
      <c r="B37" s="3590" t="s">
        <v>2989</v>
      </c>
      <c r="C37" s="802" t="s">
        <v>2990</v>
      </c>
      <c r="D37" s="803"/>
      <c r="E37" s="3211">
        <v>0.6</v>
      </c>
      <c r="F37" s="3210" t="s">
        <v>2991</v>
      </c>
      <c r="G37" s="804"/>
      <c r="H37" s="798"/>
      <c r="I37" s="798"/>
    </row>
    <row r="38" spans="1:9" s="805" customFormat="1" ht="19.5" customHeight="1">
      <c r="A38" s="3588"/>
      <c r="B38" s="3585"/>
      <c r="C38" s="802" t="s">
        <v>2992</v>
      </c>
      <c r="D38" s="803"/>
      <c r="E38" s="3211">
        <v>0.6</v>
      </c>
      <c r="F38" s="3210" t="s">
        <v>2993</v>
      </c>
      <c r="G38" s="804"/>
      <c r="H38" s="798"/>
      <c r="I38" s="798"/>
    </row>
    <row r="39" spans="1:9" s="805" customFormat="1" ht="19.5" customHeight="1" thickBot="1">
      <c r="A39" s="3589"/>
      <c r="B39" s="3586"/>
      <c r="C39" s="3212" t="s">
        <v>2994</v>
      </c>
      <c r="D39" s="3213"/>
      <c r="E39" s="3214">
        <v>0.6</v>
      </c>
      <c r="F39" s="3210" t="s">
        <v>2995</v>
      </c>
      <c r="G39" s="804"/>
      <c r="H39" s="798"/>
      <c r="I39" s="798"/>
    </row>
    <row r="40" spans="1:9" s="805" customFormat="1" ht="19.5" customHeight="1" thickBot="1">
      <c r="A40" s="3215" t="s">
        <v>2996</v>
      </c>
      <c r="B40" s="3216" t="s">
        <v>2996</v>
      </c>
      <c r="C40" s="3217" t="s">
        <v>2997</v>
      </c>
      <c r="D40" s="3218"/>
      <c r="E40" s="3219">
        <v>1</v>
      </c>
      <c r="F40" s="3210" t="s">
        <v>2998</v>
      </c>
      <c r="G40" s="804"/>
      <c r="H40" s="798"/>
      <c r="I40" s="798"/>
    </row>
    <row r="41" spans="1:9" s="805" customFormat="1" ht="19.5" customHeight="1">
      <c r="A41" s="3591" t="s">
        <v>2999</v>
      </c>
      <c r="B41" s="3584" t="s">
        <v>3000</v>
      </c>
      <c r="C41" s="3207" t="s">
        <v>3001</v>
      </c>
      <c r="D41" s="3208"/>
      <c r="E41" s="3209">
        <v>1</v>
      </c>
      <c r="F41" s="3210" t="s">
        <v>3002</v>
      </c>
      <c r="G41" s="804"/>
      <c r="H41" s="798"/>
      <c r="I41" s="798"/>
    </row>
    <row r="42" spans="1:9" s="805" customFormat="1" ht="19.5" customHeight="1">
      <c r="A42" s="3592"/>
      <c r="B42" s="3585"/>
      <c r="C42" s="802" t="s">
        <v>3003</v>
      </c>
      <c r="D42" s="803"/>
      <c r="E42" s="3211">
        <v>1</v>
      </c>
      <c r="F42" s="3210" t="s">
        <v>3004</v>
      </c>
      <c r="G42" s="804"/>
      <c r="H42" s="798"/>
      <c r="I42" s="798"/>
    </row>
    <row r="43" spans="1:9" s="805" customFormat="1" ht="19.5" customHeight="1">
      <c r="A43" s="3592"/>
      <c r="B43" s="3594"/>
      <c r="C43" s="802" t="s">
        <v>3005</v>
      </c>
      <c r="D43" s="803"/>
      <c r="E43" s="3211">
        <v>1.5</v>
      </c>
      <c r="F43" s="3210" t="s">
        <v>3006</v>
      </c>
      <c r="G43" s="804"/>
      <c r="H43" s="798"/>
      <c r="I43" s="798"/>
    </row>
    <row r="44" spans="1:9" s="805" customFormat="1" ht="19.5" customHeight="1">
      <c r="A44" s="3592"/>
      <c r="B44" s="3220" t="s">
        <v>2968</v>
      </c>
      <c r="C44" s="802" t="s">
        <v>3007</v>
      </c>
      <c r="D44" s="803"/>
      <c r="E44" s="3211">
        <v>2</v>
      </c>
      <c r="F44" s="3210" t="s">
        <v>3008</v>
      </c>
      <c r="G44" s="804"/>
      <c r="H44" s="798"/>
      <c r="I44" s="798"/>
    </row>
    <row r="45" spans="1:9" s="805" customFormat="1" ht="19.5" customHeight="1">
      <c r="A45" s="3592"/>
      <c r="B45" s="3590" t="s">
        <v>3009</v>
      </c>
      <c r="C45" s="802" t="s">
        <v>3010</v>
      </c>
      <c r="D45" s="803"/>
      <c r="E45" s="3211">
        <v>1</v>
      </c>
      <c r="F45" s="3210" t="s">
        <v>3011</v>
      </c>
      <c r="G45" s="804"/>
      <c r="H45" s="798"/>
      <c r="I45" s="798"/>
    </row>
    <row r="46" spans="1:9" s="805" customFormat="1" ht="19.5" customHeight="1">
      <c r="A46" s="3592"/>
      <c r="B46" s="3585"/>
      <c r="C46" s="802" t="s">
        <v>3012</v>
      </c>
      <c r="D46" s="803"/>
      <c r="E46" s="3211">
        <v>1</v>
      </c>
      <c r="F46" s="3210" t="s">
        <v>3013</v>
      </c>
      <c r="G46" s="804"/>
      <c r="H46" s="798"/>
      <c r="I46" s="798"/>
    </row>
    <row r="47" spans="1:9" s="805" customFormat="1" ht="19.5" customHeight="1">
      <c r="A47" s="3592"/>
      <c r="B47" s="3585"/>
      <c r="C47" s="802" t="s">
        <v>3014</v>
      </c>
      <c r="D47" s="803"/>
      <c r="E47" s="3211">
        <v>1</v>
      </c>
      <c r="F47" s="3210" t="s">
        <v>3015</v>
      </c>
      <c r="G47" s="804"/>
      <c r="H47" s="798"/>
      <c r="I47" s="798"/>
    </row>
    <row r="48" spans="1:9" s="805" customFormat="1" ht="19.5" customHeight="1">
      <c r="A48" s="3592"/>
      <c r="B48" s="3585"/>
      <c r="C48" s="802" t="s">
        <v>3016</v>
      </c>
      <c r="D48" s="803"/>
      <c r="E48" s="3211">
        <v>1</v>
      </c>
      <c r="F48" s="3210" t="s">
        <v>3017</v>
      </c>
      <c r="G48" s="804"/>
      <c r="H48" s="798"/>
      <c r="I48" s="798"/>
    </row>
    <row r="49" spans="1:9" s="805" customFormat="1" ht="19.5" customHeight="1">
      <c r="A49" s="3592"/>
      <c r="B49" s="3585"/>
      <c r="C49" s="802" t="s">
        <v>3018</v>
      </c>
      <c r="D49" s="803"/>
      <c r="E49" s="3211">
        <v>1</v>
      </c>
      <c r="F49" s="3210" t="s">
        <v>3019</v>
      </c>
      <c r="G49" s="804"/>
      <c r="H49" s="798"/>
      <c r="I49" s="798"/>
    </row>
    <row r="50" spans="1:9" s="805" customFormat="1" ht="19.5" customHeight="1">
      <c r="A50" s="3592"/>
      <c r="B50" s="3585"/>
      <c r="C50" s="802" t="s">
        <v>3020</v>
      </c>
      <c r="D50" s="803"/>
      <c r="E50" s="3211">
        <v>1</v>
      </c>
      <c r="F50" s="3210" t="s">
        <v>3021</v>
      </c>
      <c r="G50" s="804"/>
      <c r="H50" s="798"/>
      <c r="I50" s="798"/>
    </row>
    <row r="51" spans="1:9" s="805" customFormat="1" ht="19.5" customHeight="1" thickBot="1">
      <c r="A51" s="3593"/>
      <c r="B51" s="3586"/>
      <c r="C51" s="3212" t="s">
        <v>3022</v>
      </c>
      <c r="D51" s="3213"/>
      <c r="E51" s="3214">
        <v>1</v>
      </c>
      <c r="F51" s="3210" t="s">
        <v>3023</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0">
        <v>0.7</v>
      </c>
      <c r="C57" s="3200">
        <v>0.4</v>
      </c>
      <c r="D57" s="3200">
        <v>0.3</v>
      </c>
      <c r="E57" s="3206">
        <v>0.3</v>
      </c>
      <c r="F57" s="3200">
        <v>0.3</v>
      </c>
      <c r="G57" s="3200">
        <v>0.2</v>
      </c>
      <c r="I57" s="752"/>
    </row>
    <row r="58" spans="1:9" ht="19.5" customHeight="1">
      <c r="A58" s="811" t="s">
        <v>158</v>
      </c>
      <c r="B58" s="3200">
        <v>0.7</v>
      </c>
      <c r="C58" s="3200">
        <v>0.4</v>
      </c>
      <c r="D58" s="3200">
        <v>0.3</v>
      </c>
      <c r="E58" s="3200">
        <v>0.3</v>
      </c>
      <c r="F58" s="3200">
        <v>0.3</v>
      </c>
      <c r="G58" s="3200">
        <v>0.2</v>
      </c>
      <c r="I58" s="752"/>
    </row>
    <row r="59" spans="1:9" ht="19.5" customHeight="1">
      <c r="A59" s="811" t="s">
        <v>159</v>
      </c>
      <c r="B59" s="3200">
        <v>0.6</v>
      </c>
      <c r="C59" s="3200">
        <v>0.3</v>
      </c>
      <c r="D59" s="3200">
        <v>0.25</v>
      </c>
      <c r="E59" s="3200">
        <v>0.25</v>
      </c>
      <c r="F59" s="3200">
        <v>0.25</v>
      </c>
      <c r="G59" s="3200">
        <v>0.15</v>
      </c>
      <c r="I59" s="752"/>
    </row>
    <row r="60" spans="1:9" ht="19.5" customHeight="1">
      <c r="A60" s="811" t="s">
        <v>160</v>
      </c>
      <c r="B60" s="3200">
        <v>0.6</v>
      </c>
      <c r="C60" s="3200">
        <v>0.3</v>
      </c>
      <c r="D60" s="3200">
        <v>0.25</v>
      </c>
      <c r="E60" s="3200">
        <v>0.25</v>
      </c>
      <c r="F60" s="3200">
        <v>0.25</v>
      </c>
      <c r="G60" s="3200">
        <v>0.15</v>
      </c>
      <c r="I60" s="752"/>
    </row>
    <row r="61" spans="1:9" s="798" customFormat="1" ht="19.5" customHeight="1">
      <c r="A61" s="811" t="s">
        <v>161</v>
      </c>
      <c r="B61" s="3200">
        <v>0.6</v>
      </c>
      <c r="C61" s="3200">
        <v>0.3</v>
      </c>
      <c r="D61" s="3200">
        <v>0.25</v>
      </c>
      <c r="E61" s="3200">
        <v>0.25</v>
      </c>
      <c r="F61" s="3200">
        <v>0.25</v>
      </c>
      <c r="G61" s="3200">
        <v>0.15</v>
      </c>
    </row>
    <row r="62" spans="1:9" s="798" customFormat="1" ht="19.5" customHeight="1">
      <c r="A62" s="811" t="s">
        <v>162</v>
      </c>
      <c r="B62" s="3200">
        <v>0.6</v>
      </c>
      <c r="C62" s="3200">
        <v>0.3</v>
      </c>
      <c r="D62" s="3200">
        <v>0.25</v>
      </c>
      <c r="E62" s="3200">
        <v>0.25</v>
      </c>
      <c r="F62" s="3200">
        <v>0.25</v>
      </c>
      <c r="G62" s="3200">
        <v>0.15</v>
      </c>
    </row>
    <row r="63" spans="1:9" s="798" customFormat="1" ht="19.5" customHeight="1">
      <c r="A63" s="811" t="s">
        <v>163</v>
      </c>
      <c r="B63" s="3200">
        <v>0.6</v>
      </c>
      <c r="C63" s="3200">
        <v>0.3</v>
      </c>
      <c r="D63" s="3200">
        <v>0.25</v>
      </c>
      <c r="E63" s="3200">
        <v>0.25</v>
      </c>
      <c r="F63" s="3200">
        <v>0.25</v>
      </c>
      <c r="G63" s="3200">
        <v>0.15</v>
      </c>
    </row>
    <row r="64" spans="1:9" s="798" customFormat="1" ht="19.5" customHeight="1">
      <c r="A64" s="811" t="s">
        <v>164</v>
      </c>
      <c r="B64" s="3200">
        <v>0.5</v>
      </c>
      <c r="C64" s="3200">
        <v>0.2</v>
      </c>
      <c r="D64" s="3200">
        <v>0.2</v>
      </c>
      <c r="E64" s="3200">
        <v>0.2</v>
      </c>
      <c r="F64" s="3200">
        <v>0.2</v>
      </c>
      <c r="G64" s="3200">
        <v>0.1</v>
      </c>
    </row>
    <row r="65" spans="1:7" s="798" customFormat="1" ht="19.5" customHeight="1">
      <c r="A65" s="811" t="s">
        <v>165</v>
      </c>
      <c r="B65" s="3200">
        <v>0.5</v>
      </c>
      <c r="C65" s="3200">
        <v>0.2</v>
      </c>
      <c r="D65" s="3200">
        <v>0.2</v>
      </c>
      <c r="E65" s="3200">
        <v>0.2</v>
      </c>
      <c r="F65" s="3200">
        <v>0.2</v>
      </c>
      <c r="G65" s="3200">
        <v>0.1</v>
      </c>
    </row>
    <row r="66" spans="1:7" s="798" customFormat="1" ht="19.5" customHeight="1">
      <c r="A66" s="811" t="s">
        <v>166</v>
      </c>
      <c r="B66" s="3200">
        <v>0.5</v>
      </c>
      <c r="C66" s="3200">
        <v>0.2</v>
      </c>
      <c r="D66" s="3200">
        <v>0.2</v>
      </c>
      <c r="E66" s="3200">
        <v>0.2</v>
      </c>
      <c r="F66" s="3200">
        <v>0.2</v>
      </c>
      <c r="G66" s="3200">
        <v>0.1</v>
      </c>
    </row>
    <row r="67" spans="1:7" s="798" customFormat="1" ht="19.5" customHeight="1">
      <c r="A67" s="811" t="s">
        <v>167</v>
      </c>
      <c r="B67" s="3200">
        <v>0.5</v>
      </c>
      <c r="C67" s="3200">
        <v>0.2</v>
      </c>
      <c r="D67" s="3200">
        <v>0.2</v>
      </c>
      <c r="E67" s="3200">
        <v>0.2</v>
      </c>
      <c r="F67" s="3200">
        <v>0.2</v>
      </c>
      <c r="G67" s="3200">
        <v>0.1</v>
      </c>
    </row>
    <row r="68" spans="1:7" s="798" customFormat="1" ht="19.5" customHeight="1">
      <c r="A68" s="811" t="s">
        <v>168</v>
      </c>
      <c r="B68" s="3200">
        <v>0.5</v>
      </c>
      <c r="C68" s="3200">
        <v>0.2</v>
      </c>
      <c r="D68" s="3200">
        <v>0.2</v>
      </c>
      <c r="E68" s="3200">
        <v>0.2</v>
      </c>
      <c r="F68" s="3200">
        <v>0.2</v>
      </c>
      <c r="G68" s="3200">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3024</v>
      </c>
      <c r="D72" s="856"/>
      <c r="E72" s="813" t="s">
        <v>1</v>
      </c>
      <c r="F72" s="856" t="s">
        <v>1</v>
      </c>
    </row>
    <row r="73" spans="1:7" s="798" customFormat="1" ht="13.5">
      <c r="A73" s="3220">
        <v>1</v>
      </c>
      <c r="B73" s="3590" t="s">
        <v>3025</v>
      </c>
      <c r="C73" s="3200" t="s">
        <v>3026</v>
      </c>
      <c r="D73" s="3200" t="s">
        <v>3027</v>
      </c>
      <c r="E73" s="3221">
        <v>0.2</v>
      </c>
      <c r="F73" s="3220">
        <v>25</v>
      </c>
    </row>
    <row r="74" spans="1:7" s="798" customFormat="1" ht="24">
      <c r="A74" s="3220">
        <v>2</v>
      </c>
      <c r="B74" s="3585"/>
      <c r="C74" s="3200" t="s">
        <v>3028</v>
      </c>
      <c r="D74" s="3200" t="s">
        <v>3029</v>
      </c>
      <c r="E74" s="3221">
        <v>0.2</v>
      </c>
      <c r="F74" s="3220">
        <v>25</v>
      </c>
    </row>
    <row r="75" spans="1:7" s="798" customFormat="1" ht="24">
      <c r="A75" s="3220">
        <v>3</v>
      </c>
      <c r="B75" s="3585"/>
      <c r="C75" s="3200" t="s">
        <v>3030</v>
      </c>
      <c r="D75" s="3200" t="s">
        <v>3031</v>
      </c>
      <c r="E75" s="3221">
        <v>0.2</v>
      </c>
      <c r="F75" s="3220">
        <v>25</v>
      </c>
    </row>
    <row r="76" spans="1:7" s="798" customFormat="1" ht="13.5">
      <c r="A76" s="3220">
        <v>4</v>
      </c>
      <c r="B76" s="3585"/>
      <c r="C76" s="3200" t="s">
        <v>3032</v>
      </c>
      <c r="D76" s="3200" t="s">
        <v>3033</v>
      </c>
      <c r="E76" s="3221">
        <v>0.15</v>
      </c>
      <c r="F76" s="3220">
        <v>20</v>
      </c>
    </row>
    <row r="77" spans="1:7" s="798" customFormat="1" ht="24">
      <c r="A77" s="3220">
        <v>5</v>
      </c>
      <c r="B77" s="3585"/>
      <c r="C77" s="3200" t="s">
        <v>3034</v>
      </c>
      <c r="D77" s="3200" t="s">
        <v>3035</v>
      </c>
      <c r="E77" s="3221">
        <v>0.15</v>
      </c>
      <c r="F77" s="3220">
        <v>20</v>
      </c>
    </row>
    <row r="78" spans="1:7" s="798" customFormat="1" ht="24">
      <c r="A78" s="3220">
        <v>6</v>
      </c>
      <c r="B78" s="3585"/>
      <c r="C78" s="3200" t="s">
        <v>3036</v>
      </c>
      <c r="D78" s="3200" t="s">
        <v>3037</v>
      </c>
      <c r="E78" s="3221">
        <v>0.15</v>
      </c>
      <c r="F78" s="3220">
        <v>20</v>
      </c>
    </row>
    <row r="79" spans="1:7" s="798" customFormat="1" ht="24">
      <c r="A79" s="3220">
        <v>7</v>
      </c>
      <c r="B79" s="3585"/>
      <c r="C79" s="3200" t="s">
        <v>3038</v>
      </c>
      <c r="D79" s="3200" t="s">
        <v>3039</v>
      </c>
      <c r="E79" s="3221">
        <v>0.15</v>
      </c>
      <c r="F79" s="3220">
        <v>20</v>
      </c>
    </row>
    <row r="80" spans="1:7" s="798" customFormat="1" ht="24">
      <c r="A80" s="3220">
        <v>8</v>
      </c>
      <c r="B80" s="3585"/>
      <c r="C80" s="3200" t="s">
        <v>3040</v>
      </c>
      <c r="D80" s="3200" t="s">
        <v>3041</v>
      </c>
      <c r="E80" s="3221">
        <v>0.1</v>
      </c>
      <c r="F80" s="3220">
        <v>15</v>
      </c>
    </row>
    <row r="81" spans="1:6" s="798" customFormat="1" ht="24">
      <c r="A81" s="3220">
        <v>9</v>
      </c>
      <c r="B81" s="3585"/>
      <c r="C81" s="3200" t="s">
        <v>3042</v>
      </c>
      <c r="D81" s="3200" t="s">
        <v>3043</v>
      </c>
      <c r="E81" s="3221">
        <v>0.1</v>
      </c>
      <c r="F81" s="3220">
        <v>15</v>
      </c>
    </row>
    <row r="82" spans="1:6" s="798" customFormat="1" ht="24">
      <c r="A82" s="3220">
        <v>10</v>
      </c>
      <c r="B82" s="3585"/>
      <c r="C82" s="3200" t="s">
        <v>3044</v>
      </c>
      <c r="D82" s="3200" t="s">
        <v>3045</v>
      </c>
      <c r="E82" s="3221">
        <v>0.1</v>
      </c>
      <c r="F82" s="3220">
        <v>15</v>
      </c>
    </row>
    <row r="83" spans="1:6" s="798" customFormat="1" ht="24">
      <c r="A83" s="3220">
        <v>11</v>
      </c>
      <c r="B83" s="3585"/>
      <c r="C83" s="3200" t="s">
        <v>3046</v>
      </c>
      <c r="D83" s="3200" t="s">
        <v>3047</v>
      </c>
      <c r="E83" s="3221">
        <v>0.1</v>
      </c>
      <c r="F83" s="3220">
        <v>15</v>
      </c>
    </row>
    <row r="84" spans="1:6" s="798" customFormat="1" ht="24">
      <c r="A84" s="3220">
        <v>12</v>
      </c>
      <c r="B84" s="3585"/>
      <c r="C84" s="3200" t="s">
        <v>3048</v>
      </c>
      <c r="D84" s="3200" t="s">
        <v>3049</v>
      </c>
      <c r="E84" s="3221">
        <v>0.1</v>
      </c>
      <c r="F84" s="3220">
        <v>15</v>
      </c>
    </row>
    <row r="85" spans="1:6" s="798" customFormat="1" ht="13.5">
      <c r="A85" s="3220">
        <v>13</v>
      </c>
      <c r="B85" s="3585"/>
      <c r="C85" s="3200" t="s">
        <v>3050</v>
      </c>
      <c r="D85" s="3200" t="s">
        <v>3051</v>
      </c>
      <c r="E85" s="3221">
        <v>0.1</v>
      </c>
      <c r="F85" s="3220">
        <v>15</v>
      </c>
    </row>
    <row r="86" spans="1:6" s="798" customFormat="1" ht="13.5">
      <c r="A86" s="3220">
        <v>14</v>
      </c>
      <c r="B86" s="3585"/>
      <c r="C86" s="3200" t="s">
        <v>3052</v>
      </c>
      <c r="D86" s="3200" t="s">
        <v>3053</v>
      </c>
      <c r="E86" s="3221">
        <v>0.1</v>
      </c>
      <c r="F86" s="3220">
        <v>15</v>
      </c>
    </row>
    <row r="87" spans="1:6" s="798" customFormat="1" ht="13.5">
      <c r="A87" s="3220">
        <v>15</v>
      </c>
      <c r="B87" s="3585"/>
      <c r="C87" s="3200" t="s">
        <v>3054</v>
      </c>
      <c r="D87" s="3200" t="s">
        <v>3055</v>
      </c>
      <c r="E87" s="3221">
        <v>0.1</v>
      </c>
      <c r="F87" s="3220">
        <v>15</v>
      </c>
    </row>
    <row r="88" spans="1:6" s="798" customFormat="1" ht="24">
      <c r="A88" s="3220">
        <v>16</v>
      </c>
      <c r="B88" s="3585"/>
      <c r="C88" s="3200" t="s">
        <v>3056</v>
      </c>
      <c r="D88" s="3200" t="s">
        <v>3057</v>
      </c>
      <c r="E88" s="3221">
        <v>0.1</v>
      </c>
      <c r="F88" s="3220">
        <v>15</v>
      </c>
    </row>
    <row r="89" spans="1:6" s="798" customFormat="1" ht="24">
      <c r="A89" s="3220">
        <v>17</v>
      </c>
      <c r="B89" s="3594"/>
      <c r="C89" s="3200" t="s">
        <v>3058</v>
      </c>
      <c r="D89" s="3200" t="s">
        <v>3059</v>
      </c>
      <c r="E89" s="3221">
        <v>0.1</v>
      </c>
      <c r="F89" s="3220">
        <v>15</v>
      </c>
    </row>
    <row r="90" spans="1:6" s="798" customFormat="1" ht="13.5">
      <c r="A90" s="3220">
        <v>18</v>
      </c>
      <c r="B90" s="3590" t="s">
        <v>3060</v>
      </c>
      <c r="C90" s="3200" t="s">
        <v>3061</v>
      </c>
      <c r="D90" s="3200" t="s">
        <v>3062</v>
      </c>
      <c r="E90" s="3221">
        <v>0.2</v>
      </c>
      <c r="F90" s="3220">
        <v>25</v>
      </c>
    </row>
    <row r="91" spans="1:6" s="798" customFormat="1" ht="24">
      <c r="A91" s="3220">
        <v>19</v>
      </c>
      <c r="B91" s="3585"/>
      <c r="C91" s="3200" t="s">
        <v>3063</v>
      </c>
      <c r="D91" s="3200" t="s">
        <v>3064</v>
      </c>
      <c r="E91" s="3221">
        <v>0.2</v>
      </c>
      <c r="F91" s="3220">
        <v>25</v>
      </c>
    </row>
    <row r="92" spans="1:6" s="798" customFormat="1" ht="13.5">
      <c r="A92" s="3220">
        <v>20</v>
      </c>
      <c r="B92" s="3585"/>
      <c r="C92" s="3200" t="s">
        <v>3065</v>
      </c>
      <c r="D92" s="3200" t="s">
        <v>3066</v>
      </c>
      <c r="E92" s="3221">
        <v>0.15</v>
      </c>
      <c r="F92" s="3220">
        <v>20</v>
      </c>
    </row>
    <row r="93" spans="1:6" s="798" customFormat="1" ht="24">
      <c r="A93" s="3220">
        <v>21</v>
      </c>
      <c r="B93" s="3585"/>
      <c r="C93" s="3200" t="s">
        <v>3067</v>
      </c>
      <c r="D93" s="3200" t="s">
        <v>3068</v>
      </c>
      <c r="E93" s="3221">
        <v>0.15</v>
      </c>
      <c r="F93" s="3220">
        <v>20</v>
      </c>
    </row>
    <row r="94" spans="1:6" s="798" customFormat="1" ht="24">
      <c r="A94" s="3220">
        <v>22</v>
      </c>
      <c r="B94" s="3585"/>
      <c r="C94" s="3200" t="s">
        <v>3069</v>
      </c>
      <c r="D94" s="3200" t="s">
        <v>3070</v>
      </c>
      <c r="E94" s="3221">
        <v>0.15</v>
      </c>
      <c r="F94" s="3220">
        <v>20</v>
      </c>
    </row>
    <row r="95" spans="1:6" s="798" customFormat="1" ht="36">
      <c r="A95" s="3220">
        <v>23</v>
      </c>
      <c r="B95" s="3585"/>
      <c r="C95" s="3200" t="s">
        <v>3071</v>
      </c>
      <c r="D95" s="3200" t="s">
        <v>3072</v>
      </c>
      <c r="E95" s="3221">
        <v>0.15</v>
      </c>
      <c r="F95" s="3220">
        <v>20</v>
      </c>
    </row>
    <row r="96" spans="1:6" s="798" customFormat="1" ht="13.5">
      <c r="A96" s="3220">
        <v>24</v>
      </c>
      <c r="B96" s="3585"/>
      <c r="C96" s="3200" t="s">
        <v>3073</v>
      </c>
      <c r="D96" s="3200" t="s">
        <v>3074</v>
      </c>
      <c r="E96" s="3221">
        <v>0.1</v>
      </c>
      <c r="F96" s="3220">
        <v>15</v>
      </c>
    </row>
    <row r="97" spans="1:6" s="798" customFormat="1" ht="24">
      <c r="A97" s="3220">
        <v>25</v>
      </c>
      <c r="B97" s="3585"/>
      <c r="C97" s="3200" t="s">
        <v>3075</v>
      </c>
      <c r="D97" s="3200" t="s">
        <v>3076</v>
      </c>
      <c r="E97" s="3221">
        <v>0.1</v>
      </c>
      <c r="F97" s="3220">
        <v>15</v>
      </c>
    </row>
    <row r="98" spans="1:6" s="798" customFormat="1" ht="24">
      <c r="A98" s="3220">
        <v>26</v>
      </c>
      <c r="B98" s="3585"/>
      <c r="C98" s="3200" t="s">
        <v>3077</v>
      </c>
      <c r="D98" s="3200" t="s">
        <v>3078</v>
      </c>
      <c r="E98" s="3221">
        <v>0.1</v>
      </c>
      <c r="F98" s="3220">
        <v>15</v>
      </c>
    </row>
    <row r="99" spans="1:6" s="798" customFormat="1" ht="24">
      <c r="A99" s="3220">
        <v>27</v>
      </c>
      <c r="B99" s="3585"/>
      <c r="C99" s="3200" t="s">
        <v>3079</v>
      </c>
      <c r="D99" s="3200" t="s">
        <v>3080</v>
      </c>
      <c r="E99" s="3221">
        <v>0.1</v>
      </c>
      <c r="F99" s="3220">
        <v>15</v>
      </c>
    </row>
    <row r="100" spans="1:6" s="798" customFormat="1" ht="24">
      <c r="A100" s="3220">
        <v>28</v>
      </c>
      <c r="B100" s="3585"/>
      <c r="C100" s="3200" t="s">
        <v>3081</v>
      </c>
      <c r="D100" s="3200" t="s">
        <v>3082</v>
      </c>
      <c r="E100" s="3221">
        <v>0.1</v>
      </c>
      <c r="F100" s="3220">
        <v>15</v>
      </c>
    </row>
    <row r="101" spans="1:6" s="798" customFormat="1" ht="24">
      <c r="A101" s="3220">
        <v>29</v>
      </c>
      <c r="B101" s="3585"/>
      <c r="C101" s="3200" t="s">
        <v>3083</v>
      </c>
      <c r="D101" s="3200" t="s">
        <v>3084</v>
      </c>
      <c r="E101" s="3221">
        <v>0.1</v>
      </c>
      <c r="F101" s="3220">
        <v>15</v>
      </c>
    </row>
    <row r="102" spans="1:6" s="798" customFormat="1" ht="24">
      <c r="A102" s="3220">
        <v>30</v>
      </c>
      <c r="B102" s="3585"/>
      <c r="C102" s="3200" t="s">
        <v>3085</v>
      </c>
      <c r="D102" s="3200" t="s">
        <v>3086</v>
      </c>
      <c r="E102" s="3221">
        <v>0.1</v>
      </c>
      <c r="F102" s="3220">
        <v>15</v>
      </c>
    </row>
    <row r="103" spans="1:6" s="798" customFormat="1" ht="24">
      <c r="A103" s="3220">
        <v>31</v>
      </c>
      <c r="B103" s="3585"/>
      <c r="C103" s="3200" t="s">
        <v>3087</v>
      </c>
      <c r="D103" s="3200" t="s">
        <v>3088</v>
      </c>
      <c r="E103" s="3221">
        <v>0.1</v>
      </c>
      <c r="F103" s="3220">
        <v>15</v>
      </c>
    </row>
    <row r="104" spans="1:6" s="798" customFormat="1" ht="24">
      <c r="A104" s="3220">
        <v>32</v>
      </c>
      <c r="B104" s="3585"/>
      <c r="C104" s="3200" t="s">
        <v>3089</v>
      </c>
      <c r="D104" s="3200" t="s">
        <v>3090</v>
      </c>
      <c r="E104" s="3221">
        <v>0.1</v>
      </c>
      <c r="F104" s="3220">
        <v>15</v>
      </c>
    </row>
    <row r="105" spans="1:6" s="798" customFormat="1" ht="24">
      <c r="A105" s="3220">
        <v>33</v>
      </c>
      <c r="B105" s="3585"/>
      <c r="C105" s="3200" t="s">
        <v>3091</v>
      </c>
      <c r="D105" s="3200" t="s">
        <v>3092</v>
      </c>
      <c r="E105" s="3221">
        <v>0.1</v>
      </c>
      <c r="F105" s="3220">
        <v>15</v>
      </c>
    </row>
    <row r="106" spans="1:6" s="798" customFormat="1" ht="24">
      <c r="A106" s="3220">
        <v>34</v>
      </c>
      <c r="B106" s="3594"/>
      <c r="C106" s="3200" t="s">
        <v>3093</v>
      </c>
      <c r="D106" s="3200" t="s">
        <v>3094</v>
      </c>
      <c r="E106" s="3221">
        <v>0.1</v>
      </c>
      <c r="F106" s="3220">
        <v>15</v>
      </c>
    </row>
    <row r="107" spans="1:6" s="798" customFormat="1" ht="24">
      <c r="A107" s="3220">
        <v>35</v>
      </c>
      <c r="B107" s="3590" t="s">
        <v>3095</v>
      </c>
      <c r="C107" s="3220" t="s">
        <v>3096</v>
      </c>
      <c r="D107" s="3200" t="s">
        <v>3097</v>
      </c>
      <c r="E107" s="3221">
        <v>0.15</v>
      </c>
      <c r="F107" s="3220">
        <v>20</v>
      </c>
    </row>
    <row r="108" spans="1:6" s="798" customFormat="1" ht="24">
      <c r="A108" s="3220">
        <v>36</v>
      </c>
      <c r="B108" s="3585"/>
      <c r="C108" s="3220" t="s">
        <v>3098</v>
      </c>
      <c r="D108" s="3200" t="s">
        <v>3099</v>
      </c>
      <c r="E108" s="3221">
        <v>0.15</v>
      </c>
      <c r="F108" s="3220">
        <v>20</v>
      </c>
    </row>
    <row r="109" spans="1:6" s="798" customFormat="1" ht="24">
      <c r="A109" s="3220">
        <v>37</v>
      </c>
      <c r="B109" s="3585"/>
      <c r="C109" s="3220" t="s">
        <v>3100</v>
      </c>
      <c r="D109" s="3200" t="s">
        <v>3101</v>
      </c>
      <c r="E109" s="3221">
        <v>0.15</v>
      </c>
      <c r="F109" s="3220">
        <v>20</v>
      </c>
    </row>
    <row r="110" spans="1:6" s="798" customFormat="1" ht="13.5">
      <c r="A110" s="3220">
        <v>38</v>
      </c>
      <c r="B110" s="3585"/>
      <c r="C110" s="3220" t="s">
        <v>3102</v>
      </c>
      <c r="D110" s="3200" t="s">
        <v>3103</v>
      </c>
      <c r="E110" s="3221">
        <v>0.1</v>
      </c>
      <c r="F110" s="3220">
        <v>15</v>
      </c>
    </row>
    <row r="111" spans="1:6" s="798" customFormat="1" ht="24">
      <c r="A111" s="3220">
        <v>39</v>
      </c>
      <c r="B111" s="3585"/>
      <c r="C111" s="3220" t="s">
        <v>3104</v>
      </c>
      <c r="D111" s="3200" t="s">
        <v>3105</v>
      </c>
      <c r="E111" s="3221">
        <v>0.1</v>
      </c>
      <c r="F111" s="3220">
        <v>15</v>
      </c>
    </row>
    <row r="112" spans="1:6" s="798" customFormat="1" ht="24">
      <c r="A112" s="3220">
        <v>40</v>
      </c>
      <c r="B112" s="3594"/>
      <c r="C112" s="3220" t="s">
        <v>3106</v>
      </c>
      <c r="D112" s="3200" t="s">
        <v>3107</v>
      </c>
      <c r="E112" s="3221">
        <v>0.1</v>
      </c>
      <c r="F112" s="3220">
        <v>15</v>
      </c>
    </row>
    <row r="113" spans="1:6" s="798" customFormat="1" ht="24">
      <c r="A113" s="3220">
        <v>41</v>
      </c>
      <c r="B113" s="3595" t="s">
        <v>3108</v>
      </c>
      <c r="C113" s="3220" t="s">
        <v>3109</v>
      </c>
      <c r="D113" s="3200" t="s">
        <v>3110</v>
      </c>
      <c r="E113" s="3221">
        <v>0.1</v>
      </c>
      <c r="F113" s="3220">
        <v>15</v>
      </c>
    </row>
    <row r="114" spans="1:6" s="798" customFormat="1" ht="13.5">
      <c r="A114" s="3220">
        <v>42</v>
      </c>
      <c r="B114" s="3595"/>
      <c r="C114" s="3220" t="s">
        <v>3111</v>
      </c>
      <c r="D114" s="3200" t="s">
        <v>3112</v>
      </c>
      <c r="E114" s="3221">
        <v>0.1</v>
      </c>
      <c r="F114" s="3220">
        <v>15</v>
      </c>
    </row>
    <row r="115" spans="1:6" s="798" customFormat="1" ht="24">
      <c r="A115" s="3220">
        <v>43</v>
      </c>
      <c r="B115" s="3595"/>
      <c r="C115" s="3220" t="s">
        <v>3113</v>
      </c>
      <c r="D115" s="3200" t="s">
        <v>3114</v>
      </c>
      <c r="E115" s="3221">
        <v>0.1</v>
      </c>
      <c r="F115" s="3220">
        <v>15</v>
      </c>
    </row>
    <row r="116" spans="1:6" s="798" customFormat="1" ht="24">
      <c r="A116" s="3220">
        <v>44</v>
      </c>
      <c r="B116" s="3590" t="s">
        <v>3115</v>
      </c>
      <c r="C116" s="3220" t="s">
        <v>3116</v>
      </c>
      <c r="D116" s="3200" t="s">
        <v>3117</v>
      </c>
      <c r="E116" s="3221">
        <v>0.1</v>
      </c>
      <c r="F116" s="3220">
        <v>15</v>
      </c>
    </row>
    <row r="117" spans="1:6" s="798" customFormat="1" ht="24">
      <c r="A117" s="3220">
        <v>45</v>
      </c>
      <c r="B117" s="3594"/>
      <c r="C117" s="3200" t="s">
        <v>3118</v>
      </c>
      <c r="D117" s="3200" t="s">
        <v>3119</v>
      </c>
      <c r="E117" s="3221">
        <v>0.1</v>
      </c>
      <c r="F117" s="3220">
        <v>15</v>
      </c>
    </row>
    <row r="118" spans="1:6" s="798" customFormat="1" ht="24">
      <c r="A118" s="3220">
        <v>46</v>
      </c>
      <c r="B118" s="3590" t="s">
        <v>3120</v>
      </c>
      <c r="C118" s="3220" t="s">
        <v>3121</v>
      </c>
      <c r="D118" s="3200" t="s">
        <v>3122</v>
      </c>
      <c r="E118" s="3221">
        <v>0.1</v>
      </c>
      <c r="F118" s="3220">
        <v>15</v>
      </c>
    </row>
    <row r="119" spans="1:6" s="798" customFormat="1" ht="24">
      <c r="A119" s="3220">
        <v>47</v>
      </c>
      <c r="B119" s="3594"/>
      <c r="C119" s="3220" t="s">
        <v>3123</v>
      </c>
      <c r="D119" s="3200" t="s">
        <v>3124</v>
      </c>
      <c r="E119" s="3221">
        <v>0.1</v>
      </c>
      <c r="F119" s="3220">
        <v>15</v>
      </c>
    </row>
    <row r="120" spans="1:6" s="798" customFormat="1" ht="24">
      <c r="A120" s="3220">
        <v>48</v>
      </c>
      <c r="B120" s="3590" t="s">
        <v>3125</v>
      </c>
      <c r="C120" s="3220" t="s">
        <v>3126</v>
      </c>
      <c r="D120" s="3200" t="s">
        <v>3127</v>
      </c>
      <c r="E120" s="3221">
        <v>0.1</v>
      </c>
      <c r="F120" s="3220">
        <v>15</v>
      </c>
    </row>
    <row r="121" spans="1:6" s="798" customFormat="1" ht="13.5">
      <c r="A121" s="3220">
        <v>49</v>
      </c>
      <c r="B121" s="3594"/>
      <c r="C121" s="3220" t="s">
        <v>3128</v>
      </c>
      <c r="D121" s="3200" t="s">
        <v>3129</v>
      </c>
      <c r="E121" s="3221">
        <v>0.1</v>
      </c>
      <c r="F121" s="3220">
        <v>15</v>
      </c>
    </row>
    <row r="122" spans="1:6" s="798" customFormat="1" ht="24">
      <c r="A122" s="3220">
        <v>50</v>
      </c>
      <c r="B122" s="3595" t="s">
        <v>3130</v>
      </c>
      <c r="C122" s="3220" t="s">
        <v>3131</v>
      </c>
      <c r="D122" s="3200" t="s">
        <v>3132</v>
      </c>
      <c r="E122" s="3221">
        <v>0.1</v>
      </c>
      <c r="F122" s="3220">
        <v>15</v>
      </c>
    </row>
    <row r="123" spans="1:6" s="798" customFormat="1" ht="24">
      <c r="A123" s="3220">
        <v>51</v>
      </c>
      <c r="B123" s="3595"/>
      <c r="C123" s="3220" t="s">
        <v>3133</v>
      </c>
      <c r="D123" s="3200" t="s">
        <v>3134</v>
      </c>
      <c r="E123" s="3221">
        <v>0.1</v>
      </c>
      <c r="F123" s="3220">
        <v>15</v>
      </c>
    </row>
    <row r="124" spans="1:6" s="798" customFormat="1" ht="24">
      <c r="A124" s="3220">
        <v>52</v>
      </c>
      <c r="B124" s="3595" t="s">
        <v>3135</v>
      </c>
      <c r="C124" s="3220" t="s">
        <v>3136</v>
      </c>
      <c r="D124" s="3200" t="s">
        <v>3137</v>
      </c>
      <c r="E124" s="3221">
        <v>0.1</v>
      </c>
      <c r="F124" s="3220">
        <v>15</v>
      </c>
    </row>
    <row r="125" spans="1:6" s="798" customFormat="1" ht="24">
      <c r="A125" s="3220">
        <v>53</v>
      </c>
      <c r="B125" s="3595"/>
      <c r="C125" s="3220" t="s">
        <v>3138</v>
      </c>
      <c r="D125" s="3200" t="s">
        <v>3139</v>
      </c>
      <c r="E125" s="3221">
        <v>0.1</v>
      </c>
      <c r="F125" s="3220">
        <v>15</v>
      </c>
    </row>
    <row r="126" spans="1:6" ht="24">
      <c r="A126" s="3220">
        <v>54</v>
      </c>
      <c r="B126" s="3220" t="s">
        <v>3140</v>
      </c>
      <c r="C126" s="3220" t="s">
        <v>3141</v>
      </c>
      <c r="D126" s="3200" t="s">
        <v>3142</v>
      </c>
      <c r="E126" s="3221">
        <v>0.1</v>
      </c>
      <c r="F126" s="3220">
        <v>15</v>
      </c>
    </row>
    <row r="127" spans="1:6" ht="13.5">
      <c r="A127" s="3220">
        <v>55</v>
      </c>
      <c r="B127" s="3595" t="s">
        <v>3143</v>
      </c>
      <c r="C127" s="3220" t="s">
        <v>3144</v>
      </c>
      <c r="D127" s="3200" t="s">
        <v>3145</v>
      </c>
      <c r="E127" s="3221">
        <v>0.1</v>
      </c>
      <c r="F127" s="3220">
        <v>15</v>
      </c>
    </row>
    <row r="128" spans="1:6" ht="13.5">
      <c r="A128" s="3220">
        <v>56</v>
      </c>
      <c r="B128" s="3595"/>
      <c r="C128" s="3220" t="s">
        <v>3146</v>
      </c>
      <c r="D128" s="3200" t="s">
        <v>3147</v>
      </c>
      <c r="E128" s="3221">
        <v>0.1</v>
      </c>
      <c r="F128" s="3220">
        <v>15</v>
      </c>
    </row>
    <row r="129" spans="1:6" ht="24">
      <c r="A129" s="3220">
        <v>57</v>
      </c>
      <c r="B129" s="3595"/>
      <c r="C129" s="3220" t="s">
        <v>3148</v>
      </c>
      <c r="D129" s="3200" t="s">
        <v>3149</v>
      </c>
      <c r="E129" s="3221">
        <v>0.1</v>
      </c>
      <c r="F129" s="3220">
        <v>15</v>
      </c>
    </row>
    <row r="130" spans="1:6" ht="24">
      <c r="A130" s="3220">
        <v>58</v>
      </c>
      <c r="B130" s="3595" t="s">
        <v>3150</v>
      </c>
      <c r="C130" s="3220" t="s">
        <v>3151</v>
      </c>
      <c r="D130" s="3200" t="s">
        <v>3152</v>
      </c>
      <c r="E130" s="3221">
        <v>0.1</v>
      </c>
      <c r="F130" s="3220">
        <v>15</v>
      </c>
    </row>
    <row r="131" spans="1:6" ht="24">
      <c r="A131" s="3220">
        <v>59</v>
      </c>
      <c r="B131" s="3595"/>
      <c r="C131" s="3220" t="s">
        <v>3153</v>
      </c>
      <c r="D131" s="3200" t="s">
        <v>3154</v>
      </c>
      <c r="E131" s="3221">
        <v>0.1</v>
      </c>
      <c r="F131" s="3220">
        <v>15</v>
      </c>
    </row>
    <row r="132" spans="1:6" ht="24">
      <c r="A132" s="3220">
        <v>60</v>
      </c>
      <c r="B132" s="3590" t="s">
        <v>3155</v>
      </c>
      <c r="C132" s="3220" t="s">
        <v>3156</v>
      </c>
      <c r="D132" s="3200" t="s">
        <v>3157</v>
      </c>
      <c r="E132" s="3221">
        <v>0.1</v>
      </c>
      <c r="F132" s="3220">
        <v>15</v>
      </c>
    </row>
    <row r="133" spans="1:6" ht="24">
      <c r="A133" s="3220">
        <v>61</v>
      </c>
      <c r="B133" s="3594"/>
      <c r="C133" s="3220" t="s">
        <v>3158</v>
      </c>
      <c r="D133" s="3200" t="s">
        <v>3159</v>
      </c>
      <c r="E133" s="3221">
        <v>0.1</v>
      </c>
      <c r="F133" s="3220">
        <v>15</v>
      </c>
    </row>
    <row r="134" spans="1:6" ht="24">
      <c r="A134" s="3220">
        <v>62</v>
      </c>
      <c r="B134" s="3220" t="s">
        <v>3160</v>
      </c>
      <c r="C134" s="3220" t="s">
        <v>3161</v>
      </c>
      <c r="D134" s="3200" t="s">
        <v>3162</v>
      </c>
      <c r="E134" s="3221">
        <v>0.1</v>
      </c>
      <c r="F134" s="3220">
        <v>15</v>
      </c>
    </row>
    <row r="135" spans="1:6" ht="24">
      <c r="A135" s="3220">
        <v>63</v>
      </c>
      <c r="B135" s="3595" t="s">
        <v>3163</v>
      </c>
      <c r="C135" s="3220" t="s">
        <v>3164</v>
      </c>
      <c r="D135" s="3200" t="s">
        <v>3165</v>
      </c>
      <c r="E135" s="3221">
        <v>0.1</v>
      </c>
      <c r="F135" s="3220">
        <v>15</v>
      </c>
    </row>
    <row r="136" spans="1:6" ht="13.5">
      <c r="A136" s="3220">
        <v>64</v>
      </c>
      <c r="B136" s="3595"/>
      <c r="C136" s="3220" t="s">
        <v>3166</v>
      </c>
      <c r="D136" s="3200" t="s">
        <v>3167</v>
      </c>
      <c r="E136" s="3221">
        <v>0.1</v>
      </c>
      <c r="F136" s="3220">
        <v>15</v>
      </c>
    </row>
    <row r="137" spans="1:6" ht="24">
      <c r="A137" s="3220">
        <v>65</v>
      </c>
      <c r="B137" s="3220" t="s">
        <v>3168</v>
      </c>
      <c r="C137" s="3220" t="s">
        <v>3169</v>
      </c>
      <c r="D137" s="3200" t="s">
        <v>3170</v>
      </c>
      <c r="E137" s="3221">
        <v>0.1</v>
      </c>
      <c r="F137" s="3220">
        <v>15</v>
      </c>
    </row>
    <row r="138" spans="1:6" ht="13.5">
      <c r="A138" s="801"/>
      <c r="B138" s="801"/>
      <c r="C138" s="801"/>
      <c r="D138" s="801"/>
      <c r="E138" s="813"/>
      <c r="F138" s="8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t="e">
        <f>SUMPRODUCT((A105:A204=ROUNDDOWN(基准地价修正!G3,1))*(B104:M104=基准地价修正!G2)*(B105:M204))</f>
        <v>#DIV/0!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2580</v>
      </c>
      <c r="B1" s="2311"/>
      <c r="C1" s="2311"/>
      <c r="D1" s="2311"/>
      <c r="E1" s="2311"/>
      <c r="F1" s="2968"/>
      <c r="G1" s="2968"/>
      <c r="H1" s="2968"/>
      <c r="I1" s="2968"/>
      <c r="J1" s="2968"/>
      <c r="K1" s="2968"/>
      <c r="L1" s="2968"/>
      <c r="M1" s="2968"/>
      <c r="N1" s="2968"/>
      <c r="O1" s="2968"/>
      <c r="P1" s="2968"/>
    </row>
    <row r="2" spans="1:16" ht="15.75">
      <c r="A2" s="2309" t="s">
        <v>2572</v>
      </c>
      <c r="B2" s="2773" t="e">
        <f ca="1">SUMIF(B6:B13,"&lt;&gt;#ref!",B6:B13)</f>
        <v>#DIV/0!</v>
      </c>
      <c r="C2" s="2309" t="s">
        <v>2573</v>
      </c>
      <c r="D2" s="2309" t="s">
        <v>2574</v>
      </c>
      <c r="E2" s="2783">
        <f ca="1">SUMIF(E6:E13,"&lt;&gt;#ref!",E6:E13)</f>
        <v>0</v>
      </c>
      <c r="F2" s="2968"/>
      <c r="G2" s="2968"/>
      <c r="H2" s="2968"/>
      <c r="I2" s="2968"/>
      <c r="J2" s="2968"/>
      <c r="K2" s="2968"/>
      <c r="L2" s="2968"/>
      <c r="M2" s="2968"/>
      <c r="N2" s="2968"/>
      <c r="O2" s="2968"/>
      <c r="P2" s="2968"/>
    </row>
    <row r="3" spans="1:16" ht="15.75">
      <c r="A3" s="2309" t="s">
        <v>2575</v>
      </c>
      <c r="B3" s="2773" t="e">
        <f ca="1">ROUND(B2*10000/E2,0)</f>
        <v>#DIV/0!</v>
      </c>
      <c r="C3" s="2309" t="s">
        <v>2581</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9" t="s">
        <v>2576</v>
      </c>
      <c r="B5" s="2781" t="s">
        <v>2577</v>
      </c>
      <c r="C5" s="2310"/>
      <c r="D5" s="2968"/>
      <c r="E5" s="2782" t="s">
        <v>2578</v>
      </c>
      <c r="F5" s="2968"/>
      <c r="G5" s="2968"/>
      <c r="H5" s="2968"/>
      <c r="I5" s="2968"/>
      <c r="J5" s="2968"/>
      <c r="K5" s="2968"/>
      <c r="L5" s="2968"/>
      <c r="M5" s="2968"/>
      <c r="N5" s="2968"/>
      <c r="O5" s="2968"/>
      <c r="P5" s="2968"/>
    </row>
    <row r="6" spans="1:16" ht="15.75">
      <c r="A6" s="2780" t="s">
        <v>2579</v>
      </c>
      <c r="B6" s="2773" t="e">
        <f ca="1">SUMIF(INDIRECT("'"&amp;A6&amp;"'"&amp;"!A:A"),"总价",INDIRECT("'"&amp;A6&amp;"'"&amp;"!B:B"))</f>
        <v>#DIV/0!</v>
      </c>
      <c r="C6" s="2309" t="s">
        <v>2573</v>
      </c>
      <c r="D6" s="2968"/>
      <c r="E6" s="2783">
        <f ca="1">SUMIF(INDIRECT("'"&amp;A6&amp;"'"&amp;"!C:C"),"建筑面积",INDIRECT("'"&amp;A6&amp;"'"&amp;"!D:D"))</f>
        <v>0</v>
      </c>
      <c r="F6" s="2968"/>
      <c r="G6" s="2968"/>
      <c r="H6" s="2968"/>
      <c r="I6" s="2968"/>
      <c r="J6" s="2968"/>
      <c r="K6" s="2968"/>
      <c r="L6" s="2968"/>
      <c r="M6" s="2968"/>
      <c r="N6" s="2968"/>
      <c r="O6" s="2968"/>
      <c r="P6" s="2968"/>
    </row>
    <row r="7" spans="1:16" ht="15.75">
      <c r="A7" s="2780"/>
      <c r="B7" s="2773" t="e">
        <f ca="1">SUMIF(INDIRECT("'"&amp;A7&amp;"'"&amp;"!A:A"),"总价",INDIRECT("'"&amp;A7&amp;"'"&amp;"!B:B"))</f>
        <v>#REF!</v>
      </c>
      <c r="C7" s="2309" t="s">
        <v>2573</v>
      </c>
      <c r="D7" s="2968"/>
      <c r="E7" s="2783" t="e">
        <f t="shared" ref="E7:E13" ca="1" si="0">SUMIF(INDIRECT("'"&amp;A7&amp;"'"&amp;"!C:C"),"建筑面积",INDIRECT("'"&amp;A7&amp;"'"&amp;"!D:D"))</f>
        <v>#REF!</v>
      </c>
      <c r="F7" s="2968"/>
      <c r="G7" s="2968"/>
      <c r="H7" s="2968"/>
      <c r="I7" s="2968"/>
      <c r="J7" s="2968"/>
      <c r="K7" s="2968"/>
      <c r="L7" s="2968"/>
      <c r="M7" s="2968"/>
      <c r="N7" s="2968"/>
      <c r="O7" s="2968"/>
      <c r="P7" s="2968"/>
    </row>
    <row r="8" spans="1:16" ht="15.75">
      <c r="A8" s="2780"/>
      <c r="B8" s="2773" t="e">
        <f t="shared" ref="B8:B13" ca="1" si="1">SUMIF(INDIRECT("'"&amp;A8&amp;"'"&amp;"!A:A"),"总价",INDIRECT("'"&amp;A8&amp;"'"&amp;"!B:B"))</f>
        <v>#REF!</v>
      </c>
      <c r="C8" s="2309" t="s">
        <v>2573</v>
      </c>
      <c r="D8" s="2968"/>
      <c r="E8" s="2783" t="e">
        <f t="shared" ca="1" si="0"/>
        <v>#REF!</v>
      </c>
      <c r="F8" s="2968"/>
      <c r="G8" s="2968"/>
      <c r="H8" s="2968"/>
      <c r="I8" s="2968"/>
      <c r="J8" s="2968"/>
      <c r="K8" s="2968"/>
      <c r="L8" s="2968"/>
      <c r="M8" s="2968"/>
      <c r="N8" s="2968"/>
      <c r="O8" s="2968"/>
      <c r="P8" s="2968"/>
    </row>
    <row r="9" spans="1:16" ht="15.75">
      <c r="A9" s="2780"/>
      <c r="B9" s="2773" t="e">
        <f t="shared" ca="1" si="1"/>
        <v>#REF!</v>
      </c>
      <c r="C9" s="2309" t="s">
        <v>2573</v>
      </c>
      <c r="D9" s="2968"/>
      <c r="E9" s="2783" t="e">
        <f t="shared" ca="1" si="0"/>
        <v>#REF!</v>
      </c>
      <c r="F9" s="2968"/>
      <c r="G9" s="2968"/>
      <c r="H9" s="2968"/>
      <c r="I9" s="2968"/>
      <c r="J9" s="2968"/>
      <c r="K9" s="2968"/>
      <c r="L9" s="2968"/>
      <c r="M9" s="2968"/>
      <c r="N9" s="2968"/>
      <c r="O9" s="2968"/>
      <c r="P9" s="2968"/>
    </row>
    <row r="10" spans="1:16" ht="15.75">
      <c r="A10" s="2780"/>
      <c r="B10" s="2773" t="e">
        <f t="shared" ca="1" si="1"/>
        <v>#REF!</v>
      </c>
      <c r="C10" s="2309" t="s">
        <v>2573</v>
      </c>
      <c r="D10" s="2968"/>
      <c r="E10" s="2783" t="e">
        <f t="shared" ca="1" si="0"/>
        <v>#REF!</v>
      </c>
      <c r="F10" s="2968"/>
      <c r="G10" s="2968"/>
      <c r="H10" s="2968"/>
      <c r="I10" s="2968"/>
      <c r="J10" s="2968"/>
      <c r="K10" s="2968"/>
      <c r="L10" s="2968"/>
      <c r="M10" s="2968"/>
      <c r="N10" s="2968"/>
      <c r="O10" s="2968"/>
      <c r="P10" s="2968"/>
    </row>
    <row r="11" spans="1:16" ht="15.75">
      <c r="A11" s="2780"/>
      <c r="B11" s="2773" t="e">
        <f t="shared" ca="1" si="1"/>
        <v>#REF!</v>
      </c>
      <c r="C11" s="2309" t="s">
        <v>2573</v>
      </c>
      <c r="D11" s="2968"/>
      <c r="E11" s="2783" t="e">
        <f t="shared" ca="1" si="0"/>
        <v>#REF!</v>
      </c>
      <c r="F11" s="2968"/>
      <c r="G11" s="2968"/>
      <c r="H11" s="2968"/>
      <c r="I11" s="2968"/>
      <c r="J11" s="2968"/>
      <c r="K11" s="2968"/>
      <c r="L11" s="2968"/>
      <c r="M11" s="2968"/>
      <c r="N11" s="2968"/>
      <c r="O11" s="2968"/>
      <c r="P11" s="2968"/>
    </row>
    <row r="12" spans="1:16" ht="15.75">
      <c r="A12" s="2780"/>
      <c r="B12" s="2773" t="e">
        <f t="shared" ca="1" si="1"/>
        <v>#REF!</v>
      </c>
      <c r="C12" s="2309" t="s">
        <v>2573</v>
      </c>
      <c r="D12" s="2968"/>
      <c r="E12" s="2783" t="e">
        <f t="shared" ca="1" si="0"/>
        <v>#REF!</v>
      </c>
      <c r="F12" s="2968"/>
      <c r="G12" s="2968"/>
      <c r="H12" s="2968"/>
      <c r="I12" s="2968"/>
      <c r="J12" s="2968"/>
      <c r="K12" s="2968"/>
      <c r="L12" s="2968"/>
      <c r="M12" s="2968"/>
      <c r="N12" s="2968"/>
      <c r="O12" s="2968"/>
      <c r="P12" s="2968"/>
    </row>
    <row r="13" spans="1:16" ht="15.75">
      <c r="A13" s="2780"/>
      <c r="B13" s="2773" t="e">
        <f t="shared" ca="1" si="1"/>
        <v>#REF!</v>
      </c>
      <c r="C13" s="2309" t="s">
        <v>2573</v>
      </c>
      <c r="D13" s="2968"/>
      <c r="E13" s="2783"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2.75"/>
  <cols>
    <col min="1" max="1" width="9" style="2358"/>
    <col min="2" max="6" width="9" style="2358" customWidth="1"/>
    <col min="7" max="7" width="9" style="2396"/>
    <col min="8" max="8" width="9" style="2358"/>
    <col min="9" max="12" width="9" style="2358" customWidth="1"/>
    <col min="13" max="13" width="2.125" style="2358" customWidth="1"/>
    <col min="14" max="14" width="9" style="2396" customWidth="1"/>
    <col min="15" max="17" width="9" style="2358" customWidth="1"/>
    <col min="18" max="18" width="2.375" style="2358" customWidth="1"/>
    <col min="19" max="19" width="7.125" style="2396" customWidth="1"/>
    <col min="20" max="22" width="7.125" style="2358" customWidth="1"/>
    <col min="23" max="23" width="24.125" style="2358" customWidth="1"/>
    <col min="24" max="25" width="9" style="2358"/>
    <col min="26" max="27" width="11.625" style="2358" customWidth="1"/>
    <col min="28" max="28" width="9" style="2358"/>
    <col min="29" max="29" width="2" style="2358" customWidth="1"/>
    <col min="30" max="16384" width="9" style="2358"/>
  </cols>
  <sheetData>
    <row r="1" spans="1:34" s="2337" customFormat="1">
      <c r="B1" s="3601" t="s">
        <v>877</v>
      </c>
      <c r="C1" s="3601"/>
      <c r="D1" s="3601"/>
      <c r="E1" s="3601"/>
      <c r="F1" s="3601"/>
      <c r="G1" s="3597" t="s">
        <v>878</v>
      </c>
      <c r="H1" s="3597"/>
      <c r="I1" s="3597"/>
      <c r="J1" s="3597"/>
      <c r="K1" s="3597"/>
      <c r="L1" s="3597"/>
      <c r="N1" s="3597" t="s">
        <v>879</v>
      </c>
      <c r="O1" s="3597"/>
      <c r="P1" s="3597"/>
      <c r="Q1" s="3597"/>
      <c r="S1" s="3597" t="s">
        <v>880</v>
      </c>
      <c r="T1" s="3597"/>
      <c r="U1" s="3597"/>
      <c r="V1" s="3597"/>
      <c r="X1" s="3596" t="s">
        <v>881</v>
      </c>
      <c r="Y1" s="3597"/>
      <c r="Z1" s="3597"/>
      <c r="AA1" s="3597"/>
      <c r="AB1" s="3597"/>
      <c r="AD1" s="3596" t="s">
        <v>882</v>
      </c>
      <c r="AE1" s="3597"/>
      <c r="AF1" s="3597"/>
      <c r="AG1" s="3597"/>
      <c r="AH1" s="3597"/>
    </row>
    <row r="2" spans="1:34" s="2338" customFormat="1" ht="14.25" thickBot="1">
      <c r="B2" s="2339" t="s">
        <v>883</v>
      </c>
      <c r="C2" s="2339" t="s">
        <v>884</v>
      </c>
      <c r="D2" s="2340" t="s">
        <v>885</v>
      </c>
      <c r="E2" s="2340" t="s">
        <v>886</v>
      </c>
      <c r="F2" s="2339" t="s">
        <v>887</v>
      </c>
      <c r="G2" s="2341"/>
      <c r="I2" s="2339" t="s">
        <v>883</v>
      </c>
      <c r="J2" s="2340" t="s">
        <v>1109</v>
      </c>
      <c r="K2" s="2340" t="s">
        <v>572</v>
      </c>
      <c r="L2" s="2339" t="s">
        <v>887</v>
      </c>
      <c r="N2" s="2339" t="s">
        <v>883</v>
      </c>
      <c r="O2" s="2340" t="s">
        <v>1109</v>
      </c>
      <c r="P2" s="2340" t="s">
        <v>572</v>
      </c>
      <c r="Q2" s="2339" t="s">
        <v>887</v>
      </c>
      <c r="S2" s="2339" t="s">
        <v>883</v>
      </c>
      <c r="T2" s="2340" t="s">
        <v>1109</v>
      </c>
      <c r="U2" s="2340" t="s">
        <v>572</v>
      </c>
      <c r="V2" s="2339" t="s">
        <v>887</v>
      </c>
      <c r="X2" s="2339" t="s">
        <v>883</v>
      </c>
      <c r="Y2" s="2339" t="s">
        <v>884</v>
      </c>
      <c r="Z2" s="2340" t="s">
        <v>885</v>
      </c>
      <c r="AA2" s="2340" t="s">
        <v>886</v>
      </c>
      <c r="AB2" s="2339" t="s">
        <v>887</v>
      </c>
      <c r="AD2" s="2339" t="s">
        <v>883</v>
      </c>
      <c r="AE2" s="2339" t="s">
        <v>884</v>
      </c>
      <c r="AF2" s="2340" t="s">
        <v>885</v>
      </c>
      <c r="AG2" s="2340" t="s">
        <v>886</v>
      </c>
      <c r="AH2" s="2339" t="s">
        <v>887</v>
      </c>
    </row>
    <row r="3" spans="1:34" s="2348" customFormat="1" ht="14.25">
      <c r="A3" s="2342" t="s">
        <v>2612</v>
      </c>
      <c r="B3" s="2343"/>
      <c r="C3" s="2343"/>
      <c r="D3" s="2344"/>
      <c r="E3" s="2344"/>
      <c r="F3" s="2343"/>
      <c r="G3" s="2345"/>
      <c r="H3" s="2346"/>
      <c r="I3" s="2347">
        <f>ROUND(AVERAGE($I4:$I37),2)</f>
        <v>1.64</v>
      </c>
      <c r="J3" s="2347">
        <f>ROUND(AVERAGE($J4:$J37),2)</f>
        <v>1.03</v>
      </c>
      <c r="K3" s="2347">
        <f>ROUND(AVERAGE($K4:$K37),2)</f>
        <v>1.81</v>
      </c>
      <c r="L3" s="2347">
        <f>ROUND(AVERAGE($L4:$L37),2)</f>
        <v>1.2</v>
      </c>
      <c r="N3" s="2345"/>
      <c r="S3" s="2345"/>
      <c r="W3" s="2349"/>
      <c r="X3" s="2350">
        <f>ROUND(SUMPRODUCT(PRODUCT(1+N3:N$36)),4)</f>
        <v>1.6585000000000001</v>
      </c>
      <c r="Y3" s="2350">
        <f>ROUND(SUMPRODUCT(PRODUCT(1+O3:O$36)),4)</f>
        <v>1.3676999999999999</v>
      </c>
      <c r="Z3" s="2350">
        <f t="shared" ref="Z3:Z34" si="0">Y3</f>
        <v>1.3676999999999999</v>
      </c>
      <c r="AA3" s="2350">
        <f>ROUND(SUMPRODUCT(PRODUCT(1+P3:P$36)),4)</f>
        <v>1.7434000000000001</v>
      </c>
      <c r="AB3" s="2350">
        <f>ROUND(SUMPRODUCT(PRODUCT(1+Q3:Q$36)),4)</f>
        <v>1.4609000000000001</v>
      </c>
      <c r="AD3" s="2351">
        <f>ROUND(AVERAGE(I3:I$37)/100,4)</f>
        <v>1.6400000000000001E-2</v>
      </c>
      <c r="AE3" s="2351">
        <f>ROUND(AVERAGE(J3:J$37)/100,4)</f>
        <v>1.03E-2</v>
      </c>
      <c r="AF3" s="2351">
        <f t="shared" ref="AF3:AF35" si="1">AE3</f>
        <v>1.03E-2</v>
      </c>
      <c r="AG3" s="2351">
        <f>ROUND(AVERAGE(K3:K$37)/100,4)</f>
        <v>1.8100000000000002E-2</v>
      </c>
      <c r="AH3" s="2351">
        <f>ROUND(AVERAGE(L3:L$37)/100,4)</f>
        <v>1.2E-2</v>
      </c>
    </row>
    <row r="4" spans="1:34" s="2352" customFormat="1" ht="14.25">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5" customFormat="1">
      <c r="A5" s="2360" t="s">
        <v>2938</v>
      </c>
      <c r="B5" s="2361">
        <f t="shared" ref="B5" si="2">B6*(1+N5)</f>
        <v>510.07089659554606</v>
      </c>
      <c r="C5" s="2361">
        <f t="shared" ref="C5" si="3">C6*(1+O5)</f>
        <v>352.55593185737411</v>
      </c>
      <c r="D5" s="2361">
        <f t="shared" ref="D5" si="4">C5</f>
        <v>352.55593185737411</v>
      </c>
      <c r="E5" s="2361">
        <f t="shared" ref="E5" si="5">E6*(1+P5)</f>
        <v>737.27992463403655</v>
      </c>
      <c r="F5" s="2361">
        <f t="shared" ref="F5" si="6">F6*(1+Q5)</f>
        <v>335.88319198297864</v>
      </c>
      <c r="G5" s="3180">
        <v>2022</v>
      </c>
      <c r="H5" s="2363">
        <v>1</v>
      </c>
      <c r="I5" s="2364">
        <v>0</v>
      </c>
      <c r="J5" s="2364">
        <v>0</v>
      </c>
      <c r="K5" s="2364">
        <v>0</v>
      </c>
      <c r="L5" s="2364">
        <v>0</v>
      </c>
      <c r="N5" s="2366">
        <f t="shared" ref="N5" si="7">I5/100</f>
        <v>0</v>
      </c>
      <c r="O5" s="2366">
        <f t="shared" ref="O5" si="8">J5/100</f>
        <v>0</v>
      </c>
      <c r="P5" s="2366">
        <f t="shared" ref="P5" si="9">K5/100</f>
        <v>0</v>
      </c>
      <c r="Q5" s="2366">
        <f t="shared" ref="Q5" si="10">L5/100</f>
        <v>0</v>
      </c>
      <c r="S5" s="2367"/>
      <c r="W5" s="2368" t="s">
        <v>2613</v>
      </c>
      <c r="X5" s="2369">
        <f>ROUND(IF(项目基本情况!B1="出让",SUMPRODUCT(PRODUCT(1+N5:N$37)),SUMPRODUCT(PRODUCT(1+N5:N$36))),4)</f>
        <v>1.6585000000000001</v>
      </c>
      <c r="Y5" s="2369">
        <f>ROUND(IF(项目基本情况!B1="出让",SUMPRODUCT(PRODUCT(1+O5:O$37)),SUMPRODUCT(PRODUCT(1+O5:O$36))),4)</f>
        <v>1.3676999999999999</v>
      </c>
      <c r="Z5" s="2369">
        <f t="shared" ref="Z5" si="11">Y5</f>
        <v>1.3676999999999999</v>
      </c>
      <c r="AA5" s="2369">
        <f>ROUND(IF(项目基本情况!B1="出让",SUMPRODUCT(PRODUCT(1+P5:P$37)),SUMPRODUCT(PRODUCT(1+P5:P$36))),4)</f>
        <v>1.7434000000000001</v>
      </c>
      <c r="AB5" s="2369">
        <f>ROUND(IF(项目基本情况!B1="出让",SUMPRODUCT(PRODUCT(1+Q5:Q$37)),SUMPRODUCT(PRODUCT(1+Q5:Q$36))),4)</f>
        <v>1.4609000000000001</v>
      </c>
      <c r="AD5" s="2370">
        <f>ROUND(AVERAGE(I5:I$37)/100,4)</f>
        <v>1.6400000000000001E-2</v>
      </c>
      <c r="AE5" s="2370">
        <f>ROUND(AVERAGE(J5:J$37)/100,4)</f>
        <v>1.03E-2</v>
      </c>
      <c r="AF5" s="2370">
        <f t="shared" ref="AF5" si="12">AE5</f>
        <v>1.03E-2</v>
      </c>
      <c r="AG5" s="2370">
        <f>ROUND(AVERAGE(K5:K$37)/100,4)</f>
        <v>1.8100000000000002E-2</v>
      </c>
      <c r="AH5" s="2370">
        <f>ROUND(AVERAGE(L5:L$37)/100,4)</f>
        <v>1.2E-2</v>
      </c>
    </row>
    <row r="6" spans="1:34" s="2378" customFormat="1">
      <c r="A6" s="2371" t="s">
        <v>2937</v>
      </c>
      <c r="B6" s="2372">
        <f t="shared" ref="B6" si="13">B7*(1+N6)</f>
        <v>510.07089659554606</v>
      </c>
      <c r="C6" s="2372">
        <f t="shared" ref="C6" si="14">C7*(1+O6)</f>
        <v>352.55593185737411</v>
      </c>
      <c r="D6" s="2372">
        <f t="shared" ref="D6" si="15">C6</f>
        <v>352.55593185737411</v>
      </c>
      <c r="E6" s="2372">
        <f t="shared" ref="E6" si="16">E7*(1+P6)</f>
        <v>737.27992463403655</v>
      </c>
      <c r="F6" s="2372">
        <f t="shared" ref="F6" si="17">F7*(1+Q6)</f>
        <v>335.88319198297864</v>
      </c>
      <c r="G6" s="3180">
        <v>2021</v>
      </c>
      <c r="H6" s="2373">
        <v>4</v>
      </c>
      <c r="I6" s="2335">
        <v>1.03</v>
      </c>
      <c r="J6" s="2335">
        <v>0.24</v>
      </c>
      <c r="K6" s="2335">
        <v>1.17</v>
      </c>
      <c r="L6" s="2336">
        <v>0.55000000000000004</v>
      </c>
      <c r="M6" s="2358"/>
      <c r="N6" s="2374">
        <f t="shared" ref="N6" si="18">I6/100</f>
        <v>1.03E-2</v>
      </c>
      <c r="O6" s="2359">
        <f t="shared" ref="O6" si="19">J6/100</f>
        <v>2.3999999999999998E-3</v>
      </c>
      <c r="P6" s="2359">
        <f t="shared" ref="P6" si="20">K6/100</f>
        <v>1.1699999999999999E-2</v>
      </c>
      <c r="Q6" s="2359">
        <f t="shared" ref="Q6" si="21">L6/100</f>
        <v>5.5000000000000005E-3</v>
      </c>
      <c r="R6" s="2375"/>
      <c r="S6" s="2374"/>
      <c r="T6" s="2359"/>
      <c r="U6" s="2359"/>
      <c r="V6" s="2359"/>
      <c r="W6" s="2376"/>
      <c r="X6" s="2376">
        <f>ROUND(IF(项目基本情况!B2="出让",SUMPRODUCT(PRODUCT(1+N6:N$37)),SUMPRODUCT(PRODUCT(1+N6:N$36))),4)</f>
        <v>1.6585000000000001</v>
      </c>
      <c r="Y6" s="2376">
        <f>ROUND(IF(项目基本情况!B2="出让",SUMPRODUCT(PRODUCT(1+O6:O$37)),SUMPRODUCT(PRODUCT(1+O6:O$36))),4)</f>
        <v>1.3676999999999999</v>
      </c>
      <c r="Z6" s="2376">
        <f t="shared" ref="Z6" si="22">Y6</f>
        <v>1.3676999999999999</v>
      </c>
      <c r="AA6" s="2376">
        <f>ROUND(IF(项目基本情况!B2="出让",SUMPRODUCT(PRODUCT(1+P6:P$37)),SUMPRODUCT(PRODUCT(1+P6:P$36))),4)</f>
        <v>1.7434000000000001</v>
      </c>
      <c r="AB6" s="2376">
        <f>ROUND(IF(项目基本情况!B2="出让",SUMPRODUCT(PRODUCT(1+Q6:Q$37)),SUMPRODUCT(PRODUCT(1+Q6:Q$36))),4)</f>
        <v>1.4609000000000001</v>
      </c>
      <c r="AC6" s="2376"/>
      <c r="AD6" s="2377">
        <f>ROUND(AVERAGE(I6:I$37)/100,4)</f>
        <v>1.6899999999999998E-2</v>
      </c>
      <c r="AE6" s="2377">
        <f>ROUND(AVERAGE(J6:J$37)/100,4)</f>
        <v>1.06E-2</v>
      </c>
      <c r="AF6" s="2377">
        <f t="shared" ref="AF6" si="23">AE6</f>
        <v>1.06E-2</v>
      </c>
      <c r="AG6" s="2377">
        <f>ROUND(AVERAGE(K6:K$37)/100,4)</f>
        <v>1.8700000000000001E-2</v>
      </c>
      <c r="AH6" s="2377">
        <f>ROUND(AVERAGE(L6:L$37)/100,4)</f>
        <v>1.24E-2</v>
      </c>
    </row>
    <row r="7" spans="1:34" s="2378" customFormat="1">
      <c r="A7" s="2371" t="s">
        <v>2814</v>
      </c>
      <c r="B7" s="2372">
        <f t="shared" ref="B7" si="24">B8*(1+N7)</f>
        <v>504.87072809615569</v>
      </c>
      <c r="C7" s="2372">
        <f t="shared" ref="C7" si="25">C8*(1+O7)</f>
        <v>351.71182348101968</v>
      </c>
      <c r="D7" s="2372">
        <f t="shared" ref="D7" si="26">C7</f>
        <v>351.71182348101968</v>
      </c>
      <c r="E7" s="2372">
        <f t="shared" ref="E7" si="27">E8*(1+P7)</f>
        <v>728.75350858360832</v>
      </c>
      <c r="F7" s="2372">
        <f t="shared" ref="F7" si="28">F8*(1+Q7)</f>
        <v>334.04593931673656</v>
      </c>
      <c r="G7" s="3005">
        <v>2021</v>
      </c>
      <c r="H7" s="2373">
        <v>3</v>
      </c>
      <c r="I7" s="2335">
        <v>0.47</v>
      </c>
      <c r="J7" s="2335">
        <v>0.41</v>
      </c>
      <c r="K7" s="2335">
        <v>0.48</v>
      </c>
      <c r="L7" s="2336">
        <v>0.48</v>
      </c>
      <c r="M7" s="2358"/>
      <c r="N7" s="2374">
        <f t="shared" ref="N7" si="29">I7/100</f>
        <v>4.6999999999999993E-3</v>
      </c>
      <c r="O7" s="2359">
        <f t="shared" ref="O7" si="30">J7/100</f>
        <v>4.0999999999999995E-3</v>
      </c>
      <c r="P7" s="2359">
        <f t="shared" ref="P7" si="31">K7/100</f>
        <v>4.7999999999999996E-3</v>
      </c>
      <c r="Q7" s="2359">
        <f t="shared" ref="Q7" si="32">L7/100</f>
        <v>4.7999999999999996E-3</v>
      </c>
      <c r="R7" s="2375"/>
      <c r="S7" s="2374"/>
      <c r="T7" s="2359"/>
      <c r="U7" s="2359"/>
      <c r="V7" s="2359"/>
      <c r="W7" s="2376"/>
      <c r="X7" s="2376">
        <f>ROUND(IF(项目基本情况!B3="出让",SUMPRODUCT(PRODUCT(1+N7:N$37)),SUMPRODUCT(PRODUCT(1+N7:N$36))),4)</f>
        <v>1.6415999999999999</v>
      </c>
      <c r="Y7" s="2376">
        <f>ROUND(IF(项目基本情况!B3="出让",SUMPRODUCT(PRODUCT(1+O7:O$37)),SUMPRODUCT(PRODUCT(1+O7:O$36))),4)</f>
        <v>1.3644000000000001</v>
      </c>
      <c r="Z7" s="2376">
        <f t="shared" ref="Z7" si="33">Y7</f>
        <v>1.3644000000000001</v>
      </c>
      <c r="AA7" s="2376">
        <f>ROUND(IF(项目基本情况!B3="出让",SUMPRODUCT(PRODUCT(1+P7:P$37)),SUMPRODUCT(PRODUCT(1+P7:P$36))),4)</f>
        <v>1.7232000000000001</v>
      </c>
      <c r="AB7" s="2376">
        <f>ROUND(IF(项目基本情况!B3="出让",SUMPRODUCT(PRODUCT(1+Q7:Q$37)),SUMPRODUCT(PRODUCT(1+Q7:Q$36))),4)</f>
        <v>1.4529000000000001</v>
      </c>
      <c r="AC7" s="2376"/>
      <c r="AD7" s="2377">
        <f>ROUND(AVERAGE(I7:I$37)/100,4)</f>
        <v>1.72E-2</v>
      </c>
      <c r="AE7" s="2377">
        <f>ROUND(AVERAGE(J7:J$37)/100,4)</f>
        <v>1.09E-2</v>
      </c>
      <c r="AF7" s="2377">
        <f t="shared" ref="AF7" si="34">AE7</f>
        <v>1.09E-2</v>
      </c>
      <c r="AG7" s="2377">
        <f>ROUND(AVERAGE(K7:K$37)/100,4)</f>
        <v>1.89E-2</v>
      </c>
      <c r="AH7" s="2377">
        <f>ROUND(AVERAGE(L7:L$37)/100,4)</f>
        <v>1.26E-2</v>
      </c>
    </row>
    <row r="8" spans="1:34" s="2378" customFormat="1">
      <c r="A8" s="2371" t="s">
        <v>2813</v>
      </c>
      <c r="B8" s="2372">
        <f t="shared" ref="B8" si="35">B9*(1+N8)</f>
        <v>502.50893609650217</v>
      </c>
      <c r="C8" s="2372">
        <f t="shared" ref="C8" si="36">C9*(1+O8)</f>
        <v>350.27569313914915</v>
      </c>
      <c r="D8" s="2372">
        <f t="shared" ref="D8" si="37">C8</f>
        <v>350.27569313914915</v>
      </c>
      <c r="E8" s="2372">
        <f t="shared" ref="E8" si="38">E9*(1+P8)</f>
        <v>725.27220201394141</v>
      </c>
      <c r="F8" s="2372">
        <f t="shared" ref="F8" si="39">F9*(1+Q8)</f>
        <v>332.45017846012797</v>
      </c>
      <c r="G8" s="3004">
        <v>2021</v>
      </c>
      <c r="H8" s="2373">
        <v>2</v>
      </c>
      <c r="I8" s="2335">
        <v>0.92</v>
      </c>
      <c r="J8" s="2335">
        <v>0.72</v>
      </c>
      <c r="K8" s="2335">
        <v>0.95</v>
      </c>
      <c r="L8" s="2336">
        <v>1.01</v>
      </c>
      <c r="M8" s="2358"/>
      <c r="N8" s="2374">
        <f t="shared" ref="N8" si="40">I8/100</f>
        <v>9.1999999999999998E-3</v>
      </c>
      <c r="O8" s="2359">
        <f t="shared" ref="O8" si="41">J8/100</f>
        <v>7.1999999999999998E-3</v>
      </c>
      <c r="P8" s="2359">
        <f t="shared" ref="P8" si="42">K8/100</f>
        <v>9.4999999999999998E-3</v>
      </c>
      <c r="Q8" s="2359">
        <f t="shared" ref="Q8" si="43">L8/100</f>
        <v>1.01E-2</v>
      </c>
      <c r="R8" s="2375"/>
      <c r="S8" s="2374"/>
      <c r="T8" s="2359"/>
      <c r="U8" s="2359"/>
      <c r="V8" s="2359"/>
      <c r="W8" s="2376"/>
      <c r="X8" s="2376">
        <f>ROUND(IF(项目基本情况!B4="出让",SUMPRODUCT(PRODUCT(1+N8:N$37)),SUMPRODUCT(PRODUCT(1+N8:N$36))),4)</f>
        <v>1.6338999999999999</v>
      </c>
      <c r="Y8" s="2376">
        <f>ROUND(IF(项目基本情况!B4="出让",SUMPRODUCT(PRODUCT(1+O8:O$37)),SUMPRODUCT(PRODUCT(1+O8:O$36))),4)</f>
        <v>1.3588</v>
      </c>
      <c r="Z8" s="2376">
        <f t="shared" ref="Z8" si="44">Y8</f>
        <v>1.3588</v>
      </c>
      <c r="AA8" s="2376">
        <f>ROUND(IF(项目基本情况!B4="出让",SUMPRODUCT(PRODUCT(1+P8:P$37)),SUMPRODUCT(PRODUCT(1+P8:P$36))),4)</f>
        <v>1.7150000000000001</v>
      </c>
      <c r="AB8" s="2376">
        <f>ROUND(IF(项目基本情况!B4="出让",SUMPRODUCT(PRODUCT(1+Q8:Q$37)),SUMPRODUCT(PRODUCT(1+Q8:Q$36))),4)</f>
        <v>1.446</v>
      </c>
      <c r="AC8" s="2376"/>
      <c r="AD8" s="2377">
        <f>ROUND(AVERAGE(I8:I$37)/100,4)</f>
        <v>1.7600000000000001E-2</v>
      </c>
      <c r="AE8" s="2377">
        <f>ROUND(AVERAGE(J8:J$37)/100,4)</f>
        <v>1.11E-2</v>
      </c>
      <c r="AF8" s="2377">
        <f t="shared" ref="AF8" si="45">AE8</f>
        <v>1.11E-2</v>
      </c>
      <c r="AG8" s="2377">
        <f>ROUND(AVERAGE(K8:K$37)/100,4)</f>
        <v>1.9400000000000001E-2</v>
      </c>
      <c r="AH8" s="2377">
        <f>ROUND(AVERAGE(L8:L$37)/100,4)</f>
        <v>1.2800000000000001E-2</v>
      </c>
    </row>
    <row r="9" spans="1:34" s="2378" customFormat="1">
      <c r="A9" s="2371" t="s">
        <v>2812</v>
      </c>
      <c r="B9" s="2372">
        <f t="shared" ref="B9" si="46">B10*(1+N9)</f>
        <v>497.92799851020823</v>
      </c>
      <c r="C9" s="2372">
        <f t="shared" ref="C9" si="47">C10*(1+O9)</f>
        <v>347.77173663537445</v>
      </c>
      <c r="D9" s="2372">
        <f t="shared" ref="D9" si="48">C9</f>
        <v>347.77173663537445</v>
      </c>
      <c r="E9" s="2372">
        <f t="shared" ref="E9" si="49">E10*(1+P9)</f>
        <v>718.44695593258189</v>
      </c>
      <c r="F9" s="2372">
        <f t="shared" ref="F9" si="50">F10*(1+Q9)</f>
        <v>329.12600580153247</v>
      </c>
      <c r="G9" s="2988">
        <v>2021</v>
      </c>
      <c r="H9" s="2373">
        <v>1</v>
      </c>
      <c r="I9" s="2335">
        <v>0.97</v>
      </c>
      <c r="J9" s="2335">
        <v>0.16</v>
      </c>
      <c r="K9" s="2335">
        <v>1.1100000000000001</v>
      </c>
      <c r="L9" s="2336">
        <v>0.36</v>
      </c>
      <c r="M9" s="2358"/>
      <c r="N9" s="2374">
        <f t="shared" ref="N9" si="51">I9/100</f>
        <v>9.7000000000000003E-3</v>
      </c>
      <c r="O9" s="2359">
        <f t="shared" ref="O9" si="52">J9/100</f>
        <v>1.6000000000000001E-3</v>
      </c>
      <c r="P9" s="2359">
        <f t="shared" ref="P9" si="53">K9/100</f>
        <v>1.11E-2</v>
      </c>
      <c r="Q9" s="2359">
        <f t="shared" ref="Q9" si="54">L9/100</f>
        <v>3.5999999999999999E-3</v>
      </c>
      <c r="R9" s="2375"/>
      <c r="S9" s="2374">
        <f>B9/B10-1</f>
        <v>9.7000000000000419E-3</v>
      </c>
      <c r="T9" s="2359">
        <f t="shared" ref="T9" si="55">C9/C10-1</f>
        <v>1.6000000000000458E-3</v>
      </c>
      <c r="U9" s="2359">
        <f t="shared" ref="U9" si="56">D9/D10-1</f>
        <v>1.6000000000000458E-3</v>
      </c>
      <c r="V9" s="2359">
        <f t="shared" ref="V9" si="57">E9/E10-1</f>
        <v>1.110000000000011E-2</v>
      </c>
      <c r="W9" s="2376"/>
      <c r="X9" s="2376">
        <f>ROUND(IF(项目基本情况!B5="出让",SUMPRODUCT(PRODUCT(1+N9:N$37)),SUMPRODUCT(PRODUCT(1+N9:N$36))),4)</f>
        <v>1.619</v>
      </c>
      <c r="Y9" s="2376">
        <f>ROUND(IF(项目基本情况!B5="出让",SUMPRODUCT(PRODUCT(1+O9:O$37)),SUMPRODUCT(PRODUCT(1+O9:O$36))),4)</f>
        <v>1.3491</v>
      </c>
      <c r="Z9" s="2376">
        <f t="shared" ref="Z9" si="58">Y9</f>
        <v>1.3491</v>
      </c>
      <c r="AA9" s="2376">
        <f>ROUND(IF(项目基本情况!B5="出让",SUMPRODUCT(PRODUCT(1+P9:P$37)),SUMPRODUCT(PRODUCT(1+P9:P$36))),4)</f>
        <v>1.6988000000000001</v>
      </c>
      <c r="AB9" s="2376">
        <f>ROUND(IF(项目基本情况!B5="出让",SUMPRODUCT(PRODUCT(1+Q9:Q$37)),SUMPRODUCT(PRODUCT(1+Q9:Q$36))),4)</f>
        <v>1.4315</v>
      </c>
      <c r="AC9" s="2376"/>
      <c r="AD9" s="2377">
        <f>ROUND(AVERAGE(I9:I$37)/100,4)</f>
        <v>1.7899999999999999E-2</v>
      </c>
      <c r="AE9" s="2377">
        <f>ROUND(AVERAGE(J9:J$37)/100,4)</f>
        <v>1.12E-2</v>
      </c>
      <c r="AF9" s="2377">
        <f t="shared" ref="AF9" si="59">AE9</f>
        <v>1.12E-2</v>
      </c>
      <c r="AG9" s="2377">
        <f>ROUND(AVERAGE(K9:K$37)/100,4)</f>
        <v>1.9699999999999999E-2</v>
      </c>
      <c r="AH9" s="2377">
        <f>ROUND(AVERAGE(L9:L$37)/100,4)</f>
        <v>1.29E-2</v>
      </c>
    </row>
    <row r="10" spans="1:34" s="2378" customFormat="1">
      <c r="A10" s="2371" t="s">
        <v>2809</v>
      </c>
      <c r="B10" s="2372">
        <f t="shared" ref="B10" si="60">B11*(1+N10)</f>
        <v>493.14449689037161</v>
      </c>
      <c r="C10" s="2372">
        <f t="shared" ref="C10" si="61">C11*(1+O10)</f>
        <v>347.21619073020611</v>
      </c>
      <c r="D10" s="2372">
        <f t="shared" ref="D10" si="62">C10</f>
        <v>347.21619073020611</v>
      </c>
      <c r="E10" s="2372">
        <f t="shared" ref="E10" si="63">E11*(1+P10)</f>
        <v>710.55974278763904</v>
      </c>
      <c r="F10" s="2372">
        <f t="shared" ref="F10" si="64">F11*(1+Q10)</f>
        <v>327.94540235306141</v>
      </c>
      <c r="G10" s="2987">
        <v>2020</v>
      </c>
      <c r="H10" s="2373">
        <v>4</v>
      </c>
      <c r="I10" s="2335">
        <v>2.0699999999999998</v>
      </c>
      <c r="J10" s="2335">
        <v>0.37</v>
      </c>
      <c r="K10" s="2335">
        <v>2.35</v>
      </c>
      <c r="L10" s="2336">
        <v>2.69</v>
      </c>
      <c r="M10" s="2358"/>
      <c r="N10" s="2374">
        <f t="shared" ref="N10" si="65">I10/100</f>
        <v>2.07E-2</v>
      </c>
      <c r="O10" s="2359">
        <f t="shared" ref="O10" si="66">J10/100</f>
        <v>3.7000000000000002E-3</v>
      </c>
      <c r="P10" s="2359">
        <f t="shared" ref="P10" si="67">K10/100</f>
        <v>2.35E-2</v>
      </c>
      <c r="Q10" s="2359">
        <f t="shared" ref="Q10" si="68">L10/100</f>
        <v>2.69E-2</v>
      </c>
      <c r="R10" s="2375"/>
      <c r="S10" s="2374"/>
      <c r="T10" s="2359"/>
      <c r="U10" s="2359"/>
      <c r="V10" s="2359"/>
      <c r="W10" s="2376"/>
      <c r="X10" s="2376">
        <f>ROUND(IF(项目基本情况!B6="出让",SUMPRODUCT(PRODUCT(1+N10:N$37)),SUMPRODUCT(PRODUCT(1+N10:N$36))),4)</f>
        <v>1.6034999999999999</v>
      </c>
      <c r="Y10" s="2376">
        <f>ROUND(IF(项目基本情况!B6="出让",SUMPRODUCT(PRODUCT(1+O10:O$37)),SUMPRODUCT(PRODUCT(1+O10:O$36))),4)</f>
        <v>1.3469</v>
      </c>
      <c r="Z10" s="2376">
        <f t="shared" ref="Z10" si="69">Y10</f>
        <v>1.3469</v>
      </c>
      <c r="AA10" s="2376">
        <f>ROUND(IF(项目基本情况!B6="出让",SUMPRODUCT(PRODUCT(1+P10:P$37)),SUMPRODUCT(PRODUCT(1+P10:P$36))),4)</f>
        <v>1.6801999999999999</v>
      </c>
      <c r="AB10" s="2376">
        <f>ROUND(IF(项目基本情况!B6="出让",SUMPRODUCT(PRODUCT(1+Q10:Q$37)),SUMPRODUCT(PRODUCT(1+Q10:Q$36))),4)</f>
        <v>1.4263999999999999</v>
      </c>
      <c r="AC10" s="2376"/>
      <c r="AD10" s="2377">
        <f>ROUND(AVERAGE(I10:I$37)/100,4)</f>
        <v>1.8200000000000001E-2</v>
      </c>
      <c r="AE10" s="2377">
        <f>ROUND(AVERAGE(J10:J$37)/100,4)</f>
        <v>1.1599999999999999E-2</v>
      </c>
      <c r="AF10" s="2377">
        <f t="shared" ref="AF10" si="70">AE10</f>
        <v>1.1599999999999999E-2</v>
      </c>
      <c r="AG10" s="2377">
        <f>ROUND(AVERAGE(K10:K$37)/100,4)</f>
        <v>0.02</v>
      </c>
      <c r="AH10" s="2377">
        <f>ROUND(AVERAGE(L10:L$37)/100,4)</f>
        <v>1.3299999999999999E-2</v>
      </c>
    </row>
    <row r="11" spans="1:34" s="2378" customFormat="1">
      <c r="A11" s="2371" t="s">
        <v>2808</v>
      </c>
      <c r="B11" s="2372">
        <f t="shared" ref="B11" si="71">B12*(1+N11)</f>
        <v>483.1434279321756</v>
      </c>
      <c r="C11" s="2372">
        <f t="shared" ref="C11" si="72">C12*(1+O11)</f>
        <v>345.93622669144776</v>
      </c>
      <c r="D11" s="2372">
        <f t="shared" ref="D11" si="73">C11</f>
        <v>345.93622669144776</v>
      </c>
      <c r="E11" s="2372">
        <f t="shared" ref="E11" si="74">E12*(1+P11)</f>
        <v>694.24498562544113</v>
      </c>
      <c r="F11" s="2372">
        <f t="shared" ref="F11" si="75">F12*(1+Q11)</f>
        <v>319.35475932716082</v>
      </c>
      <c r="G11" s="2984">
        <v>2020</v>
      </c>
      <c r="H11" s="2373">
        <v>3</v>
      </c>
      <c r="I11" s="2335">
        <v>0.36</v>
      </c>
      <c r="J11" s="2335">
        <v>-0.39</v>
      </c>
      <c r="K11" s="2335">
        <v>0.49</v>
      </c>
      <c r="L11" s="2336">
        <v>7.0000000000000007E-2</v>
      </c>
      <c r="M11" s="2358"/>
      <c r="N11" s="2374">
        <f t="shared" ref="N11" si="76">I11/100</f>
        <v>3.5999999999999999E-3</v>
      </c>
      <c r="O11" s="2359">
        <f t="shared" ref="O11" si="77">J11/100</f>
        <v>-3.9000000000000003E-3</v>
      </c>
      <c r="P11" s="2359">
        <f t="shared" ref="P11" si="78">K11/100</f>
        <v>4.8999999999999998E-3</v>
      </c>
      <c r="Q11" s="2359">
        <f t="shared" ref="Q11" si="79">L11/100</f>
        <v>7.000000000000001E-4</v>
      </c>
      <c r="R11" s="2375"/>
      <c r="S11" s="2374"/>
      <c r="T11" s="2359"/>
      <c r="U11" s="2359"/>
      <c r="V11" s="2359"/>
      <c r="W11" s="2376"/>
      <c r="X11" s="2376">
        <f>ROUND(IF(项目基本情况!B7="出让",SUMPRODUCT(PRODUCT(1+N11:N$37)),SUMPRODUCT(PRODUCT(1+N11:N$36))),4)</f>
        <v>1.571</v>
      </c>
      <c r="Y11" s="2376">
        <f>ROUND(IF(项目基本情况!B7="出让",SUMPRODUCT(PRODUCT(1+O11:O$37)),SUMPRODUCT(PRODUCT(1+O11:O$36))),4)</f>
        <v>1.3420000000000001</v>
      </c>
      <c r="Z11" s="2376">
        <f t="shared" ref="Z11" si="80">Y11</f>
        <v>1.3420000000000001</v>
      </c>
      <c r="AA11" s="2376">
        <f>ROUND(IF(项目基本情况!B7="出让",SUMPRODUCT(PRODUCT(1+P11:P$37)),SUMPRODUCT(PRODUCT(1+P11:P$36))),4)</f>
        <v>1.6415999999999999</v>
      </c>
      <c r="AB11" s="2376">
        <f>ROUND(IF(项目基本情况!B7="出让",SUMPRODUCT(PRODUCT(1+Q11:Q$37)),SUMPRODUCT(PRODUCT(1+Q11:Q$36))),4)</f>
        <v>1.389</v>
      </c>
      <c r="AC11" s="2376"/>
      <c r="AD11" s="2377">
        <f>ROUND(AVERAGE(I11:I$37)/100,4)</f>
        <v>1.8100000000000002E-2</v>
      </c>
      <c r="AE11" s="2377">
        <f>ROUND(AVERAGE(J11:J$37)/100,4)</f>
        <v>1.1900000000000001E-2</v>
      </c>
      <c r="AF11" s="2377">
        <f t="shared" ref="AF11" si="81">AE11</f>
        <v>1.1900000000000001E-2</v>
      </c>
      <c r="AG11" s="2377">
        <f>ROUND(AVERAGE(K11:K$37)/100,4)</f>
        <v>1.9900000000000001E-2</v>
      </c>
      <c r="AH11" s="2377">
        <f>ROUND(AVERAGE(L11:L$37)/100,4)</f>
        <v>1.2800000000000001E-2</v>
      </c>
    </row>
    <row r="12" spans="1:34" s="2378" customFormat="1">
      <c r="A12" s="2371" t="s">
        <v>2629</v>
      </c>
      <c r="B12" s="2372">
        <f t="shared" ref="B12" si="82">B13*(1+N12)</f>
        <v>481.4103506697644</v>
      </c>
      <c r="C12" s="2372">
        <f t="shared" ref="C12" si="83">C13*(1+O12)</f>
        <v>347.29066026648707</v>
      </c>
      <c r="D12" s="2372">
        <f t="shared" ref="D12" si="84">C12</f>
        <v>347.29066026648707</v>
      </c>
      <c r="E12" s="2372">
        <f t="shared" ref="E12" si="85">E13*(1+P12)</f>
        <v>690.85977273901995</v>
      </c>
      <c r="F12" s="2372">
        <f t="shared" ref="F12" si="86">F13*(1+Q12)</f>
        <v>319.13136737000184</v>
      </c>
      <c r="G12" s="2362">
        <v>2020</v>
      </c>
      <c r="H12" s="2373">
        <v>2</v>
      </c>
      <c r="I12" s="2335">
        <v>0.31</v>
      </c>
      <c r="J12" s="2335">
        <v>-0.78</v>
      </c>
      <c r="K12" s="2335">
        <v>0.5</v>
      </c>
      <c r="L12" s="2336">
        <v>0.47</v>
      </c>
      <c r="M12" s="2358"/>
      <c r="N12" s="2374">
        <f t="shared" ref="N12" si="87">I12/100</f>
        <v>3.0999999999999999E-3</v>
      </c>
      <c r="O12" s="2359">
        <f t="shared" ref="O12" si="88">J12/100</f>
        <v>-7.8000000000000005E-3</v>
      </c>
      <c r="P12" s="2359">
        <f t="shared" ref="P12" si="89">K12/100</f>
        <v>5.0000000000000001E-3</v>
      </c>
      <c r="Q12" s="2359">
        <f t="shared" ref="Q12" si="90">L12/100</f>
        <v>4.6999999999999993E-3</v>
      </c>
      <c r="R12" s="2375"/>
      <c r="S12" s="2374"/>
      <c r="T12" s="2359"/>
      <c r="U12" s="2359"/>
      <c r="V12" s="2359"/>
      <c r="W12" s="2376"/>
      <c r="X12" s="2376">
        <f>ROUND(IF(项目基本情况!B8="出让",SUMPRODUCT(PRODUCT(1+N12:N$37)),SUMPRODUCT(PRODUCT(1+N12:N$36))),4)</f>
        <v>1.5652999999999999</v>
      </c>
      <c r="Y12" s="2376">
        <f>ROUND(IF(项目基本情况!B8="出让",SUMPRODUCT(PRODUCT(1+O12:O$37)),SUMPRODUCT(PRODUCT(1+O12:O$36))),4)</f>
        <v>1.3472</v>
      </c>
      <c r="Z12" s="2376">
        <f t="shared" ref="Z12" si="91">Y12</f>
        <v>1.3472</v>
      </c>
      <c r="AA12" s="2376">
        <f>ROUND(IF(项目基本情况!B8="出让",SUMPRODUCT(PRODUCT(1+P12:P$37)),SUMPRODUCT(PRODUCT(1+P12:P$36))),4)</f>
        <v>1.6335999999999999</v>
      </c>
      <c r="AB12" s="2376">
        <f>ROUND(IF(项目基本情况!B8="出让",SUMPRODUCT(PRODUCT(1+Q12:Q$37)),SUMPRODUCT(PRODUCT(1+Q12:Q$36))),4)</f>
        <v>1.3880999999999999</v>
      </c>
      <c r="AC12" s="2376"/>
      <c r="AD12" s="2377">
        <f>ROUND(AVERAGE(I12:I$37)/100,4)</f>
        <v>1.8599999999999998E-2</v>
      </c>
      <c r="AE12" s="2377">
        <f>ROUND(AVERAGE(J12:J$37)/100,4)</f>
        <v>1.2500000000000001E-2</v>
      </c>
      <c r="AF12" s="2377">
        <f t="shared" ref="AF12" si="92">AE12</f>
        <v>1.2500000000000001E-2</v>
      </c>
      <c r="AG12" s="2377">
        <f>ROUND(AVERAGE(K12:K$37)/100,4)</f>
        <v>2.0400000000000001E-2</v>
      </c>
      <c r="AH12" s="2377">
        <f>ROUND(AVERAGE(L12:L$37)/100,4)</f>
        <v>1.32E-2</v>
      </c>
    </row>
    <row r="13" spans="1:34" s="2378" customFormat="1">
      <c r="A13" s="2371" t="s">
        <v>2627</v>
      </c>
      <c r="B13" s="2372">
        <f t="shared" ref="B13" si="93">B14*(1+N13)</f>
        <v>479.92259063878413</v>
      </c>
      <c r="C13" s="2372">
        <f t="shared" ref="C13" si="94">C14*(1+O13)</f>
        <v>350.02082268341775</v>
      </c>
      <c r="D13" s="2372">
        <f t="shared" ref="D13" si="95">C13</f>
        <v>350.02082268341775</v>
      </c>
      <c r="E13" s="2372">
        <f t="shared" ref="E13" si="96">E14*(1+P13)</f>
        <v>687.42265944181099</v>
      </c>
      <c r="F13" s="2372">
        <f t="shared" ref="F13" si="97">F14*(1+Q13)</f>
        <v>317.63846657708956</v>
      </c>
      <c r="G13" s="2362">
        <v>2020</v>
      </c>
      <c r="H13" s="2373">
        <v>1</v>
      </c>
      <c r="I13" s="2335">
        <v>0.12</v>
      </c>
      <c r="J13" s="2335">
        <v>-0.4</v>
      </c>
      <c r="K13" s="2335">
        <v>0.21</v>
      </c>
      <c r="L13" s="2336">
        <v>0.27</v>
      </c>
      <c r="M13" s="2358"/>
      <c r="N13" s="2374">
        <f t="shared" ref="N13" si="98">I13/100</f>
        <v>1.1999999999999999E-3</v>
      </c>
      <c r="O13" s="2359">
        <f t="shared" ref="O13" si="99">J13/100</f>
        <v>-4.0000000000000001E-3</v>
      </c>
      <c r="P13" s="2359">
        <f t="shared" ref="P13" si="100">K13/100</f>
        <v>2.0999999999999999E-3</v>
      </c>
      <c r="Q13" s="2359">
        <f t="shared" ref="Q13" si="101">L13/100</f>
        <v>2.7000000000000001E-3</v>
      </c>
      <c r="R13" s="2375"/>
      <c r="S13" s="2374">
        <f>B13/B14-1</f>
        <v>1.2000000000000899E-3</v>
      </c>
      <c r="T13" s="2359">
        <f t="shared" ref="T13" si="102">C13/C14-1</f>
        <v>-4.0000000000000036E-3</v>
      </c>
      <c r="U13" s="2359">
        <f t="shared" ref="U13" si="103">D13/D14-1</f>
        <v>-4.0000000000000036E-3</v>
      </c>
      <c r="V13" s="2359">
        <f t="shared" ref="V13" si="104">E13/E14-1</f>
        <v>2.0999999999999908E-3</v>
      </c>
      <c r="W13" s="2376"/>
      <c r="X13" s="2376">
        <f>ROUND(IF(项目基本情况!B8="出让",SUMPRODUCT(PRODUCT(1+N13:N$37)),SUMPRODUCT(PRODUCT(1+N13:N$36))),4)</f>
        <v>1.5605</v>
      </c>
      <c r="Y13" s="2376">
        <f>ROUND(IF(项目基本情况!B8="出让",SUMPRODUCT(PRODUCT(1+O13:O$37)),SUMPRODUCT(PRODUCT(1+O13:O$36))),4)</f>
        <v>1.3577999999999999</v>
      </c>
      <c r="Z13" s="2376">
        <f t="shared" ref="Z13" si="105">Y13</f>
        <v>1.3577999999999999</v>
      </c>
      <c r="AA13" s="2376">
        <f>ROUND(IF(项目基本情况!B8="出让",SUMPRODUCT(PRODUCT(1+P13:P$37)),SUMPRODUCT(PRODUCT(1+P13:P$36))),4)</f>
        <v>1.6254999999999999</v>
      </c>
      <c r="AB13" s="2376">
        <f>ROUND(IF(项目基本情况!B8="出让",SUMPRODUCT(PRODUCT(1+Q13:Q$37)),SUMPRODUCT(PRODUCT(1+Q13:Q$36))),4)</f>
        <v>1.3815999999999999</v>
      </c>
      <c r="AC13" s="2376"/>
      <c r="AD13" s="2377">
        <f>ROUND(AVERAGE(I13:I$37)/100,4)</f>
        <v>1.9199999999999998E-2</v>
      </c>
      <c r="AE13" s="2377">
        <f>ROUND(AVERAGE(J13:J$37)/100,4)</f>
        <v>1.3299999999999999E-2</v>
      </c>
      <c r="AF13" s="2377">
        <f t="shared" ref="AF13" si="106">AE13</f>
        <v>1.3299999999999999E-2</v>
      </c>
      <c r="AG13" s="2377">
        <f>ROUND(AVERAGE(K13:K$37)/100,4)</f>
        <v>2.1100000000000001E-2</v>
      </c>
      <c r="AH13" s="2377">
        <f>ROUND(AVERAGE(L13:L$37)/100,4)</f>
        <v>1.3599999999999999E-2</v>
      </c>
    </row>
    <row r="14" spans="1:34" s="2378" customFormat="1">
      <c r="A14" s="2371" t="s">
        <v>2626</v>
      </c>
      <c r="B14" s="2372">
        <f t="shared" ref="B14" si="107">B15*(1+N14)</f>
        <v>479.34737379023579</v>
      </c>
      <c r="C14" s="2372">
        <f t="shared" ref="C14" si="108">C15*(1+O14)</f>
        <v>351.4265287986122</v>
      </c>
      <c r="D14" s="2372">
        <f t="shared" ref="D14" si="109">C14</f>
        <v>351.4265287986122</v>
      </c>
      <c r="E14" s="2372">
        <f t="shared" ref="E14" si="110">E15*(1+P14)</f>
        <v>685.98209703803116</v>
      </c>
      <c r="F14" s="2372">
        <f t="shared" ref="F14" si="111">F15*(1+Q14)</f>
        <v>316.78315206651001</v>
      </c>
      <c r="G14" s="2362">
        <v>2019</v>
      </c>
      <c r="H14" s="2373">
        <v>4</v>
      </c>
      <c r="I14" s="2373">
        <v>0.45</v>
      </c>
      <c r="J14" s="2373">
        <v>-0.12</v>
      </c>
      <c r="K14" s="2373">
        <v>0.54</v>
      </c>
      <c r="L14" s="2379">
        <v>0.48</v>
      </c>
      <c r="M14" s="2358"/>
      <c r="N14" s="2374">
        <f t="shared" ref="N14:N19" si="112">I14/100</f>
        <v>4.5000000000000005E-3</v>
      </c>
      <c r="O14" s="2359">
        <f t="shared" ref="O14" si="113">J14/100</f>
        <v>-1.1999999999999999E-3</v>
      </c>
      <c r="P14" s="2359">
        <f t="shared" ref="P14" si="114">K14/100</f>
        <v>5.4000000000000003E-3</v>
      </c>
      <c r="Q14" s="2359">
        <f t="shared" ref="Q14" si="115">L14/100</f>
        <v>4.7999999999999996E-3</v>
      </c>
      <c r="R14" s="2375"/>
      <c r="S14" s="2374"/>
      <c r="T14" s="2359"/>
      <c r="U14" s="2359"/>
      <c r="V14" s="2359"/>
      <c r="W14" s="2376"/>
      <c r="X14" s="2376">
        <f>ROUND(IF(项目基本情况!B8="出让",SUMPRODUCT(PRODUCT(1+N14:N$37)),SUMPRODUCT(PRODUCT(1+N14:N$36))),4)</f>
        <v>1.5586</v>
      </c>
      <c r="Y14" s="2376">
        <f>ROUND(IF(项目基本情况!B8="出让",SUMPRODUCT(PRODUCT(1+O14:O$37)),SUMPRODUCT(PRODUCT(1+O14:O$36))),4)</f>
        <v>1.3633</v>
      </c>
      <c r="Z14" s="2376">
        <f t="shared" ref="Z14" si="116">Y14</f>
        <v>1.3633</v>
      </c>
      <c r="AA14" s="2376">
        <f>ROUND(IF(项目基本情况!B8="出让",SUMPRODUCT(PRODUCT(1+P14:P$37)),SUMPRODUCT(PRODUCT(1+P14:P$36))),4)</f>
        <v>1.6221000000000001</v>
      </c>
      <c r="AB14" s="2376">
        <f>ROUND(IF(项目基本情况!B8="出让",SUMPRODUCT(PRODUCT(1+Q14:Q$37)),SUMPRODUCT(PRODUCT(1+Q14:Q$36))),4)</f>
        <v>1.3777999999999999</v>
      </c>
      <c r="AC14" s="2376"/>
      <c r="AD14" s="2377">
        <f>ROUND(AVERAGE(I14:I$37)/100,4)</f>
        <v>0.02</v>
      </c>
      <c r="AE14" s="2377">
        <f>ROUND(AVERAGE(J14:J$37)/100,4)</f>
        <v>1.4E-2</v>
      </c>
      <c r="AF14" s="2377">
        <f t="shared" ref="AF14" si="117">AE14</f>
        <v>1.4E-2</v>
      </c>
      <c r="AG14" s="2377">
        <f>ROUND(AVERAGE(K14:K$37)/100,4)</f>
        <v>2.1899999999999999E-2</v>
      </c>
      <c r="AH14" s="2377">
        <f>ROUND(AVERAGE(L14:L$37)/100,4)</f>
        <v>1.4E-2</v>
      </c>
    </row>
    <row r="15" spans="1:34" s="2378" customFormat="1" ht="13.5" thickBot="1">
      <c r="A15" s="2371" t="s">
        <v>2625</v>
      </c>
      <c r="B15" s="2372">
        <f t="shared" ref="B15" si="118">B16*(1+N15)</f>
        <v>477.19997390765138</v>
      </c>
      <c r="C15" s="2372">
        <f t="shared" ref="C15" si="119">C16*(1+O15)</f>
        <v>351.84874729536665</v>
      </c>
      <c r="D15" s="2372">
        <f t="shared" ref="D15" si="120">C15</f>
        <v>351.84874729536665</v>
      </c>
      <c r="E15" s="2372">
        <f t="shared" ref="E15" si="121">E16*(1+P15)</f>
        <v>682.29768951465201</v>
      </c>
      <c r="F15" s="2372">
        <f t="shared" ref="F15" si="122">F16*(1+Q15)</f>
        <v>315.26985675409043</v>
      </c>
      <c r="G15" s="2362">
        <v>2019</v>
      </c>
      <c r="H15" s="2373">
        <v>3</v>
      </c>
      <c r="I15" s="2373">
        <v>0.61</v>
      </c>
      <c r="J15" s="2373">
        <v>0.67</v>
      </c>
      <c r="K15" s="2373">
        <v>0.6</v>
      </c>
      <c r="L15" s="2379">
        <v>1.03</v>
      </c>
      <c r="M15" s="2358"/>
      <c r="N15" s="2374">
        <f t="shared" si="112"/>
        <v>6.0999999999999995E-3</v>
      </c>
      <c r="O15" s="2359">
        <f t="shared" ref="O15" si="123">J15/100</f>
        <v>6.7000000000000002E-3</v>
      </c>
      <c r="P15" s="2359">
        <f t="shared" ref="P15" si="124">K15/100</f>
        <v>6.0000000000000001E-3</v>
      </c>
      <c r="Q15" s="2359">
        <f t="shared" ref="Q15" si="125">L15/100</f>
        <v>1.03E-2</v>
      </c>
      <c r="R15" s="2375"/>
      <c r="S15" s="2374"/>
      <c r="T15" s="2359"/>
      <c r="U15" s="2359"/>
      <c r="V15" s="2359"/>
      <c r="W15" s="2376"/>
      <c r="X15" s="2376">
        <f>ROUND(IF(项目基本情况!B8="出让",SUMPRODUCT(PRODUCT(1+N15:N$37)),SUMPRODUCT(PRODUCT(1+N15:N$36))),4)</f>
        <v>1.5516000000000001</v>
      </c>
      <c r="Y15" s="2376">
        <f>ROUND(IF(项目基本情况!B8="出让",SUMPRODUCT(PRODUCT(1+O15:O$37)),SUMPRODUCT(PRODUCT(1+O15:O$36))),4)</f>
        <v>1.3649</v>
      </c>
      <c r="Z15" s="2376">
        <f t="shared" ref="Z15" si="126">Y15</f>
        <v>1.3649</v>
      </c>
      <c r="AA15" s="2376">
        <f>ROUND(IF(项目基本情况!B8="出让",SUMPRODUCT(PRODUCT(1+P15:P$37)),SUMPRODUCT(PRODUCT(1+P15:P$36))),4)</f>
        <v>1.6133999999999999</v>
      </c>
      <c r="AB15" s="2376">
        <f>ROUND(IF(项目基本情况!B8="出让",SUMPRODUCT(PRODUCT(1+Q15:Q$37)),SUMPRODUCT(PRODUCT(1+Q15:Q$36))),4)</f>
        <v>1.3713</v>
      </c>
      <c r="AC15" s="2376"/>
      <c r="AD15" s="2377">
        <f>ROUND(AVERAGE(I15:I$37)/100,4)</f>
        <v>2.07E-2</v>
      </c>
      <c r="AE15" s="2377">
        <f>ROUND(AVERAGE(J15:J$37)/100,4)</f>
        <v>1.47E-2</v>
      </c>
      <c r="AF15" s="2377">
        <f t="shared" ref="AF15" si="127">AE15</f>
        <v>1.47E-2</v>
      </c>
      <c r="AG15" s="2377">
        <f>ROUND(AVERAGE(K15:K$37)/100,4)</f>
        <v>2.2599999999999999E-2</v>
      </c>
      <c r="AH15" s="2377">
        <f>ROUND(AVERAGE(L15:L$37)/100,4)</f>
        <v>1.44E-2</v>
      </c>
    </row>
    <row r="16" spans="1:34" s="2378" customFormat="1">
      <c r="A16" s="2371" t="s">
        <v>2623</v>
      </c>
      <c r="B16" s="2372">
        <f t="shared" ref="B16" si="128">B17*(1+N16)</f>
        <v>474.30670301923408</v>
      </c>
      <c r="C16" s="2372">
        <f t="shared" ref="C16" si="129">C17*(1+O16)</f>
        <v>349.50705005996491</v>
      </c>
      <c r="D16" s="2372">
        <f t="shared" ref="D16" si="130">C16</f>
        <v>349.50705005996491</v>
      </c>
      <c r="E16" s="2372">
        <f t="shared" ref="E16" si="131">E17*(1+P16)</f>
        <v>678.22831959706957</v>
      </c>
      <c r="F16" s="2372">
        <f t="shared" ref="F16" si="132">F17*(1+Q16)</f>
        <v>312.0556832169558</v>
      </c>
      <c r="G16" s="2362">
        <v>2019</v>
      </c>
      <c r="H16" s="2380">
        <v>2</v>
      </c>
      <c r="I16" s="2380">
        <v>1.53</v>
      </c>
      <c r="J16" s="2380">
        <v>1.01</v>
      </c>
      <c r="K16" s="2380">
        <v>1.62</v>
      </c>
      <c r="L16" s="2381">
        <v>1.25</v>
      </c>
      <c r="M16" s="2358"/>
      <c r="N16" s="2374">
        <f t="shared" si="112"/>
        <v>1.5300000000000001E-2</v>
      </c>
      <c r="O16" s="2359">
        <f t="shared" ref="O16" si="133">J16/100</f>
        <v>1.01E-2</v>
      </c>
      <c r="P16" s="2359">
        <f t="shared" ref="P16" si="134">K16/100</f>
        <v>1.6200000000000003E-2</v>
      </c>
      <c r="Q16" s="2359">
        <f t="shared" ref="Q16" si="135">L16/100</f>
        <v>1.2500000000000001E-2</v>
      </c>
      <c r="R16" s="2375"/>
      <c r="S16" s="2374"/>
      <c r="T16" s="2359"/>
      <c r="U16" s="2359"/>
      <c r="V16" s="2359"/>
      <c r="W16" s="2376"/>
      <c r="X16" s="2376">
        <f>ROUND(IF(项目基本情况!B8="出让",SUMPRODUCT(PRODUCT(1+N16:N$37)),SUMPRODUCT(PRODUCT(1+N16:N$36))),4)</f>
        <v>1.5422</v>
      </c>
      <c r="Y16" s="2376">
        <f>ROUND(IF(项目基本情况!B8="出让",SUMPRODUCT(PRODUCT(1+O16:O$37)),SUMPRODUCT(PRODUCT(1+O16:O$36))),4)</f>
        <v>1.3557999999999999</v>
      </c>
      <c r="Z16" s="2376">
        <f t="shared" ref="Z16" si="136">Y16</f>
        <v>1.3557999999999999</v>
      </c>
      <c r="AA16" s="2376">
        <f>ROUND(IF(项目基本情况!B8="出让",SUMPRODUCT(PRODUCT(1+P16:P$37)),SUMPRODUCT(PRODUCT(1+P16:P$36))),4)</f>
        <v>1.6036999999999999</v>
      </c>
      <c r="AB16" s="2376">
        <f>ROUND(IF(项目基本情况!B8="出让",SUMPRODUCT(PRODUCT(1+Q16:Q$37)),SUMPRODUCT(PRODUCT(1+Q16:Q$36))),4)</f>
        <v>1.3573</v>
      </c>
      <c r="AC16" s="2376"/>
      <c r="AD16" s="2377">
        <f>ROUND(AVERAGE(I16:I$37)/100,4)</f>
        <v>2.1299999999999999E-2</v>
      </c>
      <c r="AE16" s="2377">
        <f>ROUND(AVERAGE(J16:J$37)/100,4)</f>
        <v>1.4999999999999999E-2</v>
      </c>
      <c r="AF16" s="2377">
        <f t="shared" ref="AF16" si="137">AE16</f>
        <v>1.4999999999999999E-2</v>
      </c>
      <c r="AG16" s="2377">
        <f>ROUND(AVERAGE(K16:K$37)/100,4)</f>
        <v>2.3300000000000001E-2</v>
      </c>
      <c r="AH16" s="2377">
        <f>ROUND(AVERAGE(L16:L$37)/100,4)</f>
        <v>1.46E-2</v>
      </c>
    </row>
    <row r="17" spans="1:34" s="2378" customFormat="1" ht="13.5" thickBot="1">
      <c r="A17" s="2371" t="s">
        <v>2621</v>
      </c>
      <c r="B17" s="2372">
        <f t="shared" ref="B17" si="138">B18*(1+N17)</f>
        <v>467.15916775261894</v>
      </c>
      <c r="C17" s="2372">
        <f t="shared" ref="C17" si="139">C18*(1+O17)</f>
        <v>346.01232557169084</v>
      </c>
      <c r="D17" s="2372">
        <f t="shared" ref="D17" si="140">C17</f>
        <v>346.01232557169084</v>
      </c>
      <c r="E17" s="2372">
        <f t="shared" ref="E17" si="141">E18*(1+P17)</f>
        <v>667.41617752122568</v>
      </c>
      <c r="F17" s="2372">
        <f t="shared" ref="F17" si="142">F18*(1+Q17)</f>
        <v>308.20314391798104</v>
      </c>
      <c r="G17" s="2362">
        <v>2019</v>
      </c>
      <c r="H17" s="2373">
        <v>1</v>
      </c>
      <c r="I17" s="2373">
        <v>0.6</v>
      </c>
      <c r="J17" s="2373">
        <v>0.37</v>
      </c>
      <c r="K17" s="2373">
        <v>0.63</v>
      </c>
      <c r="L17" s="2379">
        <v>1.1299999999999999</v>
      </c>
      <c r="M17" s="2358"/>
      <c r="N17" s="2374">
        <f t="shared" si="112"/>
        <v>6.0000000000000001E-3</v>
      </c>
      <c r="O17" s="2359">
        <f t="shared" ref="O17" si="143">J17/100</f>
        <v>3.7000000000000002E-3</v>
      </c>
      <c r="P17" s="2359">
        <f t="shared" ref="P17" si="144">K17/100</f>
        <v>6.3E-3</v>
      </c>
      <c r="Q17" s="2359">
        <f t="shared" ref="Q17" si="145">L17/100</f>
        <v>1.1299999999999999E-2</v>
      </c>
      <c r="R17" s="2375"/>
      <c r="S17" s="2374">
        <f>B17/B18-1</f>
        <v>6.0000000000000053E-3</v>
      </c>
      <c r="T17" s="2359">
        <f t="shared" ref="T17" si="146">C17/C18-1</f>
        <v>3.7000000000000366E-3</v>
      </c>
      <c r="U17" s="2359">
        <f t="shared" ref="U17" si="147">D17/D18-1</f>
        <v>3.7000000000000366E-3</v>
      </c>
      <c r="V17" s="2359">
        <f t="shared" ref="V17" si="148">E17/E18-1</f>
        <v>6.2999999999999723E-3</v>
      </c>
      <c r="W17" s="2376"/>
      <c r="X17" s="2376">
        <f>ROUND(IF(项目基本情况!B8="出让",SUMPRODUCT(PRODUCT(1+N17:N$37)),SUMPRODUCT(PRODUCT(1+N17:N$36))),4)</f>
        <v>1.5189999999999999</v>
      </c>
      <c r="Y17" s="2376">
        <f>ROUND(IF(项目基本情况!B8="出让",SUMPRODUCT(PRODUCT(1+O17:O$37)),SUMPRODUCT(PRODUCT(1+O17:O$36))),4)</f>
        <v>1.3423</v>
      </c>
      <c r="Z17" s="2376">
        <f t="shared" ref="Z17" si="149">Y17</f>
        <v>1.3423</v>
      </c>
      <c r="AA17" s="2376">
        <f>ROUND(IF(项目基本情况!B8="出让",SUMPRODUCT(PRODUCT(1+P17:P$37)),SUMPRODUCT(PRODUCT(1+P17:P$36))),4)</f>
        <v>1.5782</v>
      </c>
      <c r="AB17" s="2376">
        <f>ROUND(IF(项目基本情况!B8="出让",SUMPRODUCT(PRODUCT(1+Q17:Q$37)),SUMPRODUCT(PRODUCT(1+Q17:Q$36))),4)</f>
        <v>1.3405</v>
      </c>
      <c r="AC17" s="2376"/>
      <c r="AD17" s="2377">
        <f>ROUND(AVERAGE(I17:I$37)/100,4)</f>
        <v>2.1600000000000001E-2</v>
      </c>
      <c r="AE17" s="2377">
        <f>ROUND(AVERAGE(J17:J$37)/100,4)</f>
        <v>1.5299999999999999E-2</v>
      </c>
      <c r="AF17" s="2377">
        <f t="shared" ref="AF17" si="150">AE17</f>
        <v>1.5299999999999999E-2</v>
      </c>
      <c r="AG17" s="2377">
        <f>ROUND(AVERAGE(K17:K$37)/100,4)</f>
        <v>2.3699999999999999E-2</v>
      </c>
      <c r="AH17" s="2377">
        <f>ROUND(AVERAGE(L17:L$37)/100,4)</f>
        <v>1.47E-2</v>
      </c>
    </row>
    <row r="18" spans="1:34" s="2378" customFormat="1">
      <c r="A18" s="2371" t="s">
        <v>2624</v>
      </c>
      <c r="B18" s="2382">
        <f t="shared" ref="B18" si="151">B19*(1+N18)</f>
        <v>464.37293017158942</v>
      </c>
      <c r="C18" s="2382">
        <f t="shared" ref="C18" si="152">C19*(1+O18)</f>
        <v>344.73679941385956</v>
      </c>
      <c r="D18" s="2382">
        <f t="shared" ref="D18" si="153">C18</f>
        <v>344.73679941385956</v>
      </c>
      <c r="E18" s="2382">
        <f t="shared" ref="E18" si="154">E19*(1+P18)</f>
        <v>663.2377795103107</v>
      </c>
      <c r="F18" s="2383">
        <f t="shared" ref="F18" si="155">F19*(1+Q18)</f>
        <v>304.75936311478398</v>
      </c>
      <c r="G18" s="3599">
        <v>2018</v>
      </c>
      <c r="H18" s="2380">
        <v>4</v>
      </c>
      <c r="I18" s="2380">
        <v>0.96</v>
      </c>
      <c r="J18" s="2380">
        <v>1.03</v>
      </c>
      <c r="K18" s="2380">
        <v>0.92</v>
      </c>
      <c r="L18" s="2381">
        <v>1.29</v>
      </c>
      <c r="M18" s="2358"/>
      <c r="N18" s="2374">
        <f t="shared" si="112"/>
        <v>9.5999999999999992E-3</v>
      </c>
      <c r="O18" s="2359">
        <f t="shared" ref="O18" si="156">J18/100</f>
        <v>1.03E-2</v>
      </c>
      <c r="P18" s="2359">
        <f t="shared" ref="P18" si="157">K18/100</f>
        <v>9.1999999999999998E-3</v>
      </c>
      <c r="Q18" s="2359">
        <f t="shared" ref="Q18" si="158">L18/100</f>
        <v>1.29E-2</v>
      </c>
      <c r="R18" s="2375"/>
      <c r="S18" s="2374"/>
      <c r="T18" s="2359"/>
      <c r="U18" s="2359"/>
      <c r="V18" s="2359"/>
      <c r="W18" s="2376"/>
      <c r="X18" s="2376">
        <f>ROUND(SUMPRODUCT(PRODUCT(1+N18:N$36)),4)</f>
        <v>1.5099</v>
      </c>
      <c r="Y18" s="2376">
        <f>ROUND(SUMPRODUCT(PRODUCT(1+O18:O$36)),4)</f>
        <v>1.3372999999999999</v>
      </c>
      <c r="Z18" s="2376">
        <f t="shared" ref="Z18" si="159">Y18</f>
        <v>1.3372999999999999</v>
      </c>
      <c r="AA18" s="2376">
        <f>ROUND(SUMPRODUCT(PRODUCT(1+P18:P$36)),4)</f>
        <v>1.5683</v>
      </c>
      <c r="AB18" s="2376">
        <f>ROUND(SUMPRODUCT(PRODUCT(1+Q18:Q$36)),4)</f>
        <v>1.3255999999999999</v>
      </c>
      <c r="AC18" s="2376"/>
      <c r="AD18" s="2377">
        <f>ROUND(AVERAGE(I18:I$37)/100,4)</f>
        <v>2.24E-2</v>
      </c>
      <c r="AE18" s="2377">
        <f>ROUND(AVERAGE(J18:J$37)/100,4)</f>
        <v>1.5800000000000002E-2</v>
      </c>
      <c r="AF18" s="2377">
        <f t="shared" ref="AF18" si="160">AE18</f>
        <v>1.5800000000000002E-2</v>
      </c>
      <c r="AG18" s="2377">
        <f>ROUND(AVERAGE(K18:K$37)/100,4)</f>
        <v>2.4500000000000001E-2</v>
      </c>
      <c r="AH18" s="2377">
        <f>ROUND(AVERAGE(L18:L$37)/100,4)</f>
        <v>1.49E-2</v>
      </c>
    </row>
    <row r="19" spans="1:34" s="2378" customFormat="1" ht="14.45" customHeight="1">
      <c r="A19" s="2371" t="s">
        <v>2619</v>
      </c>
      <c r="B19" s="2372">
        <f t="shared" ref="B19" si="161">B20*(1+N19)</f>
        <v>459.95733971036987</v>
      </c>
      <c r="C19" s="2372">
        <f t="shared" ref="C19" si="162">C20*(1+O19)</f>
        <v>341.22221064422405</v>
      </c>
      <c r="D19" s="2372">
        <f t="shared" ref="D19" si="163">C19</f>
        <v>341.22221064422405</v>
      </c>
      <c r="E19" s="2372">
        <f t="shared" ref="E19" si="164">E20*(1+P19)</f>
        <v>657.19161663724799</v>
      </c>
      <c r="F19" s="2372">
        <f t="shared" ref="F19" si="165">F20*(1+Q19)</f>
        <v>300.87803644464805</v>
      </c>
      <c r="G19" s="3599"/>
      <c r="H19" s="2373">
        <v>3</v>
      </c>
      <c r="I19" s="2373">
        <v>1.51</v>
      </c>
      <c r="J19" s="2373">
        <v>1.41</v>
      </c>
      <c r="K19" s="2373">
        <v>1.52</v>
      </c>
      <c r="L19" s="2379">
        <v>1.74</v>
      </c>
      <c r="M19" s="2358"/>
      <c r="N19" s="2374">
        <f t="shared" si="112"/>
        <v>1.5100000000000001E-2</v>
      </c>
      <c r="O19" s="2359">
        <f t="shared" ref="O19" si="166">J19/100</f>
        <v>1.41E-2</v>
      </c>
      <c r="P19" s="2359">
        <f t="shared" ref="P19" si="167">K19/100</f>
        <v>1.52E-2</v>
      </c>
      <c r="Q19" s="2359">
        <f t="shared" ref="Q19" si="168">L19/100</f>
        <v>1.7399999999999999E-2</v>
      </c>
      <c r="R19" s="2375"/>
      <c r="S19" s="2374"/>
      <c r="T19" s="2359"/>
      <c r="U19" s="2359"/>
      <c r="V19" s="2359"/>
      <c r="W19" s="2376"/>
      <c r="X19" s="2376">
        <f>ROUND(SUMPRODUCT(PRODUCT(1+N19:N$36)),4)</f>
        <v>1.4956</v>
      </c>
      <c r="Y19" s="2376">
        <f>ROUND(SUMPRODUCT(PRODUCT(1+O19:O$36)),4)</f>
        <v>1.3237000000000001</v>
      </c>
      <c r="Z19" s="2376">
        <f t="shared" ref="Z19" si="169">Y19</f>
        <v>1.3237000000000001</v>
      </c>
      <c r="AA19" s="2376">
        <f>ROUND(SUMPRODUCT(PRODUCT(1+P19:P$36)),4)</f>
        <v>1.554</v>
      </c>
      <c r="AB19" s="2376">
        <f>ROUND(SUMPRODUCT(PRODUCT(1+Q19:Q$36)),4)</f>
        <v>1.3087</v>
      </c>
      <c r="AC19" s="2376"/>
      <c r="AD19" s="2377">
        <f>ROUND(AVERAGE(I19:I$37)/100,4)</f>
        <v>2.3099999999999999E-2</v>
      </c>
      <c r="AE19" s="2377">
        <f>ROUND(AVERAGE(J19:J$37)/100,4)</f>
        <v>1.61E-2</v>
      </c>
      <c r="AF19" s="2377">
        <f t="shared" ref="AF19" si="170">AE19</f>
        <v>1.61E-2</v>
      </c>
      <c r="AG19" s="2377">
        <f>ROUND(AVERAGE(K19:K$37)/100,4)</f>
        <v>2.53E-2</v>
      </c>
      <c r="AH19" s="2377">
        <f>ROUND(AVERAGE(L19:L$37)/100,4)</f>
        <v>1.4999999999999999E-2</v>
      </c>
    </row>
    <row r="20" spans="1:34" s="2378" customFormat="1" ht="14.45" customHeight="1">
      <c r="A20" s="2371" t="s">
        <v>2618</v>
      </c>
      <c r="B20" s="2372">
        <f t="shared" ref="B20" si="171">B21*(1+N20)</f>
        <v>453.11529869999993</v>
      </c>
      <c r="C20" s="2372">
        <f t="shared" ref="C20" si="172">C21*(1+O20)</f>
        <v>336.47787264000004</v>
      </c>
      <c r="D20" s="2372">
        <f t="shared" ref="D20" si="173">C20</f>
        <v>336.47787264000004</v>
      </c>
      <c r="E20" s="2372">
        <f t="shared" ref="E20" si="174">E21*(1+P20)</f>
        <v>647.35186823999993</v>
      </c>
      <c r="F20" s="2372">
        <f t="shared" ref="F20" si="175">F21*(1+Q20)</f>
        <v>295.73229452000004</v>
      </c>
      <c r="G20" s="3599"/>
      <c r="H20" s="2384">
        <v>2</v>
      </c>
      <c r="I20" s="2384">
        <v>1.49</v>
      </c>
      <c r="J20" s="2384">
        <v>0.96</v>
      </c>
      <c r="K20" s="2384">
        <v>1.58</v>
      </c>
      <c r="L20" s="2385">
        <v>2.44</v>
      </c>
      <c r="M20" s="2358"/>
      <c r="N20" s="2374">
        <f t="shared" ref="N20" si="176">I20/100</f>
        <v>1.49E-2</v>
      </c>
      <c r="O20" s="2359">
        <f t="shared" ref="O20" si="177">J20/100</f>
        <v>9.5999999999999992E-3</v>
      </c>
      <c r="P20" s="2359">
        <f t="shared" ref="P20" si="178">K20/100</f>
        <v>1.5800000000000002E-2</v>
      </c>
      <c r="Q20" s="2359">
        <f t="shared" ref="Q20" si="179">L20/100</f>
        <v>2.4399999999999998E-2</v>
      </c>
      <c r="R20" s="2375"/>
      <c r="S20" s="2374"/>
      <c r="T20" s="2359"/>
      <c r="U20" s="2359"/>
      <c r="V20" s="2359"/>
      <c r="W20" s="2376"/>
      <c r="X20" s="2376">
        <f>ROUND(SUMPRODUCT(PRODUCT(1+N20:N$36)),4)</f>
        <v>1.4733000000000001</v>
      </c>
      <c r="Y20" s="2376">
        <f>ROUND(SUMPRODUCT(PRODUCT(1+O20:O$36)),4)</f>
        <v>1.3052999999999999</v>
      </c>
      <c r="Z20" s="2376">
        <f t="shared" ref="Z20" si="180">Y20</f>
        <v>1.3052999999999999</v>
      </c>
      <c r="AA20" s="2376">
        <f>ROUND(SUMPRODUCT(PRODUCT(1+P20:P$36)),4)</f>
        <v>1.5306999999999999</v>
      </c>
      <c r="AB20" s="2376">
        <f>ROUND(SUMPRODUCT(PRODUCT(1+Q20:Q$36)),4)</f>
        <v>1.2863</v>
      </c>
      <c r="AC20" s="2376"/>
      <c r="AD20" s="2377">
        <f>ROUND(AVERAGE(I20:I$37)/100,4)</f>
        <v>2.35E-2</v>
      </c>
      <c r="AE20" s="2377">
        <f>ROUND(AVERAGE(J20:J$37)/100,4)</f>
        <v>1.6199999999999999E-2</v>
      </c>
      <c r="AF20" s="2377">
        <f t="shared" ref="AF20" si="181">AE20</f>
        <v>1.6199999999999999E-2</v>
      </c>
      <c r="AG20" s="2377">
        <f>ROUND(AVERAGE(K20:K$37)/100,4)</f>
        <v>2.5899999999999999E-2</v>
      </c>
      <c r="AH20" s="2377">
        <f>ROUND(AVERAGE(L20:L$37)/100,4)</f>
        <v>1.49E-2</v>
      </c>
    </row>
    <row r="21" spans="1:34" s="2378" customFormat="1" ht="15" customHeight="1" thickBot="1">
      <c r="A21" s="2371" t="s">
        <v>2611</v>
      </c>
      <c r="B21" s="2372">
        <f t="shared" ref="B21" si="182">B22*(1+N21)</f>
        <v>446.46299999999997</v>
      </c>
      <c r="C21" s="2372">
        <f t="shared" ref="C21" si="183">C22*(1+O21)</f>
        <v>333.27840000000003</v>
      </c>
      <c r="D21" s="2372">
        <f t="shared" ref="D21" si="184">C21</f>
        <v>333.27840000000003</v>
      </c>
      <c r="E21" s="2372">
        <f t="shared" ref="E21" si="185">E22*(1+P21)</f>
        <v>637.28279999999995</v>
      </c>
      <c r="F21" s="2372">
        <f t="shared" ref="F21" si="186">F22*(1+Q21)</f>
        <v>288.68830000000003</v>
      </c>
      <c r="G21" s="3606"/>
      <c r="H21" s="2373">
        <v>1</v>
      </c>
      <c r="I21" s="2373">
        <v>1.7</v>
      </c>
      <c r="J21" s="2373">
        <v>1.92</v>
      </c>
      <c r="K21" s="2373">
        <v>1.64</v>
      </c>
      <c r="L21" s="2379">
        <v>2.0099999999999998</v>
      </c>
      <c r="M21" s="2358"/>
      <c r="N21" s="2374">
        <f t="shared" ref="N21:N26" si="187">I21/100</f>
        <v>1.7000000000000001E-2</v>
      </c>
      <c r="O21" s="2359">
        <f t="shared" ref="O21" si="188">J21/100</f>
        <v>1.9199999999999998E-2</v>
      </c>
      <c r="P21" s="2359">
        <f t="shared" ref="P21" si="189">K21/100</f>
        <v>1.6399999999999998E-2</v>
      </c>
      <c r="Q21" s="2359">
        <f t="shared" ref="Q21" si="190">L21/100</f>
        <v>2.0099999999999996E-2</v>
      </c>
      <c r="R21" s="2375"/>
      <c r="S21" s="2374">
        <f>B21/B22-1</f>
        <v>1.6999999999999904E-2</v>
      </c>
      <c r="T21" s="2359">
        <f t="shared" ref="T21" si="191">C21/C22-1</f>
        <v>1.9200000000000106E-2</v>
      </c>
      <c r="U21" s="2359">
        <f t="shared" ref="U21" si="192">D21/D22-1</f>
        <v>1.9200000000000106E-2</v>
      </c>
      <c r="V21" s="2359">
        <f t="shared" ref="V21" si="193">E21/E22-1</f>
        <v>1.639999999999997E-2</v>
      </c>
      <c r="W21" s="2376"/>
      <c r="X21" s="2376">
        <f>ROUND(SUMPRODUCT(PRODUCT(1+N21:N$36)),4)</f>
        <v>1.4517</v>
      </c>
      <c r="Y21" s="2376">
        <f>ROUND(SUMPRODUCT(PRODUCT(1+O21:O$36)),4)</f>
        <v>1.2928999999999999</v>
      </c>
      <c r="Z21" s="2376">
        <f t="shared" ref="Z21" si="194">Y21</f>
        <v>1.2928999999999999</v>
      </c>
      <c r="AA21" s="2376">
        <f>ROUND(SUMPRODUCT(PRODUCT(1+P21:P$36)),4)</f>
        <v>1.5068999999999999</v>
      </c>
      <c r="AB21" s="2376">
        <f>ROUND(SUMPRODUCT(PRODUCT(1+Q21:Q$36)),4)</f>
        <v>1.2557</v>
      </c>
      <c r="AC21" s="2376"/>
      <c r="AD21" s="2377">
        <f>ROUND(AVERAGE(I21:I$37)/100,4)</f>
        <v>2.4E-2</v>
      </c>
      <c r="AE21" s="2377">
        <f>ROUND(AVERAGE(J21:J$37)/100,4)</f>
        <v>1.66E-2</v>
      </c>
      <c r="AF21" s="2377">
        <f t="shared" ref="AF21" si="195">AE21</f>
        <v>1.66E-2</v>
      </c>
      <c r="AG21" s="2377">
        <f>ROUND(AVERAGE(K21:K$37)/100,4)</f>
        <v>2.6499999999999999E-2</v>
      </c>
      <c r="AH21" s="2377">
        <f>ROUND(AVERAGE(L21:L$37)/100,4)</f>
        <v>1.43E-2</v>
      </c>
    </row>
    <row r="22" spans="1:34">
      <c r="A22" s="2371" t="s">
        <v>2609</v>
      </c>
      <c r="B22" s="2386">
        <v>439</v>
      </c>
      <c r="C22" s="2386">
        <v>327</v>
      </c>
      <c r="D22" s="2386">
        <f>C22</f>
        <v>327</v>
      </c>
      <c r="E22" s="2386">
        <v>627</v>
      </c>
      <c r="F22" s="2387">
        <v>283</v>
      </c>
      <c r="G22" s="3602">
        <v>2017</v>
      </c>
      <c r="H22" s="2380">
        <v>4</v>
      </c>
      <c r="I22" s="2380">
        <v>1.71</v>
      </c>
      <c r="J22" s="2380">
        <v>1.78</v>
      </c>
      <c r="K22" s="2380">
        <v>1.71</v>
      </c>
      <c r="L22" s="2381">
        <v>1.43</v>
      </c>
      <c r="N22" s="2374">
        <f t="shared" si="187"/>
        <v>1.7100000000000001E-2</v>
      </c>
      <c r="O22" s="2359">
        <f t="shared" ref="O22" si="196">J22/100</f>
        <v>1.78E-2</v>
      </c>
      <c r="P22" s="2359">
        <f t="shared" ref="P22" si="197">K22/100</f>
        <v>1.7100000000000001E-2</v>
      </c>
      <c r="Q22" s="2359">
        <f t="shared" ref="Q22" si="198">L22/100</f>
        <v>1.43E-2</v>
      </c>
      <c r="R22" s="2375"/>
      <c r="S22" s="2388"/>
      <c r="T22" s="2389"/>
      <c r="U22" s="2389"/>
      <c r="V22" s="2389"/>
      <c r="X22" s="2358">
        <f>ROUND(SUMPRODUCT(PRODUCT(1+N22:N$36)),4)</f>
        <v>1.4274</v>
      </c>
      <c r="Y22" s="2358">
        <f>ROUND(SUMPRODUCT(PRODUCT(1+O22:O$36)),4)</f>
        <v>1.2685</v>
      </c>
      <c r="Z22" s="2358">
        <f t="shared" si="0"/>
        <v>1.2685</v>
      </c>
      <c r="AA22" s="2358">
        <f>ROUND(SUMPRODUCT(PRODUCT(1+P22:P$36)),4)</f>
        <v>1.4825999999999999</v>
      </c>
      <c r="AB22" s="2358">
        <f>ROUND(SUMPRODUCT(PRODUCT(1+Q22:Q$36)),4)</f>
        <v>1.2309000000000001</v>
      </c>
      <c r="AD22" s="2359">
        <f>ROUND(AVERAGE(I22:I$37)/100,4)</f>
        <v>2.4500000000000001E-2</v>
      </c>
      <c r="AE22" s="2359">
        <f>ROUND(AVERAGE(J22:J$37)/100,4)</f>
        <v>1.6500000000000001E-2</v>
      </c>
      <c r="AF22" s="2359">
        <f t="shared" si="1"/>
        <v>1.6500000000000001E-2</v>
      </c>
      <c r="AG22" s="2359">
        <f>ROUND(AVERAGE(K22:K$37)/100,4)</f>
        <v>2.7099999999999999E-2</v>
      </c>
      <c r="AH22" s="2359">
        <f>ROUND(AVERAGE(L22:L$37)/100,4)</f>
        <v>1.3899999999999999E-2</v>
      </c>
    </row>
    <row r="23" spans="1:34" s="2378" customFormat="1" ht="14.45" customHeight="1">
      <c r="A23" s="2371" t="s">
        <v>2610</v>
      </c>
      <c r="B23" s="2372">
        <f t="shared" ref="B23:B24" si="199">B24*(1+N23)</f>
        <v>431.80730811680002</v>
      </c>
      <c r="C23" s="2372">
        <f t="shared" ref="C23:C24" si="200">C24*(1+O23)</f>
        <v>320.57880516480003</v>
      </c>
      <c r="D23" s="2372">
        <f t="shared" ref="D23:D24" si="201">C23</f>
        <v>320.57880516480003</v>
      </c>
      <c r="E23" s="2372">
        <f t="shared" ref="E23:E24" si="202">E24*(1+P23)</f>
        <v>615.96110553196797</v>
      </c>
      <c r="F23" s="2372">
        <f t="shared" ref="F23:F24" si="203">F24*(1+Q23)</f>
        <v>279.46777300108801</v>
      </c>
      <c r="G23" s="3599"/>
      <c r="H23" s="2373">
        <v>3</v>
      </c>
      <c r="I23" s="2373">
        <v>2.98</v>
      </c>
      <c r="J23" s="2373">
        <v>2.11</v>
      </c>
      <c r="K23" s="2373">
        <v>3.24</v>
      </c>
      <c r="L23" s="2379">
        <v>1.72</v>
      </c>
      <c r="M23" s="2358"/>
      <c r="N23" s="2374">
        <f t="shared" si="187"/>
        <v>2.98E-2</v>
      </c>
      <c r="O23" s="2359">
        <f t="shared" ref="O23" si="204">J23/100</f>
        <v>2.1099999999999997E-2</v>
      </c>
      <c r="P23" s="2359">
        <f t="shared" ref="P23" si="205">K23/100</f>
        <v>3.2400000000000005E-2</v>
      </c>
      <c r="Q23" s="2359">
        <f t="shared" ref="Q23" si="206">L23/100</f>
        <v>1.72E-2</v>
      </c>
      <c r="R23" s="2375"/>
      <c r="S23" s="2374"/>
      <c r="T23" s="2359"/>
      <c r="U23" s="2359"/>
      <c r="V23" s="2359"/>
      <c r="W23" s="2376"/>
      <c r="X23" s="2376">
        <f>ROUND(SUMPRODUCT(PRODUCT(1+N23:N$36)),4)</f>
        <v>1.4034</v>
      </c>
      <c r="Y23" s="2376">
        <f>ROUND(SUMPRODUCT(PRODUCT(1+O23:O$36)),4)</f>
        <v>1.2463</v>
      </c>
      <c r="Z23" s="2376">
        <f t="shared" si="0"/>
        <v>1.2463</v>
      </c>
      <c r="AA23" s="2376">
        <f>ROUND(SUMPRODUCT(PRODUCT(1+P23:P$36)),4)</f>
        <v>1.4577</v>
      </c>
      <c r="AB23" s="2376">
        <f>ROUND(SUMPRODUCT(PRODUCT(1+Q23:Q$36)),4)</f>
        <v>1.2136</v>
      </c>
      <c r="AC23" s="2376"/>
      <c r="AD23" s="2377">
        <f>ROUND(AVERAGE(I23:I$37)/100,4)</f>
        <v>2.4899999999999999E-2</v>
      </c>
      <c r="AE23" s="2377">
        <f>ROUND(AVERAGE(J23:J$37)/100,4)</f>
        <v>1.6400000000000001E-2</v>
      </c>
      <c r="AF23" s="2377">
        <f t="shared" si="1"/>
        <v>1.6400000000000001E-2</v>
      </c>
      <c r="AG23" s="2377">
        <f>ROUND(AVERAGE(K23:K$37)/100,4)</f>
        <v>2.7799999999999998E-2</v>
      </c>
      <c r="AH23" s="2377">
        <f>ROUND(AVERAGE(L23:L$37)/100,4)</f>
        <v>1.3899999999999999E-2</v>
      </c>
    </row>
    <row r="24" spans="1:34" s="2365" customFormat="1" ht="14.45" customHeight="1">
      <c r="A24" s="2371" t="s">
        <v>1110</v>
      </c>
      <c r="B24" s="2372">
        <f t="shared" si="199"/>
        <v>419.31181600000002</v>
      </c>
      <c r="C24" s="2372">
        <f t="shared" si="200"/>
        <v>313.95436800000004</v>
      </c>
      <c r="D24" s="2372">
        <f t="shared" si="201"/>
        <v>313.95436800000004</v>
      </c>
      <c r="E24" s="2372">
        <f t="shared" si="202"/>
        <v>596.63028431999999</v>
      </c>
      <c r="F24" s="2372">
        <f t="shared" si="203"/>
        <v>274.74220703999998</v>
      </c>
      <c r="G24" s="3599"/>
      <c r="H24" s="2384">
        <v>2</v>
      </c>
      <c r="I24" s="2384">
        <v>3.4</v>
      </c>
      <c r="J24" s="2384">
        <v>2</v>
      </c>
      <c r="K24" s="2384">
        <v>3.82</v>
      </c>
      <c r="L24" s="2385">
        <v>1.68</v>
      </c>
      <c r="M24" s="2358"/>
      <c r="N24" s="2374">
        <f t="shared" si="187"/>
        <v>3.4000000000000002E-2</v>
      </c>
      <c r="O24" s="2359">
        <f t="shared" ref="O24" si="207">J24/100</f>
        <v>0.02</v>
      </c>
      <c r="P24" s="2359">
        <f t="shared" ref="P24" si="208">K24/100</f>
        <v>3.8199999999999998E-2</v>
      </c>
      <c r="Q24" s="2359">
        <f t="shared" ref="Q24" si="209">L24/100</f>
        <v>1.6799999999999999E-2</v>
      </c>
      <c r="R24" s="2375"/>
      <c r="S24" s="2388"/>
      <c r="T24" s="2389"/>
      <c r="U24" s="2389"/>
      <c r="V24" s="2389"/>
      <c r="W24" s="2352"/>
      <c r="X24" s="2376">
        <f>ROUND(SUMPRODUCT(PRODUCT(1+N24:N$36)),4)</f>
        <v>1.3628</v>
      </c>
      <c r="Y24" s="2376">
        <f>ROUND(SUMPRODUCT(PRODUCT(1+O24:O$36)),4)</f>
        <v>1.2205999999999999</v>
      </c>
      <c r="Z24" s="2376">
        <f t="shared" si="0"/>
        <v>1.2205999999999999</v>
      </c>
      <c r="AA24" s="2376">
        <f>ROUND(SUMPRODUCT(PRODUCT(1+P24:P$36)),4)</f>
        <v>1.4118999999999999</v>
      </c>
      <c r="AB24" s="2376">
        <f>ROUND(SUMPRODUCT(PRODUCT(1+Q24:Q$36)),4)</f>
        <v>1.1930000000000001</v>
      </c>
      <c r="AC24" s="2352"/>
      <c r="AD24" s="2377">
        <f>ROUND(AVERAGE(I24:I$37)/100,4)</f>
        <v>2.46E-2</v>
      </c>
      <c r="AE24" s="2377">
        <f>ROUND(AVERAGE(J24:J$37)/100,4)</f>
        <v>1.6E-2</v>
      </c>
      <c r="AF24" s="2377">
        <f t="shared" si="1"/>
        <v>1.6E-2</v>
      </c>
      <c r="AG24" s="2377">
        <f>ROUND(AVERAGE(K24:K$37)/100,4)</f>
        <v>2.75E-2</v>
      </c>
      <c r="AH24" s="2377">
        <f>ROUND(AVERAGE(L24:L$37)/100,4)</f>
        <v>1.37E-2</v>
      </c>
    </row>
    <row r="25" spans="1:34" s="2378" customFormat="1" ht="15" customHeight="1" thickBot="1">
      <c r="A25" s="2371" t="s">
        <v>888</v>
      </c>
      <c r="B25" s="2372">
        <f>B26*(1+N25)</f>
        <v>405.524</v>
      </c>
      <c r="C25" s="2372">
        <f>C26*(1+O25)</f>
        <v>307.79840000000002</v>
      </c>
      <c r="D25" s="2372">
        <f>C25</f>
        <v>307.79840000000002</v>
      </c>
      <c r="E25" s="2372">
        <f>E26*(1+P25)</f>
        <v>574.67759999999998</v>
      </c>
      <c r="F25" s="2372">
        <f>F26*(1+Q25)</f>
        <v>270.20280000000002</v>
      </c>
      <c r="G25" s="3606"/>
      <c r="H25" s="2373">
        <v>1</v>
      </c>
      <c r="I25" s="2373">
        <v>3.45</v>
      </c>
      <c r="J25" s="2373">
        <v>1.92</v>
      </c>
      <c r="K25" s="2373">
        <v>3.92</v>
      </c>
      <c r="L25" s="2379">
        <v>1.58</v>
      </c>
      <c r="M25" s="2358"/>
      <c r="N25" s="2374">
        <f t="shared" si="187"/>
        <v>3.4500000000000003E-2</v>
      </c>
      <c r="O25" s="2359">
        <f t="shared" ref="O25:Q40" si="210">J25/100</f>
        <v>1.9199999999999998E-2</v>
      </c>
      <c r="P25" s="2359">
        <f t="shared" si="210"/>
        <v>3.9199999999999999E-2</v>
      </c>
      <c r="Q25" s="2359">
        <f t="shared" si="210"/>
        <v>1.5800000000000002E-2</v>
      </c>
      <c r="R25" s="2375"/>
      <c r="S25" s="2374">
        <f>B25/B26-1</f>
        <v>3.4499999999999975E-2</v>
      </c>
      <c r="T25" s="2359">
        <f t="shared" ref="T25:V25" si="211">C25/C26-1</f>
        <v>1.9200000000000106E-2</v>
      </c>
      <c r="U25" s="2359">
        <f t="shared" si="211"/>
        <v>1.9200000000000106E-2</v>
      </c>
      <c r="V25" s="2359">
        <f t="shared" si="211"/>
        <v>3.9199999999999902E-2</v>
      </c>
      <c r="W25" s="2376"/>
      <c r="X25" s="2376">
        <f>ROUND(SUMPRODUCT(PRODUCT(1+N25:N$36)),4)</f>
        <v>1.3180000000000001</v>
      </c>
      <c r="Y25" s="2376">
        <f>ROUND(SUMPRODUCT(PRODUCT(1+O25:O$36)),4)</f>
        <v>1.1966000000000001</v>
      </c>
      <c r="Z25" s="2376">
        <f t="shared" si="0"/>
        <v>1.1966000000000001</v>
      </c>
      <c r="AA25" s="2376">
        <f>ROUND(SUMPRODUCT(PRODUCT(1+P25:P$36)),4)</f>
        <v>1.36</v>
      </c>
      <c r="AB25" s="2376">
        <f>ROUND(SUMPRODUCT(PRODUCT(1+Q25:Q$36)),4)</f>
        <v>1.1733</v>
      </c>
      <c r="AC25" s="2376"/>
      <c r="AD25" s="2377">
        <f>ROUND(AVERAGE(I25:I$37)/100,4)</f>
        <v>2.3900000000000001E-2</v>
      </c>
      <c r="AE25" s="2377">
        <f>ROUND(AVERAGE(J25:J$37)/100,4)</f>
        <v>1.5699999999999999E-2</v>
      </c>
      <c r="AF25" s="2377">
        <f t="shared" si="1"/>
        <v>1.5699999999999999E-2</v>
      </c>
      <c r="AG25" s="2377">
        <f>ROUND(AVERAGE(K25:K$37)/100,4)</f>
        <v>2.6599999999999999E-2</v>
      </c>
      <c r="AH25" s="2377">
        <f>ROUND(AVERAGE(L25:L$37)/100,4)</f>
        <v>1.34E-2</v>
      </c>
    </row>
    <row r="26" spans="1:34">
      <c r="A26" s="2371" t="s">
        <v>154</v>
      </c>
      <c r="B26" s="2386">
        <v>392</v>
      </c>
      <c r="C26" s="2386">
        <v>302</v>
      </c>
      <c r="D26" s="2386">
        <f>C26</f>
        <v>302</v>
      </c>
      <c r="E26" s="2386">
        <v>553</v>
      </c>
      <c r="F26" s="2387">
        <v>266</v>
      </c>
      <c r="G26" s="3602">
        <v>2016</v>
      </c>
      <c r="H26" s="2380">
        <v>4</v>
      </c>
      <c r="I26" s="2380">
        <v>4.5599999999999996</v>
      </c>
      <c r="J26" s="2380">
        <v>2.15</v>
      </c>
      <c r="K26" s="2380">
        <v>5.32</v>
      </c>
      <c r="L26" s="2381">
        <v>1.57</v>
      </c>
      <c r="N26" s="2374">
        <f t="shared" si="187"/>
        <v>4.5599999999999995E-2</v>
      </c>
      <c r="O26" s="2359">
        <f t="shared" si="210"/>
        <v>2.1499999999999998E-2</v>
      </c>
      <c r="P26" s="2359">
        <f t="shared" si="210"/>
        <v>5.3200000000000004E-2</v>
      </c>
      <c r="Q26" s="2359">
        <f t="shared" si="210"/>
        <v>1.5700000000000002E-2</v>
      </c>
      <c r="R26" s="2375"/>
      <c r="S26" s="2388"/>
      <c r="T26" s="2389"/>
      <c r="U26" s="2389"/>
      <c r="V26" s="2389"/>
      <c r="X26" s="2358">
        <f>ROUND(SUMPRODUCT(PRODUCT(1+N26:N$36)),4)</f>
        <v>1.274</v>
      </c>
      <c r="Y26" s="2358">
        <f>ROUND(SUMPRODUCT(PRODUCT(1+O26:O$36)),4)</f>
        <v>1.1740999999999999</v>
      </c>
      <c r="Z26" s="2358">
        <f t="shared" si="0"/>
        <v>1.1740999999999999</v>
      </c>
      <c r="AA26" s="2358">
        <f>ROUND(SUMPRODUCT(PRODUCT(1+P26:P$36)),4)</f>
        <v>1.3087</v>
      </c>
      <c r="AB26" s="2358">
        <f>ROUND(SUMPRODUCT(PRODUCT(1+Q26:Q$36)),4)</f>
        <v>1.1551</v>
      </c>
      <c r="AD26" s="2359">
        <f>ROUND(AVERAGE(I26:I$37)/100,4)</f>
        <v>2.3E-2</v>
      </c>
      <c r="AE26" s="2359">
        <f>ROUND(AVERAGE(J26:J$37)/100,4)</f>
        <v>1.55E-2</v>
      </c>
      <c r="AF26" s="2359">
        <f t="shared" si="1"/>
        <v>1.55E-2</v>
      </c>
      <c r="AG26" s="2359">
        <f>ROUND(AVERAGE(K26:K$37)/100,4)</f>
        <v>2.5600000000000001E-2</v>
      </c>
      <c r="AH26" s="2359">
        <f>ROUND(AVERAGE(L26:L$37)/100,4)</f>
        <v>1.32E-2</v>
      </c>
    </row>
    <row r="27" spans="1:34">
      <c r="A27" s="2371" t="s">
        <v>153</v>
      </c>
      <c r="B27" s="2372">
        <f t="shared" ref="B27:C29" si="212">B26/(1+N26)</f>
        <v>374.90436113236416</v>
      </c>
      <c r="C27" s="2372">
        <f t="shared" si="212"/>
        <v>295.64366128242779</v>
      </c>
      <c r="D27" s="2372">
        <f t="shared" ref="D27:D86" si="213">C27</f>
        <v>295.64366128242779</v>
      </c>
      <c r="E27" s="2372">
        <f t="shared" ref="E27:F29" si="214">E26/(1+P26)</f>
        <v>525.06646410938095</v>
      </c>
      <c r="F27" s="2372">
        <f t="shared" si="214"/>
        <v>261.88835286009646</v>
      </c>
      <c r="G27" s="3599"/>
      <c r="H27" s="2373">
        <v>3</v>
      </c>
      <c r="I27" s="2373">
        <v>4.12</v>
      </c>
      <c r="J27" s="2373">
        <v>2</v>
      </c>
      <c r="K27" s="2373">
        <v>4.79</v>
      </c>
      <c r="L27" s="2379">
        <v>1.97</v>
      </c>
      <c r="N27" s="2374">
        <f t="shared" ref="N27:Q61" si="215">I27/100</f>
        <v>4.1200000000000001E-2</v>
      </c>
      <c r="O27" s="2359">
        <f t="shared" si="210"/>
        <v>0.02</v>
      </c>
      <c r="P27" s="2359">
        <f t="shared" si="210"/>
        <v>4.7899999999999998E-2</v>
      </c>
      <c r="Q27" s="2359">
        <f t="shared" si="210"/>
        <v>1.9699999999999999E-2</v>
      </c>
      <c r="R27" s="2375"/>
      <c r="S27" s="2374"/>
      <c r="T27" s="2359"/>
      <c r="U27" s="2359"/>
      <c r="V27" s="2359"/>
      <c r="X27" s="2358">
        <f>ROUND(SUMPRODUCT(PRODUCT(1+N27:N$36)),4)</f>
        <v>1.2184999999999999</v>
      </c>
      <c r="Y27" s="2358">
        <f>ROUND(SUMPRODUCT(PRODUCT(1+O27:O$36)),4)</f>
        <v>1.1494</v>
      </c>
      <c r="Z27" s="2358">
        <f t="shared" si="0"/>
        <v>1.1494</v>
      </c>
      <c r="AA27" s="2358">
        <f>ROUND(SUMPRODUCT(PRODUCT(1+P27:P$36)),4)</f>
        <v>1.2425999999999999</v>
      </c>
      <c r="AB27" s="2358">
        <f>ROUND(SUMPRODUCT(PRODUCT(1+Q27:Q$36)),4)</f>
        <v>1.1372</v>
      </c>
      <c r="AD27" s="2359">
        <f>ROUND(AVERAGE(I27:I$37)/100,4)</f>
        <v>2.0899999999999998E-2</v>
      </c>
      <c r="AE27" s="2359">
        <f>ROUND(AVERAGE(J27:J$37)/100,4)</f>
        <v>1.49E-2</v>
      </c>
      <c r="AF27" s="2359">
        <f t="shared" si="1"/>
        <v>1.49E-2</v>
      </c>
      <c r="AG27" s="2359">
        <f>ROUND(AVERAGE(K27:K$37)/100,4)</f>
        <v>2.3099999999999999E-2</v>
      </c>
      <c r="AH27" s="2359">
        <f>ROUND(AVERAGE(L27:L$37)/100,4)</f>
        <v>1.2999999999999999E-2</v>
      </c>
    </row>
    <row r="28" spans="1:34">
      <c r="A28" s="2371" t="s">
        <v>143</v>
      </c>
      <c r="B28" s="2372">
        <f t="shared" si="212"/>
        <v>360.06949782209392</v>
      </c>
      <c r="C28" s="2372">
        <f t="shared" si="212"/>
        <v>289.84672674747821</v>
      </c>
      <c r="D28" s="2372">
        <f t="shared" si="213"/>
        <v>289.84672674747821</v>
      </c>
      <c r="E28" s="2372">
        <f t="shared" si="214"/>
        <v>501.06543001181495</v>
      </c>
      <c r="F28" s="2372">
        <f t="shared" si="214"/>
        <v>256.82882500744967</v>
      </c>
      <c r="G28" s="3599"/>
      <c r="H28" s="2384">
        <v>2</v>
      </c>
      <c r="I28" s="2384">
        <v>3.85</v>
      </c>
      <c r="J28" s="2384">
        <v>1.95</v>
      </c>
      <c r="K28" s="2384">
        <v>4.4800000000000004</v>
      </c>
      <c r="L28" s="2385">
        <v>1.41</v>
      </c>
      <c r="N28" s="2374">
        <f t="shared" si="215"/>
        <v>3.85E-2</v>
      </c>
      <c r="O28" s="2359">
        <f t="shared" si="210"/>
        <v>1.95E-2</v>
      </c>
      <c r="P28" s="2359">
        <f t="shared" si="210"/>
        <v>4.4800000000000006E-2</v>
      </c>
      <c r="Q28" s="2359">
        <f t="shared" si="210"/>
        <v>1.41E-2</v>
      </c>
      <c r="R28" s="2375"/>
      <c r="S28" s="2374"/>
      <c r="T28" s="2359"/>
      <c r="U28" s="2359"/>
      <c r="V28" s="2359"/>
      <c r="X28" s="2358">
        <f>ROUND(SUMPRODUCT(PRODUCT(1+N28:N$36)),4)</f>
        <v>1.1702999999999999</v>
      </c>
      <c r="Y28" s="2358">
        <f>ROUND(SUMPRODUCT(PRODUCT(1+O28:O$36)),4)</f>
        <v>1.1269</v>
      </c>
      <c r="Z28" s="2358">
        <f t="shared" si="0"/>
        <v>1.1269</v>
      </c>
      <c r="AA28" s="2358">
        <f>ROUND(SUMPRODUCT(PRODUCT(1+P28:P$36)),4)</f>
        <v>1.1858</v>
      </c>
      <c r="AB28" s="2358">
        <f>ROUND(SUMPRODUCT(PRODUCT(1+Q28:Q$36)),4)</f>
        <v>1.1152</v>
      </c>
      <c r="AD28" s="2359">
        <f>ROUND(AVERAGE(I28:I$37)/100,4)</f>
        <v>1.89E-2</v>
      </c>
      <c r="AE28" s="2359">
        <f>ROUND(AVERAGE(J28:J$37)/100,4)</f>
        <v>1.44E-2</v>
      </c>
      <c r="AF28" s="2359">
        <f t="shared" si="1"/>
        <v>1.44E-2</v>
      </c>
      <c r="AG28" s="2359">
        <f>ROUND(AVERAGE(K28:K$37)/100,4)</f>
        <v>2.06E-2</v>
      </c>
      <c r="AH28" s="2359">
        <f>ROUND(AVERAGE(L28:L$37)/100,4)</f>
        <v>1.23E-2</v>
      </c>
    </row>
    <row r="29" spans="1:34" ht="13.5" thickBot="1">
      <c r="A29" s="2371" t="s">
        <v>152</v>
      </c>
      <c r="B29" s="2372">
        <f t="shared" si="212"/>
        <v>346.720748986128</v>
      </c>
      <c r="C29" s="2372">
        <f t="shared" si="212"/>
        <v>284.30282172386285</v>
      </c>
      <c r="D29" s="2372">
        <f t="shared" si="213"/>
        <v>284.30282172386285</v>
      </c>
      <c r="E29" s="2372">
        <f t="shared" si="214"/>
        <v>479.58023546306947</v>
      </c>
      <c r="F29" s="2372">
        <f t="shared" si="214"/>
        <v>253.25788877571213</v>
      </c>
      <c r="G29" s="3600"/>
      <c r="H29" s="2373">
        <v>1</v>
      </c>
      <c r="I29" s="2373">
        <v>4.09</v>
      </c>
      <c r="J29" s="2373">
        <v>2.93</v>
      </c>
      <c r="K29" s="2373">
        <v>4.54</v>
      </c>
      <c r="L29" s="2379">
        <v>1.48</v>
      </c>
      <c r="N29" s="2374">
        <f t="shared" si="215"/>
        <v>4.0899999999999999E-2</v>
      </c>
      <c r="O29" s="2359">
        <f t="shared" si="210"/>
        <v>2.9300000000000003E-2</v>
      </c>
      <c r="P29" s="2359">
        <f t="shared" si="210"/>
        <v>4.5400000000000003E-2</v>
      </c>
      <c r="Q29" s="2359">
        <f t="shared" si="210"/>
        <v>1.4800000000000001E-2</v>
      </c>
      <c r="R29" s="2375"/>
      <c r="S29" s="2390">
        <f>B29/B30-1</f>
        <v>4.1203450408792808E-2</v>
      </c>
      <c r="T29" s="2391">
        <f>C29/C30-1</f>
        <v>2.6363977342465095E-2</v>
      </c>
      <c r="U29" s="2391">
        <f>E29/E30-1</f>
        <v>4.4837114298626357E-2</v>
      </c>
      <c r="V29" s="2391">
        <f>F29/F30-1</f>
        <v>1.7099954922538574E-2</v>
      </c>
      <c r="X29" s="2358">
        <f>ROUND(SUMPRODUCT(PRODUCT(1+N29:N$36)),4)</f>
        <v>1.1269</v>
      </c>
      <c r="Y29" s="2358">
        <f>ROUND(SUMPRODUCT(PRODUCT(1+O29:O$36)),4)</f>
        <v>1.1052999999999999</v>
      </c>
      <c r="Z29" s="2358">
        <f t="shared" si="0"/>
        <v>1.1052999999999999</v>
      </c>
      <c r="AA29" s="2358">
        <f>ROUND(SUMPRODUCT(PRODUCT(1+P29:P$36)),4)</f>
        <v>1.1349</v>
      </c>
      <c r="AB29" s="2358">
        <f>ROUND(SUMPRODUCT(PRODUCT(1+Q29:Q$36)),4)</f>
        <v>1.0996999999999999</v>
      </c>
      <c r="AD29" s="2359">
        <f>ROUND(AVERAGE(I29:I$37)/100,4)</f>
        <v>1.67E-2</v>
      </c>
      <c r="AE29" s="2359">
        <f>ROUND(AVERAGE(J29:J$37)/100,4)</f>
        <v>1.38E-2</v>
      </c>
      <c r="AF29" s="2359">
        <f t="shared" si="1"/>
        <v>1.38E-2</v>
      </c>
      <c r="AG29" s="2359">
        <f>ROUND(AVERAGE(K29:K$37)/100,4)</f>
        <v>1.7899999999999999E-2</v>
      </c>
      <c r="AH29" s="2359">
        <f>ROUND(AVERAGE(L29:L$37)/100,4)</f>
        <v>1.21E-2</v>
      </c>
    </row>
    <row r="30" spans="1:34" ht="13.5" thickBot="1">
      <c r="A30" s="2371" t="s">
        <v>151</v>
      </c>
      <c r="B30" s="2386">
        <v>333</v>
      </c>
      <c r="C30" s="2386">
        <v>277</v>
      </c>
      <c r="D30" s="2386">
        <f t="shared" si="213"/>
        <v>277</v>
      </c>
      <c r="E30" s="2386">
        <v>459</v>
      </c>
      <c r="F30" s="2387">
        <v>249</v>
      </c>
      <c r="G30" s="3598">
        <v>2015</v>
      </c>
      <c r="H30" s="2392">
        <v>4</v>
      </c>
      <c r="I30" s="2392">
        <v>1.63</v>
      </c>
      <c r="J30" s="2392">
        <v>1.1100000000000001</v>
      </c>
      <c r="K30" s="2392">
        <v>1.77</v>
      </c>
      <c r="L30" s="2393">
        <v>1.89</v>
      </c>
      <c r="N30" s="2394">
        <f t="shared" si="215"/>
        <v>1.6299999999999999E-2</v>
      </c>
      <c r="O30" s="2395">
        <f t="shared" si="210"/>
        <v>1.11E-2</v>
      </c>
      <c r="P30" s="2395">
        <f t="shared" si="210"/>
        <v>1.77E-2</v>
      </c>
      <c r="Q30" s="2395">
        <f t="shared" si="210"/>
        <v>1.89E-2</v>
      </c>
      <c r="R30" s="2375"/>
      <c r="X30" s="2358">
        <f>ROUND(SUMPRODUCT(PRODUCT(1+N30:N$36)),4)</f>
        <v>1.0826</v>
      </c>
      <c r="Y30" s="2358">
        <f>ROUND(SUMPRODUCT(PRODUCT(1+O30:O$36)),4)</f>
        <v>1.0738000000000001</v>
      </c>
      <c r="Z30" s="2358">
        <f t="shared" si="0"/>
        <v>1.0738000000000001</v>
      </c>
      <c r="AA30" s="2358">
        <f>ROUND(SUMPRODUCT(PRODUCT(1+P30:P$36)),4)</f>
        <v>1.0855999999999999</v>
      </c>
      <c r="AB30" s="2358">
        <f>ROUND(SUMPRODUCT(PRODUCT(1+Q30:Q$36)),4)</f>
        <v>1.0837000000000001</v>
      </c>
      <c r="AD30" s="2359">
        <f>ROUND(AVERAGE(I30:I$37)/100,4)</f>
        <v>1.37E-2</v>
      </c>
      <c r="AE30" s="2359">
        <f>ROUND(AVERAGE(J30:J$37)/100,4)</f>
        <v>1.1900000000000001E-2</v>
      </c>
      <c r="AF30" s="2359">
        <f t="shared" si="1"/>
        <v>1.1900000000000001E-2</v>
      </c>
      <c r="AG30" s="2359">
        <f>ROUND(AVERAGE(K30:K$37)/100,4)</f>
        <v>1.4500000000000001E-2</v>
      </c>
      <c r="AH30" s="2359">
        <f>ROUND(AVERAGE(L30:L$37)/100,4)</f>
        <v>1.18E-2</v>
      </c>
    </row>
    <row r="31" spans="1:34">
      <c r="A31" s="2371" t="s">
        <v>150</v>
      </c>
      <c r="B31" s="2372">
        <f t="shared" ref="B31:C33" si="216">B30/(1+N30)</f>
        <v>327.65915576109415</v>
      </c>
      <c r="C31" s="2372">
        <f t="shared" si="216"/>
        <v>273.95905449510434</v>
      </c>
      <c r="D31" s="2372">
        <f t="shared" si="213"/>
        <v>273.95905449510434</v>
      </c>
      <c r="E31" s="2372">
        <f t="shared" ref="E31:F33" si="217">E30/(1+P30)</f>
        <v>451.01699911565294</v>
      </c>
      <c r="F31" s="2372">
        <f t="shared" si="217"/>
        <v>244.38119540681129</v>
      </c>
      <c r="G31" s="3599"/>
      <c r="H31" s="2397">
        <v>3</v>
      </c>
      <c r="I31" s="2397">
        <v>1.65</v>
      </c>
      <c r="J31" s="2397">
        <v>0.92</v>
      </c>
      <c r="K31" s="2397">
        <v>1.88</v>
      </c>
      <c r="L31" s="2398">
        <v>1.26</v>
      </c>
      <c r="N31" s="2374">
        <f t="shared" si="215"/>
        <v>1.6500000000000001E-2</v>
      </c>
      <c r="O31" s="2399">
        <f t="shared" si="210"/>
        <v>9.1999999999999998E-3</v>
      </c>
      <c r="P31" s="2399">
        <f t="shared" si="210"/>
        <v>1.8799999999999997E-2</v>
      </c>
      <c r="Q31" s="2399">
        <f t="shared" si="210"/>
        <v>1.26E-2</v>
      </c>
      <c r="R31" s="2375"/>
      <c r="S31" s="2374"/>
      <c r="T31" s="2359"/>
      <c r="U31" s="2359"/>
      <c r="V31" s="2359"/>
      <c r="X31" s="2358">
        <f>ROUND(SUMPRODUCT(PRODUCT(1+N31:N$36)),4)</f>
        <v>1.0651999999999999</v>
      </c>
      <c r="Y31" s="2358">
        <f>ROUND(SUMPRODUCT(PRODUCT(1+O31:O$36)),4)</f>
        <v>1.0621</v>
      </c>
      <c r="Z31" s="2358">
        <f t="shared" si="0"/>
        <v>1.0621</v>
      </c>
      <c r="AA31" s="2358">
        <f>ROUND(SUMPRODUCT(PRODUCT(1+P31:P$36)),4)</f>
        <v>1.0668</v>
      </c>
      <c r="AB31" s="2358">
        <f>ROUND(SUMPRODUCT(PRODUCT(1+Q31:Q$36)),4)</f>
        <v>1.0636000000000001</v>
      </c>
      <c r="AD31" s="2359">
        <f>ROUND(AVERAGE(I31:I$37)/100,4)</f>
        <v>1.3299999999999999E-2</v>
      </c>
      <c r="AE31" s="2359">
        <f>ROUND(AVERAGE(J31:J$37)/100,4)</f>
        <v>1.2E-2</v>
      </c>
      <c r="AF31" s="2359">
        <f t="shared" si="1"/>
        <v>1.2E-2</v>
      </c>
      <c r="AG31" s="2359">
        <f>ROUND(AVERAGE(K31:K$37)/100,4)</f>
        <v>1.4E-2</v>
      </c>
      <c r="AH31" s="2359">
        <f>ROUND(AVERAGE(L31:L$37)/100,4)</f>
        <v>1.0800000000000001E-2</v>
      </c>
    </row>
    <row r="32" spans="1:34">
      <c r="A32" s="2371" t="s">
        <v>149</v>
      </c>
      <c r="B32" s="2372">
        <f t="shared" si="216"/>
        <v>322.34053690220776</v>
      </c>
      <c r="C32" s="2372">
        <f t="shared" si="216"/>
        <v>271.46160770422546</v>
      </c>
      <c r="D32" s="2372">
        <f t="shared" si="213"/>
        <v>271.46160770422546</v>
      </c>
      <c r="E32" s="2372">
        <f t="shared" si="217"/>
        <v>442.69434542172456</v>
      </c>
      <c r="F32" s="2372">
        <f t="shared" si="217"/>
        <v>241.34030753190925</v>
      </c>
      <c r="G32" s="3599"/>
      <c r="H32" s="2384">
        <v>2</v>
      </c>
      <c r="I32" s="2384">
        <v>0.77</v>
      </c>
      <c r="J32" s="2384">
        <v>0.69</v>
      </c>
      <c r="K32" s="2384">
        <v>0.8</v>
      </c>
      <c r="L32" s="2385">
        <v>0.88</v>
      </c>
      <c r="N32" s="2374">
        <f t="shared" si="215"/>
        <v>7.7000000000000002E-3</v>
      </c>
      <c r="O32" s="2399">
        <f t="shared" si="210"/>
        <v>6.8999999999999999E-3</v>
      </c>
      <c r="P32" s="2399">
        <f t="shared" si="210"/>
        <v>8.0000000000000002E-3</v>
      </c>
      <c r="Q32" s="2399">
        <f t="shared" si="210"/>
        <v>8.8000000000000005E-3</v>
      </c>
      <c r="R32" s="2375"/>
      <c r="S32" s="2374"/>
      <c r="T32" s="2359"/>
      <c r="U32" s="2359"/>
      <c r="V32" s="2359"/>
      <c r="X32" s="2358">
        <f>ROUND(SUMPRODUCT(PRODUCT(1+N32:N$36)),4)</f>
        <v>1.048</v>
      </c>
      <c r="Y32" s="2358">
        <f>ROUND(SUMPRODUCT(PRODUCT(1+O32:O$36)),4)</f>
        <v>1.0524</v>
      </c>
      <c r="Z32" s="2358">
        <f t="shared" si="0"/>
        <v>1.0524</v>
      </c>
      <c r="AA32" s="2358">
        <f>ROUND(SUMPRODUCT(PRODUCT(1+P32:P$36)),4)</f>
        <v>1.0470999999999999</v>
      </c>
      <c r="AB32" s="2358">
        <f>ROUND(SUMPRODUCT(PRODUCT(1+Q32:Q$36)),4)</f>
        <v>1.0504</v>
      </c>
      <c r="AD32" s="2359">
        <f>ROUND(AVERAGE(I32:I$37)/100,4)</f>
        <v>1.2800000000000001E-2</v>
      </c>
      <c r="AE32" s="2359">
        <f>ROUND(AVERAGE(J32:J$37)/100,4)</f>
        <v>1.2500000000000001E-2</v>
      </c>
      <c r="AF32" s="2359">
        <f t="shared" si="1"/>
        <v>1.2500000000000001E-2</v>
      </c>
      <c r="AG32" s="2359">
        <f>ROUND(AVERAGE(K32:K$37)/100,4)</f>
        <v>1.32E-2</v>
      </c>
      <c r="AH32" s="2359">
        <f>ROUND(AVERAGE(L32:L$37)/100,4)</f>
        <v>1.0500000000000001E-2</v>
      </c>
    </row>
    <row r="33" spans="1:34">
      <c r="A33" s="2371" t="s">
        <v>148</v>
      </c>
      <c r="B33" s="2372">
        <f t="shared" si="216"/>
        <v>319.87748030386797</v>
      </c>
      <c r="C33" s="2372">
        <f t="shared" si="216"/>
        <v>269.60135833173649</v>
      </c>
      <c r="D33" s="2372">
        <f t="shared" si="213"/>
        <v>269.60135833173649</v>
      </c>
      <c r="E33" s="2372">
        <f t="shared" si="217"/>
        <v>439.18089823583784</v>
      </c>
      <c r="F33" s="2372">
        <f t="shared" si="217"/>
        <v>239.23503918706311</v>
      </c>
      <c r="G33" s="3600"/>
      <c r="H33" s="2373">
        <v>1</v>
      </c>
      <c r="I33" s="2373">
        <v>0.51</v>
      </c>
      <c r="J33" s="2373">
        <v>0.54</v>
      </c>
      <c r="K33" s="2373">
        <v>0.48</v>
      </c>
      <c r="L33" s="2379">
        <v>0.93</v>
      </c>
      <c r="N33" s="2390">
        <f t="shared" si="215"/>
        <v>5.1000000000000004E-3</v>
      </c>
      <c r="O33" s="2391">
        <f t="shared" si="210"/>
        <v>5.4000000000000003E-3</v>
      </c>
      <c r="P33" s="2391">
        <f t="shared" si="210"/>
        <v>4.7999999999999996E-3</v>
      </c>
      <c r="Q33" s="2391">
        <f t="shared" si="210"/>
        <v>9.300000000000001E-3</v>
      </c>
      <c r="R33" s="2375"/>
      <c r="S33" s="2390">
        <f>B33/B34-1</f>
        <v>5.9040261127922822E-3</v>
      </c>
      <c r="T33" s="2391">
        <f>C33/C34-1</f>
        <v>5.9752176557332781E-3</v>
      </c>
      <c r="U33" s="2391">
        <f>E33/E34-1</f>
        <v>4.9906138119859556E-3</v>
      </c>
      <c r="V33" s="2391">
        <f>F33/F34-1</f>
        <v>9.4305450930933787E-3</v>
      </c>
      <c r="X33" s="2358">
        <f>ROUND(SUMPRODUCT(PRODUCT(1+N33:N$36)),4)</f>
        <v>1.0399</v>
      </c>
      <c r="Y33" s="2358">
        <f>ROUND(SUMPRODUCT(PRODUCT(1+O33:O$36)),4)</f>
        <v>1.0451999999999999</v>
      </c>
      <c r="Z33" s="2358">
        <f t="shared" si="0"/>
        <v>1.0451999999999999</v>
      </c>
      <c r="AA33" s="2358">
        <f>ROUND(SUMPRODUCT(PRODUCT(1+P33:P$36)),4)</f>
        <v>1.0387999999999999</v>
      </c>
      <c r="AB33" s="2358">
        <f>ROUND(SUMPRODUCT(PRODUCT(1+Q33:Q$36)),4)</f>
        <v>1.0411999999999999</v>
      </c>
      <c r="AD33" s="2359">
        <f>ROUND(AVERAGE(I33:I$37)/100,4)</f>
        <v>1.38E-2</v>
      </c>
      <c r="AE33" s="2359">
        <f>ROUND(AVERAGE(J33:J$37)/100,4)</f>
        <v>1.3599999999999999E-2</v>
      </c>
      <c r="AF33" s="2359">
        <f t="shared" si="1"/>
        <v>1.3599999999999999E-2</v>
      </c>
      <c r="AG33" s="2359">
        <f>ROUND(AVERAGE(K33:K$37)/100,4)</f>
        <v>1.4200000000000001E-2</v>
      </c>
      <c r="AH33" s="2359">
        <f>ROUND(AVERAGE(L33:L$37)/100,4)</f>
        <v>1.0800000000000001E-2</v>
      </c>
    </row>
    <row r="34" spans="1:34" ht="13.5" thickBot="1">
      <c r="A34" s="2371" t="s">
        <v>147</v>
      </c>
      <c r="B34" s="2400">
        <v>318</v>
      </c>
      <c r="C34" s="2400">
        <v>268</v>
      </c>
      <c r="D34" s="2400">
        <f t="shared" si="213"/>
        <v>268</v>
      </c>
      <c r="E34" s="2400">
        <v>437</v>
      </c>
      <c r="F34" s="2401">
        <v>237</v>
      </c>
      <c r="G34" s="3598">
        <v>2014</v>
      </c>
      <c r="H34" s="2392">
        <v>4</v>
      </c>
      <c r="I34" s="2392">
        <v>0.21</v>
      </c>
      <c r="J34" s="2392">
        <v>0.41</v>
      </c>
      <c r="K34" s="2392">
        <v>0.12</v>
      </c>
      <c r="L34" s="2393">
        <v>0.89</v>
      </c>
      <c r="N34" s="2374">
        <f t="shared" si="215"/>
        <v>2.0999999999999999E-3</v>
      </c>
      <c r="O34" s="2359">
        <f t="shared" si="210"/>
        <v>4.0999999999999995E-3</v>
      </c>
      <c r="P34" s="2359">
        <f t="shared" si="210"/>
        <v>1.1999999999999999E-3</v>
      </c>
      <c r="Q34" s="2359">
        <f t="shared" si="210"/>
        <v>8.8999999999999999E-3</v>
      </c>
      <c r="R34" s="2375"/>
      <c r="S34" s="2388"/>
      <c r="T34" s="2389"/>
      <c r="U34" s="2389"/>
      <c r="V34" s="2389"/>
      <c r="X34" s="2358">
        <f>ROUND(SUMPRODUCT(PRODUCT(1+N34:N$36)),4)</f>
        <v>1.0347</v>
      </c>
      <c r="Y34" s="2358">
        <f>ROUND(SUMPRODUCT(PRODUCT(1+O34:O$36)),4)</f>
        <v>1.0395000000000001</v>
      </c>
      <c r="Z34" s="2358">
        <f t="shared" si="0"/>
        <v>1.0395000000000001</v>
      </c>
      <c r="AA34" s="2358">
        <f>ROUND(SUMPRODUCT(PRODUCT(1+P34:P$36)),4)</f>
        <v>1.0338000000000001</v>
      </c>
      <c r="AB34" s="2358">
        <f>ROUND(SUMPRODUCT(PRODUCT(1+Q34:Q$36)),4)</f>
        <v>1.0316000000000001</v>
      </c>
      <c r="AD34" s="2359">
        <f>ROUND(AVERAGE(I34:I$37)/100,4)</f>
        <v>1.6E-2</v>
      </c>
      <c r="AE34" s="2359">
        <f>ROUND(AVERAGE(J34:J$37)/100,4)</f>
        <v>1.5599999999999999E-2</v>
      </c>
      <c r="AF34" s="2359">
        <f t="shared" si="1"/>
        <v>1.5599999999999999E-2</v>
      </c>
      <c r="AG34" s="2359">
        <f>ROUND(AVERAGE(K34:K$37)/100,4)</f>
        <v>1.66E-2</v>
      </c>
      <c r="AH34" s="2359">
        <f>ROUND(AVERAGE(L34:L$37)/100,4)</f>
        <v>1.12E-2</v>
      </c>
    </row>
    <row r="35" spans="1:34">
      <c r="A35" s="2371" t="s">
        <v>146</v>
      </c>
      <c r="B35" s="2372">
        <f t="shared" ref="B35:C37" si="218">B34/(1+N34)</f>
        <v>317.33359944117353</v>
      </c>
      <c r="C35" s="2372">
        <f t="shared" si="218"/>
        <v>266.90568668459315</v>
      </c>
      <c r="D35" s="2372">
        <f t="shared" si="213"/>
        <v>266.90568668459315</v>
      </c>
      <c r="E35" s="2372">
        <f t="shared" ref="E35:F37" si="219">E34/(1+P34)</f>
        <v>436.47622852576905</v>
      </c>
      <c r="F35" s="2372">
        <f t="shared" si="219"/>
        <v>234.90930716622066</v>
      </c>
      <c r="G35" s="3599"/>
      <c r="H35" s="2402">
        <v>3</v>
      </c>
      <c r="I35" s="2402">
        <v>0.83</v>
      </c>
      <c r="J35" s="2402">
        <v>1.47</v>
      </c>
      <c r="K35" s="2402">
        <v>0.65</v>
      </c>
      <c r="L35" s="2403">
        <v>0.72</v>
      </c>
      <c r="N35" s="2374">
        <f t="shared" si="215"/>
        <v>8.3000000000000001E-3</v>
      </c>
      <c r="O35" s="2359">
        <f t="shared" si="210"/>
        <v>1.47E-2</v>
      </c>
      <c r="P35" s="2359">
        <f t="shared" si="210"/>
        <v>6.5000000000000006E-3</v>
      </c>
      <c r="Q35" s="2359">
        <f t="shared" si="210"/>
        <v>7.1999999999999998E-3</v>
      </c>
      <c r="R35" s="2375"/>
      <c r="S35" s="2374"/>
      <c r="T35" s="2359"/>
      <c r="U35" s="2359"/>
      <c r="V35" s="2359"/>
      <c r="X35" s="2358">
        <f>ROUND(SUMPRODUCT(PRODUCT(1+N35:N$36)),4)</f>
        <v>1.0325</v>
      </c>
      <c r="Y35" s="2358">
        <f>ROUND(SUMPRODUCT(PRODUCT(1+O35:O$36)),4)</f>
        <v>1.0353000000000001</v>
      </c>
      <c r="Z35" s="2358">
        <f t="shared" ref="Z35:Z36" si="220">Y35</f>
        <v>1.0353000000000001</v>
      </c>
      <c r="AA35" s="2358">
        <f>ROUND(SUMPRODUCT(PRODUCT(1+P35:P$36)),4)</f>
        <v>1.0326</v>
      </c>
      <c r="AB35" s="2358">
        <f>ROUND(SUMPRODUCT(PRODUCT(1+Q35:Q$36)),4)</f>
        <v>1.0225</v>
      </c>
      <c r="AD35" s="2359">
        <f>ROUND(AVERAGE(I35:I$37)/100,4)</f>
        <v>2.07E-2</v>
      </c>
      <c r="AE35" s="2359">
        <f>ROUND(AVERAGE(J35:J$37)/100,4)</f>
        <v>1.95E-2</v>
      </c>
      <c r="AF35" s="2359">
        <f t="shared" si="1"/>
        <v>1.95E-2</v>
      </c>
      <c r="AG35" s="2359">
        <f>ROUND(AVERAGE(K35:K$37)/100,4)</f>
        <v>2.1700000000000001E-2</v>
      </c>
      <c r="AH35" s="2359">
        <f>ROUND(AVERAGE(L35:L$37)/100,4)</f>
        <v>1.2E-2</v>
      </c>
    </row>
    <row r="36" spans="1:34" ht="13.5" thickBot="1">
      <c r="A36" s="2371" t="s">
        <v>145</v>
      </c>
      <c r="B36" s="2372">
        <f t="shared" si="218"/>
        <v>314.72141172386546</v>
      </c>
      <c r="C36" s="2372">
        <f t="shared" si="218"/>
        <v>263.03901319069001</v>
      </c>
      <c r="D36" s="2372">
        <f t="shared" si="213"/>
        <v>263.03901319069001</v>
      </c>
      <c r="E36" s="2372">
        <f t="shared" si="219"/>
        <v>433.65745506782821</v>
      </c>
      <c r="F36" s="2372">
        <f t="shared" si="219"/>
        <v>233.23005080045735</v>
      </c>
      <c r="G36" s="3599"/>
      <c r="H36" s="2392">
        <v>2</v>
      </c>
      <c r="I36" s="2392">
        <v>2.4</v>
      </c>
      <c r="J36" s="2392">
        <v>2.0299999999999998</v>
      </c>
      <c r="K36" s="2392">
        <v>2.59</v>
      </c>
      <c r="L36" s="2393">
        <v>1.52</v>
      </c>
      <c r="N36" s="2374">
        <f t="shared" si="215"/>
        <v>2.4E-2</v>
      </c>
      <c r="O36" s="2359">
        <f t="shared" si="210"/>
        <v>2.0299999999999999E-2</v>
      </c>
      <c r="P36" s="2359">
        <f t="shared" si="210"/>
        <v>2.5899999999999999E-2</v>
      </c>
      <c r="Q36" s="2359">
        <f t="shared" si="210"/>
        <v>1.52E-2</v>
      </c>
      <c r="R36" s="2375"/>
      <c r="S36" s="2374"/>
      <c r="T36" s="2359"/>
      <c r="U36" s="2359"/>
      <c r="V36" s="2359"/>
      <c r="X36" s="2358">
        <f>1+N36</f>
        <v>1.024</v>
      </c>
      <c r="Y36" s="2358">
        <f>1+O36</f>
        <v>1.0203</v>
      </c>
      <c r="Z36" s="2358">
        <f t="shared" si="220"/>
        <v>1.0203</v>
      </c>
      <c r="AA36" s="2358">
        <f>1+P36</f>
        <v>1.0259</v>
      </c>
      <c r="AB36" s="2358">
        <f>1+Q36</f>
        <v>1.0152000000000001</v>
      </c>
      <c r="AD36" s="2359">
        <f>ROUND(AVERAGE(I36:I$37)/100,4)</f>
        <v>2.69E-2</v>
      </c>
      <c r="AE36" s="2359">
        <f>ROUND(AVERAGE(J36:J$37)/100,4)</f>
        <v>2.1899999999999999E-2</v>
      </c>
      <c r="AF36" s="2359">
        <f t="shared" ref="AF36" si="221">AE36</f>
        <v>2.1899999999999999E-2</v>
      </c>
      <c r="AG36" s="2359">
        <f>ROUND(AVERAGE(K36:K$37)/100,4)</f>
        <v>2.9399999999999999E-2</v>
      </c>
      <c r="AH36" s="2359">
        <f>ROUND(AVERAGE(L36:L$37)/100,4)</f>
        <v>1.44E-2</v>
      </c>
    </row>
    <row r="37" spans="1:34" s="2408" customFormat="1" ht="13.5" thickBot="1">
      <c r="A37" s="2404" t="s">
        <v>144</v>
      </c>
      <c r="B37" s="2405">
        <f t="shared" si="218"/>
        <v>307.34512863658733</v>
      </c>
      <c r="C37" s="2405">
        <f t="shared" si="218"/>
        <v>257.80556031626975</v>
      </c>
      <c r="D37" s="2405">
        <f t="shared" si="213"/>
        <v>257.80556031626975</v>
      </c>
      <c r="E37" s="2405">
        <f t="shared" si="219"/>
        <v>422.70928459677179</v>
      </c>
      <c r="F37" s="2405">
        <f t="shared" si="219"/>
        <v>229.73803270336617</v>
      </c>
      <c r="G37" s="3600"/>
      <c r="H37" s="2406">
        <v>1</v>
      </c>
      <c r="I37" s="2406">
        <v>2.97</v>
      </c>
      <c r="J37" s="2406">
        <v>2.34</v>
      </c>
      <c r="K37" s="2406">
        <v>3.28</v>
      </c>
      <c r="L37" s="2407">
        <v>1.36</v>
      </c>
      <c r="N37" s="2409">
        <f t="shared" si="215"/>
        <v>2.9700000000000001E-2</v>
      </c>
      <c r="O37" s="2410">
        <f t="shared" si="210"/>
        <v>2.3399999999999997E-2</v>
      </c>
      <c r="P37" s="2410">
        <f t="shared" si="210"/>
        <v>3.2799999999999996E-2</v>
      </c>
      <c r="Q37" s="2410">
        <f t="shared" si="210"/>
        <v>1.3600000000000001E-2</v>
      </c>
      <c r="R37" s="2411"/>
      <c r="S37" s="2412">
        <f>B37/B38-1</f>
        <v>2.7910129219355539E-2</v>
      </c>
      <c r="T37" s="2413">
        <f>C37/C38-1</f>
        <v>2.3037937762975247E-2</v>
      </c>
      <c r="U37" s="2413">
        <f>E37/E38-1</f>
        <v>3.3519033243940788E-2</v>
      </c>
      <c r="V37" s="2413">
        <f>F37/F38-1</f>
        <v>1.2061818076502862E-2</v>
      </c>
      <c r="W37" s="2414" t="s">
        <v>889</v>
      </c>
      <c r="X37" s="2415">
        <v>1</v>
      </c>
      <c r="Y37" s="2415">
        <v>1</v>
      </c>
      <c r="Z37" s="2415">
        <v>1</v>
      </c>
      <c r="AA37" s="2415">
        <v>1</v>
      </c>
      <c r="AB37" s="2415">
        <v>1</v>
      </c>
      <c r="AD37" s="2410">
        <f>I37/100</f>
        <v>2.9700000000000001E-2</v>
      </c>
      <c r="AE37" s="2410">
        <f>J37/100</f>
        <v>2.3399999999999997E-2</v>
      </c>
      <c r="AF37" s="2410">
        <f>AE37</f>
        <v>2.3399999999999997E-2</v>
      </c>
      <c r="AG37" s="2410">
        <f>K37/100</f>
        <v>3.2799999999999996E-2</v>
      </c>
      <c r="AH37" s="2410">
        <f>L37/100</f>
        <v>1.3600000000000001E-2</v>
      </c>
    </row>
    <row r="38" spans="1:34" ht="13.5" thickBot="1">
      <c r="A38" s="2371" t="s">
        <v>890</v>
      </c>
      <c r="B38" s="2386">
        <v>299</v>
      </c>
      <c r="C38" s="2386">
        <v>252</v>
      </c>
      <c r="D38" s="2386">
        <f t="shared" si="213"/>
        <v>252</v>
      </c>
      <c r="E38" s="2386">
        <v>409</v>
      </c>
      <c r="F38" s="2387">
        <v>227</v>
      </c>
      <c r="G38" s="3603">
        <v>2013</v>
      </c>
      <c r="H38" s="2416">
        <v>4</v>
      </c>
      <c r="I38" s="2416">
        <v>1.83</v>
      </c>
      <c r="J38" s="2416">
        <v>1.68</v>
      </c>
      <c r="K38" s="2416">
        <v>1.97</v>
      </c>
      <c r="L38" s="2417">
        <v>0.87</v>
      </c>
      <c r="N38" s="2394">
        <f t="shared" si="215"/>
        <v>1.83E-2</v>
      </c>
      <c r="O38" s="2395">
        <f t="shared" si="210"/>
        <v>1.6799999999999999E-2</v>
      </c>
      <c r="P38" s="2395">
        <f t="shared" si="210"/>
        <v>1.9699999999999999E-2</v>
      </c>
      <c r="Q38" s="2395">
        <f t="shared" si="210"/>
        <v>8.6999999999999994E-3</v>
      </c>
      <c r="R38" s="2375"/>
      <c r="S38" s="2388"/>
      <c r="T38" s="2389"/>
      <c r="U38" s="2389"/>
      <c r="V38" s="2389"/>
      <c r="X38" s="2389"/>
      <c r="Y38" s="2389"/>
      <c r="Z38" s="2389"/>
    </row>
    <row r="39" spans="1:34">
      <c r="A39" s="2371" t="s">
        <v>891</v>
      </c>
      <c r="B39" s="2372">
        <f t="shared" ref="B39:C41" si="222">B38/(1+N38)</f>
        <v>293.62663262299913</v>
      </c>
      <c r="C39" s="2372">
        <f t="shared" si="222"/>
        <v>247.83634933123525</v>
      </c>
      <c r="D39" s="2372">
        <f t="shared" si="213"/>
        <v>247.83634933123525</v>
      </c>
      <c r="E39" s="2372">
        <f t="shared" ref="E39:F41" si="223">E38/(1+P38)</f>
        <v>401.09836226341076</v>
      </c>
      <c r="F39" s="2372">
        <f t="shared" si="223"/>
        <v>225.04213343908003</v>
      </c>
      <c r="G39" s="3604"/>
      <c r="H39" s="2397">
        <v>3</v>
      </c>
      <c r="I39" s="2397">
        <v>1.86</v>
      </c>
      <c r="J39" s="2397">
        <v>1.72</v>
      </c>
      <c r="K39" s="2397">
        <v>1.98</v>
      </c>
      <c r="L39" s="2398">
        <v>0.88</v>
      </c>
      <c r="N39" s="2374">
        <f t="shared" si="215"/>
        <v>1.8600000000000002E-2</v>
      </c>
      <c r="O39" s="2399">
        <f t="shared" si="210"/>
        <v>1.72E-2</v>
      </c>
      <c r="P39" s="2399">
        <f t="shared" si="210"/>
        <v>1.9799999999999998E-2</v>
      </c>
      <c r="Q39" s="2399">
        <f t="shared" si="210"/>
        <v>8.8000000000000005E-3</v>
      </c>
      <c r="R39" s="2375"/>
      <c r="S39" s="2374"/>
      <c r="T39" s="2359"/>
      <c r="U39" s="2359"/>
      <c r="V39" s="2359"/>
    </row>
    <row r="40" spans="1:34">
      <c r="A40" s="2371" t="s">
        <v>892</v>
      </c>
      <c r="B40" s="2372">
        <f t="shared" si="222"/>
        <v>288.2649053828776</v>
      </c>
      <c r="C40" s="2372">
        <f t="shared" si="222"/>
        <v>243.64564425013293</v>
      </c>
      <c r="D40" s="2372">
        <f t="shared" si="213"/>
        <v>243.64564425013293</v>
      </c>
      <c r="E40" s="2372">
        <f t="shared" si="223"/>
        <v>393.31080825986544</v>
      </c>
      <c r="F40" s="2372">
        <f t="shared" si="223"/>
        <v>223.07903790551154</v>
      </c>
      <c r="G40" s="3604"/>
      <c r="H40" s="2384">
        <v>2</v>
      </c>
      <c r="I40" s="2384">
        <v>2.04</v>
      </c>
      <c r="J40" s="2384">
        <v>2.33</v>
      </c>
      <c r="K40" s="2384">
        <v>2.0699999999999998</v>
      </c>
      <c r="L40" s="2385">
        <v>0.69</v>
      </c>
      <c r="N40" s="2374">
        <f t="shared" si="215"/>
        <v>2.0400000000000001E-2</v>
      </c>
      <c r="O40" s="2399">
        <f t="shared" si="210"/>
        <v>2.3300000000000001E-2</v>
      </c>
      <c r="P40" s="2399">
        <f t="shared" si="210"/>
        <v>2.07E-2</v>
      </c>
      <c r="Q40" s="2399">
        <f t="shared" si="210"/>
        <v>6.8999999999999999E-3</v>
      </c>
      <c r="R40" s="2375"/>
      <c r="S40" s="2374"/>
      <c r="T40" s="2359"/>
      <c r="U40" s="2359"/>
      <c r="V40" s="2359"/>
      <c r="X40" s="2418"/>
      <c r="Y40" s="2419"/>
    </row>
    <row r="41" spans="1:34">
      <c r="A41" s="2371" t="s">
        <v>893</v>
      </c>
      <c r="B41" s="2372">
        <f t="shared" si="222"/>
        <v>282.50186729015837</v>
      </c>
      <c r="C41" s="2372">
        <f t="shared" si="222"/>
        <v>238.09796174155468</v>
      </c>
      <c r="D41" s="2372">
        <f t="shared" si="213"/>
        <v>238.09796174155468</v>
      </c>
      <c r="E41" s="2372">
        <f t="shared" si="223"/>
        <v>385.33438646014054</v>
      </c>
      <c r="F41" s="2372">
        <f t="shared" si="223"/>
        <v>221.55034055567739</v>
      </c>
      <c r="G41" s="3605"/>
      <c r="H41" s="2373">
        <v>1</v>
      </c>
      <c r="I41" s="2373">
        <v>1.67</v>
      </c>
      <c r="J41" s="2373">
        <v>1.31</v>
      </c>
      <c r="K41" s="2373">
        <v>1.85</v>
      </c>
      <c r="L41" s="2379">
        <v>0.96</v>
      </c>
      <c r="N41" s="2390">
        <f t="shared" si="215"/>
        <v>1.67E-2</v>
      </c>
      <c r="O41" s="2391">
        <f t="shared" si="215"/>
        <v>1.3100000000000001E-2</v>
      </c>
      <c r="P41" s="2391">
        <f t="shared" si="215"/>
        <v>1.8500000000000003E-2</v>
      </c>
      <c r="Q41" s="2391">
        <f t="shared" si="215"/>
        <v>9.5999999999999992E-3</v>
      </c>
      <c r="R41" s="2375"/>
      <c r="S41" s="2390">
        <f>B41/B42-1</f>
        <v>1.6193767230785472E-2</v>
      </c>
      <c r="T41" s="2391">
        <f>C41/C42-1</f>
        <v>1.7512657015190891E-2</v>
      </c>
      <c r="U41" s="2391">
        <f>E41/E42-1</f>
        <v>1.6713420739157048E-2</v>
      </c>
      <c r="V41" s="2391">
        <f>F41/F42-1</f>
        <v>7.0470025258062563E-3</v>
      </c>
      <c r="X41" s="2420"/>
      <c r="Y41" s="2359"/>
      <c r="Z41" s="2359"/>
    </row>
    <row r="42" spans="1:34" ht="13.5" thickBot="1">
      <c r="A42" s="2371" t="s">
        <v>894</v>
      </c>
      <c r="B42" s="2421">
        <v>278</v>
      </c>
      <c r="C42" s="2421">
        <v>234</v>
      </c>
      <c r="D42" s="2421">
        <f t="shared" si="213"/>
        <v>234</v>
      </c>
      <c r="E42" s="2421">
        <v>379</v>
      </c>
      <c r="F42" s="2422">
        <v>220</v>
      </c>
      <c r="G42" s="3598">
        <v>2012</v>
      </c>
      <c r="H42" s="2392">
        <v>4</v>
      </c>
      <c r="I42" s="2392">
        <v>0.91</v>
      </c>
      <c r="J42" s="2392">
        <v>0.68</v>
      </c>
      <c r="K42" s="2392">
        <v>0.98</v>
      </c>
      <c r="L42" s="2393">
        <v>0.9</v>
      </c>
      <c r="N42" s="2374">
        <f t="shared" si="215"/>
        <v>9.1000000000000004E-3</v>
      </c>
      <c r="O42" s="2359">
        <f t="shared" si="215"/>
        <v>6.8000000000000005E-3</v>
      </c>
      <c r="P42" s="2359">
        <f t="shared" si="215"/>
        <v>9.7999999999999997E-3</v>
      </c>
      <c r="Q42" s="2359">
        <f t="shared" si="215"/>
        <v>9.0000000000000011E-3</v>
      </c>
      <c r="R42" s="2375"/>
      <c r="S42" s="2388"/>
      <c r="T42" s="2389"/>
      <c r="U42" s="2389"/>
      <c r="V42" s="2389"/>
      <c r="X42" s="2389"/>
      <c r="Y42" s="2389"/>
      <c r="Z42" s="2389"/>
    </row>
    <row r="43" spans="1:34">
      <c r="A43" s="2371" t="s">
        <v>895</v>
      </c>
      <c r="B43" s="2372">
        <f>B42/(1+N42)</f>
        <v>275.49301357645425</v>
      </c>
      <c r="C43" s="2372">
        <f>C42/(1+O42)</f>
        <v>232.41954707985698</v>
      </c>
      <c r="D43" s="2372">
        <f t="shared" si="213"/>
        <v>232.41954707985698</v>
      </c>
      <c r="E43" s="2372">
        <f t="shared" ref="E43:F45" si="224">E42/(1+P42)</f>
        <v>375.32184591008121</v>
      </c>
      <c r="F43" s="2372">
        <f t="shared" si="224"/>
        <v>218.03766105054513</v>
      </c>
      <c r="G43" s="3599"/>
      <c r="H43" s="2397">
        <v>3</v>
      </c>
      <c r="I43" s="2397">
        <v>0.09</v>
      </c>
      <c r="J43" s="2397">
        <v>0.28999999999999998</v>
      </c>
      <c r="K43" s="2397">
        <v>-0.01</v>
      </c>
      <c r="L43" s="2398">
        <v>0.57999999999999996</v>
      </c>
      <c r="N43" s="2374">
        <f t="shared" si="215"/>
        <v>8.9999999999999998E-4</v>
      </c>
      <c r="O43" s="2359">
        <f t="shared" si="215"/>
        <v>2.8999999999999998E-3</v>
      </c>
      <c r="P43" s="2359">
        <f t="shared" si="215"/>
        <v>-1E-4</v>
      </c>
      <c r="Q43" s="2359">
        <f t="shared" si="215"/>
        <v>5.7999999999999996E-3</v>
      </c>
      <c r="R43" s="2375"/>
      <c r="S43" s="2374"/>
      <c r="T43" s="2359"/>
      <c r="U43" s="2359"/>
      <c r="V43" s="2359"/>
    </row>
    <row r="44" spans="1:34">
      <c r="A44" s="2371" t="s">
        <v>896</v>
      </c>
      <c r="B44" s="2372">
        <f>B43/(1+N43)</f>
        <v>275.24529281292263</v>
      </c>
      <c r="C44" s="2372">
        <f>C43/(1+O43)</f>
        <v>231.74747938962707</v>
      </c>
      <c r="D44" s="2372">
        <f t="shared" si="213"/>
        <v>231.74747938962707</v>
      </c>
      <c r="E44" s="2372">
        <f t="shared" si="224"/>
        <v>375.35938184826603</v>
      </c>
      <c r="F44" s="2372">
        <f t="shared" si="224"/>
        <v>216.78033510692495</v>
      </c>
      <c r="G44" s="3599"/>
      <c r="H44" s="2384">
        <v>2</v>
      </c>
      <c r="I44" s="2384">
        <v>0.02</v>
      </c>
      <c r="J44" s="2384">
        <v>0.12</v>
      </c>
      <c r="K44" s="2384">
        <v>-0.08</v>
      </c>
      <c r="L44" s="2385">
        <v>1.24</v>
      </c>
      <c r="N44" s="2374">
        <f t="shared" si="215"/>
        <v>2.0000000000000001E-4</v>
      </c>
      <c r="O44" s="2359">
        <f t="shared" si="215"/>
        <v>1.1999999999999999E-3</v>
      </c>
      <c r="P44" s="2359">
        <f t="shared" si="215"/>
        <v>-8.0000000000000004E-4</v>
      </c>
      <c r="Q44" s="2359">
        <f t="shared" si="215"/>
        <v>1.24E-2</v>
      </c>
      <c r="R44" s="2375"/>
      <c r="S44" s="2374"/>
      <c r="T44" s="2359"/>
      <c r="U44" s="2359"/>
      <c r="V44" s="2359"/>
    </row>
    <row r="45" spans="1:34" ht="13.5" thickBot="1">
      <c r="A45" s="2371" t="s">
        <v>897</v>
      </c>
      <c r="B45" s="2372">
        <f>B44/(1+N44)</f>
        <v>275.19025476197027</v>
      </c>
      <c r="C45" s="2423">
        <v>232</v>
      </c>
      <c r="D45" s="2423">
        <f t="shared" si="213"/>
        <v>232</v>
      </c>
      <c r="E45" s="2372">
        <f t="shared" si="224"/>
        <v>375.65990977608692</v>
      </c>
      <c r="F45" s="2372">
        <f t="shared" si="224"/>
        <v>214.12518283971252</v>
      </c>
      <c r="G45" s="3600"/>
      <c r="H45" s="2373">
        <v>1</v>
      </c>
      <c r="I45" s="2373">
        <v>0.02</v>
      </c>
      <c r="J45" s="2373">
        <v>0.13</v>
      </c>
      <c r="K45" s="2373">
        <v>-0.04</v>
      </c>
      <c r="L45" s="2379">
        <v>0.46</v>
      </c>
      <c r="N45" s="2374">
        <f t="shared" si="215"/>
        <v>2.0000000000000001E-4</v>
      </c>
      <c r="O45" s="2359">
        <f t="shared" si="215"/>
        <v>1.2999999999999999E-3</v>
      </c>
      <c r="P45" s="2359">
        <f t="shared" si="215"/>
        <v>-4.0000000000000002E-4</v>
      </c>
      <c r="Q45" s="2359">
        <f t="shared" si="215"/>
        <v>4.5999999999999999E-3</v>
      </c>
      <c r="R45" s="2375"/>
      <c r="S45" s="2390">
        <f>B45/B46-1</f>
        <v>6.9183549807361189E-4</v>
      </c>
      <c r="T45" s="2391">
        <f>C45/C46-1</f>
        <v>0</v>
      </c>
      <c r="U45" s="2391">
        <f>E45/E46-1</f>
        <v>-9.0449527636460303E-4</v>
      </c>
      <c r="V45" s="2391">
        <f>F45/F46-1</f>
        <v>5.2825485432512753E-3</v>
      </c>
      <c r="X45" s="2359"/>
      <c r="Y45" s="2359"/>
      <c r="Z45" s="2359"/>
    </row>
    <row r="46" spans="1:34" ht="13.5" thickBot="1">
      <c r="A46" s="2371" t="s">
        <v>898</v>
      </c>
      <c r="B46" s="2386">
        <v>275</v>
      </c>
      <c r="C46" s="2386">
        <v>232</v>
      </c>
      <c r="D46" s="2386">
        <f t="shared" si="213"/>
        <v>232</v>
      </c>
      <c r="E46" s="2386">
        <v>376</v>
      </c>
      <c r="F46" s="2387">
        <v>213</v>
      </c>
      <c r="G46" s="3598">
        <v>2011</v>
      </c>
      <c r="H46" s="2392">
        <v>4</v>
      </c>
      <c r="I46" s="2392">
        <v>-0.2</v>
      </c>
      <c r="J46" s="2392">
        <v>0.04</v>
      </c>
      <c r="K46" s="2392">
        <v>-0.34</v>
      </c>
      <c r="L46" s="2393">
        <v>0.46</v>
      </c>
      <c r="N46" s="2394">
        <f t="shared" si="215"/>
        <v>-2E-3</v>
      </c>
      <c r="O46" s="2395">
        <f t="shared" si="215"/>
        <v>4.0000000000000002E-4</v>
      </c>
      <c r="P46" s="2395">
        <f t="shared" si="215"/>
        <v>-3.4000000000000002E-3</v>
      </c>
      <c r="Q46" s="2395">
        <f t="shared" si="215"/>
        <v>4.5999999999999999E-3</v>
      </c>
      <c r="R46" s="2375"/>
      <c r="S46" s="2388"/>
      <c r="T46" s="2389"/>
      <c r="U46" s="2389"/>
      <c r="V46" s="2389"/>
      <c r="X46" s="2389"/>
      <c r="Y46" s="2389"/>
      <c r="Z46" s="2389"/>
    </row>
    <row r="47" spans="1:34">
      <c r="A47" s="2371" t="s">
        <v>899</v>
      </c>
      <c r="B47" s="2372">
        <f t="shared" ref="B47:C49" si="225">B46/(1+N46)</f>
        <v>275.55110220440883</v>
      </c>
      <c r="C47" s="2372">
        <f t="shared" si="225"/>
        <v>231.90723710515795</v>
      </c>
      <c r="D47" s="2372">
        <f t="shared" si="213"/>
        <v>231.90723710515795</v>
      </c>
      <c r="E47" s="2372">
        <f t="shared" ref="E47:F49" si="226">E46/(1+P46)</f>
        <v>377.28276138872161</v>
      </c>
      <c r="F47" s="2372">
        <f t="shared" si="226"/>
        <v>212.02468644236512</v>
      </c>
      <c r="G47" s="3599">
        <v>2011</v>
      </c>
      <c r="H47" s="2397">
        <v>3</v>
      </c>
      <c r="I47" s="2397">
        <v>0.13</v>
      </c>
      <c r="J47" s="2397">
        <v>0.75</v>
      </c>
      <c r="K47" s="2397">
        <v>-0.08</v>
      </c>
      <c r="L47" s="2398">
        <v>0.53</v>
      </c>
      <c r="N47" s="2374">
        <f t="shared" si="215"/>
        <v>1.2999999999999999E-3</v>
      </c>
      <c r="O47" s="2399">
        <f t="shared" si="215"/>
        <v>7.4999999999999997E-3</v>
      </c>
      <c r="P47" s="2399">
        <f t="shared" si="215"/>
        <v>-8.0000000000000004E-4</v>
      </c>
      <c r="Q47" s="2399">
        <f t="shared" si="215"/>
        <v>5.3E-3</v>
      </c>
      <c r="R47" s="2375"/>
      <c r="S47" s="2374"/>
      <c r="T47" s="2359"/>
      <c r="U47" s="2359"/>
      <c r="V47" s="2359"/>
    </row>
    <row r="48" spans="1:34">
      <c r="A48" s="2371" t="s">
        <v>900</v>
      </c>
      <c r="B48" s="2372">
        <f t="shared" si="225"/>
        <v>275.19335084830601</v>
      </c>
      <c r="C48" s="2372">
        <f t="shared" si="225"/>
        <v>230.18088050139744</v>
      </c>
      <c r="D48" s="2372">
        <f t="shared" si="213"/>
        <v>230.18088050139744</v>
      </c>
      <c r="E48" s="2372">
        <f t="shared" si="226"/>
        <v>377.58482925212331</v>
      </c>
      <c r="F48" s="2372">
        <f t="shared" si="226"/>
        <v>210.90687997847917</v>
      </c>
      <c r="G48" s="3599">
        <v>2011</v>
      </c>
      <c r="H48" s="2384">
        <v>2</v>
      </c>
      <c r="I48" s="2384">
        <v>-0.4</v>
      </c>
      <c r="J48" s="2384">
        <v>0.17</v>
      </c>
      <c r="K48" s="2384">
        <v>-0.57999999999999996</v>
      </c>
      <c r="L48" s="2385">
        <v>-0.2</v>
      </c>
      <c r="N48" s="2374">
        <f t="shared" si="215"/>
        <v>-4.0000000000000001E-3</v>
      </c>
      <c r="O48" s="2399">
        <f t="shared" si="215"/>
        <v>1.7000000000000001E-3</v>
      </c>
      <c r="P48" s="2399">
        <f t="shared" si="215"/>
        <v>-5.7999999999999996E-3</v>
      </c>
      <c r="Q48" s="2399">
        <f t="shared" si="215"/>
        <v>-2E-3</v>
      </c>
      <c r="R48" s="2375"/>
      <c r="S48" s="2374"/>
      <c r="T48" s="2359"/>
      <c r="U48" s="2359"/>
      <c r="V48" s="2359"/>
    </row>
    <row r="49" spans="1:26" ht="13.5" thickBot="1">
      <c r="A49" s="2371" t="s">
        <v>901</v>
      </c>
      <c r="B49" s="2372">
        <f t="shared" si="225"/>
        <v>276.29854502841971</v>
      </c>
      <c r="C49" s="2372">
        <f t="shared" si="225"/>
        <v>229.79023709833027</v>
      </c>
      <c r="D49" s="2372">
        <f t="shared" si="213"/>
        <v>229.79023709833027</v>
      </c>
      <c r="E49" s="2372">
        <f t="shared" si="226"/>
        <v>379.78759731655936</v>
      </c>
      <c r="F49" s="2372">
        <f t="shared" si="226"/>
        <v>211.32953905659235</v>
      </c>
      <c r="G49" s="3600">
        <v>2011</v>
      </c>
      <c r="H49" s="2373">
        <v>1</v>
      </c>
      <c r="I49" s="2373">
        <v>2.65</v>
      </c>
      <c r="J49" s="2373">
        <v>3.76</v>
      </c>
      <c r="K49" s="2373">
        <v>1.89</v>
      </c>
      <c r="L49" s="2379">
        <v>7.95</v>
      </c>
      <c r="N49" s="2390">
        <f t="shared" si="215"/>
        <v>2.6499999999999999E-2</v>
      </c>
      <c r="O49" s="2391">
        <f t="shared" si="215"/>
        <v>3.7599999999999995E-2</v>
      </c>
      <c r="P49" s="2391">
        <f t="shared" si="215"/>
        <v>1.89E-2</v>
      </c>
      <c r="Q49" s="2391">
        <f t="shared" si="215"/>
        <v>7.9500000000000001E-2</v>
      </c>
      <c r="R49" s="2375"/>
      <c r="S49" s="2390">
        <f>B49/B50-1</f>
        <v>2.713213765211786E-2</v>
      </c>
      <c r="T49" s="2391">
        <f>C49/C50-1</f>
        <v>3.9774828499231862E-2</v>
      </c>
      <c r="U49" s="2391">
        <f>E49/E50-1</f>
        <v>1.8197311840641772E-2</v>
      </c>
      <c r="V49" s="2391">
        <f>F49/F50-1</f>
        <v>7.8211933962205826E-2</v>
      </c>
      <c r="X49" s="2359"/>
      <c r="Y49" s="2359"/>
      <c r="Z49" s="2359"/>
    </row>
    <row r="50" spans="1:26" ht="13.5" thickBot="1">
      <c r="A50" s="2371" t="s">
        <v>902</v>
      </c>
      <c r="B50" s="2386">
        <v>269</v>
      </c>
      <c r="C50" s="2386">
        <v>221</v>
      </c>
      <c r="D50" s="2386">
        <f t="shared" si="213"/>
        <v>221</v>
      </c>
      <c r="E50" s="2386">
        <v>373</v>
      </c>
      <c r="F50" s="2387">
        <v>196</v>
      </c>
      <c r="G50" s="3598">
        <v>2010</v>
      </c>
      <c r="H50" s="2392">
        <v>4</v>
      </c>
      <c r="I50" s="2392">
        <v>5.72</v>
      </c>
      <c r="J50" s="2392">
        <v>6.57</v>
      </c>
      <c r="K50" s="2392">
        <v>5.72</v>
      </c>
      <c r="L50" s="2393">
        <v>2.72</v>
      </c>
      <c r="N50" s="2374">
        <f t="shared" si="215"/>
        <v>5.7200000000000001E-2</v>
      </c>
      <c r="O50" s="2359">
        <f t="shared" si="215"/>
        <v>6.5700000000000008E-2</v>
      </c>
      <c r="P50" s="2359">
        <f t="shared" si="215"/>
        <v>5.7200000000000001E-2</v>
      </c>
      <c r="Q50" s="2359">
        <f t="shared" si="215"/>
        <v>2.7200000000000002E-2</v>
      </c>
      <c r="R50" s="2375"/>
      <c r="S50" s="2388"/>
      <c r="T50" s="2389"/>
      <c r="U50" s="2389"/>
      <c r="V50" s="2389"/>
      <c r="X50" s="2389"/>
      <c r="Y50" s="2389"/>
      <c r="Z50" s="2389"/>
    </row>
    <row r="51" spans="1:26">
      <c r="A51" s="2371" t="s">
        <v>903</v>
      </c>
      <c r="B51" s="2372">
        <f t="shared" ref="B51:C53" si="227">B50/(1+N50)</f>
        <v>254.44570563753314</v>
      </c>
      <c r="C51" s="2372">
        <f t="shared" si="227"/>
        <v>207.37543398705074</v>
      </c>
      <c r="D51" s="2372">
        <f t="shared" si="213"/>
        <v>207.37543398705074</v>
      </c>
      <c r="E51" s="2372">
        <f t="shared" ref="E51:F53" si="228">E50/(1+P50)</f>
        <v>352.81876655315932</v>
      </c>
      <c r="F51" s="2372">
        <f t="shared" si="228"/>
        <v>190.809968847352</v>
      </c>
      <c r="G51" s="3599">
        <v>2010</v>
      </c>
      <c r="H51" s="2397">
        <v>3</v>
      </c>
      <c r="I51" s="2397">
        <v>4.7300000000000004</v>
      </c>
      <c r="J51" s="2397">
        <v>3.9</v>
      </c>
      <c r="K51" s="2397">
        <v>5.03</v>
      </c>
      <c r="L51" s="2398">
        <v>4.21</v>
      </c>
      <c r="N51" s="2374">
        <f t="shared" si="215"/>
        <v>4.7300000000000002E-2</v>
      </c>
      <c r="O51" s="2359">
        <f t="shared" si="215"/>
        <v>3.9E-2</v>
      </c>
      <c r="P51" s="2359">
        <f t="shared" si="215"/>
        <v>5.0300000000000004E-2</v>
      </c>
      <c r="Q51" s="2359">
        <f t="shared" si="215"/>
        <v>4.2099999999999999E-2</v>
      </c>
      <c r="R51" s="2375"/>
      <c r="S51" s="2374"/>
      <c r="T51" s="2359"/>
      <c r="U51" s="2359"/>
      <c r="V51" s="2359"/>
    </row>
    <row r="52" spans="1:26">
      <c r="A52" s="2371" t="s">
        <v>904</v>
      </c>
      <c r="B52" s="2372">
        <f t="shared" si="227"/>
        <v>242.95398227588385</v>
      </c>
      <c r="C52" s="2372">
        <f t="shared" si="227"/>
        <v>199.59137053614126</v>
      </c>
      <c r="D52" s="2372">
        <f t="shared" si="213"/>
        <v>199.59137053614126</v>
      </c>
      <c r="E52" s="2372">
        <f t="shared" si="228"/>
        <v>335.92189522342125</v>
      </c>
      <c r="F52" s="2372">
        <f t="shared" si="228"/>
        <v>183.10139991109489</v>
      </c>
      <c r="G52" s="3599">
        <v>2010</v>
      </c>
      <c r="H52" s="2384">
        <v>2</v>
      </c>
      <c r="I52" s="2384">
        <v>4.6900000000000004</v>
      </c>
      <c r="J52" s="2384">
        <v>3.55</v>
      </c>
      <c r="K52" s="2384">
        <v>5.07</v>
      </c>
      <c r="L52" s="2385">
        <v>4.2300000000000004</v>
      </c>
      <c r="N52" s="2374">
        <f t="shared" si="215"/>
        <v>4.6900000000000004E-2</v>
      </c>
      <c r="O52" s="2359">
        <f t="shared" si="215"/>
        <v>3.5499999999999997E-2</v>
      </c>
      <c r="P52" s="2359">
        <f t="shared" si="215"/>
        <v>5.0700000000000002E-2</v>
      </c>
      <c r="Q52" s="2359">
        <f t="shared" si="215"/>
        <v>4.2300000000000004E-2</v>
      </c>
      <c r="R52" s="2375"/>
      <c r="S52" s="2374"/>
      <c r="T52" s="2359"/>
      <c r="U52" s="2359"/>
      <c r="V52" s="2359"/>
    </row>
    <row r="53" spans="1:26" ht="13.5" thickBot="1">
      <c r="A53" s="2371" t="s">
        <v>905</v>
      </c>
      <c r="B53" s="2372">
        <f t="shared" si="227"/>
        <v>232.06990378821649</v>
      </c>
      <c r="C53" s="2372">
        <f t="shared" si="227"/>
        <v>192.74878854286936</v>
      </c>
      <c r="D53" s="2372">
        <f t="shared" si="213"/>
        <v>192.74878854286936</v>
      </c>
      <c r="E53" s="2372">
        <f t="shared" si="228"/>
        <v>319.71247284992984</v>
      </c>
      <c r="F53" s="2372">
        <f t="shared" si="228"/>
        <v>175.67053622862409</v>
      </c>
      <c r="G53" s="3600">
        <v>2010</v>
      </c>
      <c r="H53" s="2373">
        <v>1</v>
      </c>
      <c r="I53" s="2373">
        <v>5.4</v>
      </c>
      <c r="J53" s="2373">
        <v>3.2</v>
      </c>
      <c r="K53" s="2373">
        <v>6.16</v>
      </c>
      <c r="L53" s="2379">
        <v>4.51</v>
      </c>
      <c r="N53" s="2374">
        <f t="shared" si="215"/>
        <v>5.4000000000000006E-2</v>
      </c>
      <c r="O53" s="2359">
        <f t="shared" si="215"/>
        <v>3.2000000000000001E-2</v>
      </c>
      <c r="P53" s="2359">
        <f t="shared" si="215"/>
        <v>6.1600000000000002E-2</v>
      </c>
      <c r="Q53" s="2359">
        <f t="shared" si="215"/>
        <v>4.5100000000000001E-2</v>
      </c>
      <c r="R53" s="2375"/>
      <c r="S53" s="2390">
        <f>B53/B54-1</f>
        <v>5.4863199037347599E-2</v>
      </c>
      <c r="T53" s="2391">
        <f>C53/C54-1</f>
        <v>3.0742184721226584E-2</v>
      </c>
      <c r="U53" s="2391">
        <f>E53/E54-1</f>
        <v>6.2167683886810154E-2</v>
      </c>
      <c r="V53" s="2391">
        <f>F53/F54-1</f>
        <v>4.5657953741810031E-2</v>
      </c>
      <c r="X53" s="2359"/>
      <c r="Y53" s="2359"/>
      <c r="Z53" s="2359"/>
    </row>
    <row r="54" spans="1:26" ht="13.5" thickBot="1">
      <c r="A54" s="2371" t="s">
        <v>906</v>
      </c>
      <c r="B54" s="2386">
        <v>220</v>
      </c>
      <c r="C54" s="2386">
        <v>187</v>
      </c>
      <c r="D54" s="2386">
        <f t="shared" si="213"/>
        <v>187</v>
      </c>
      <c r="E54" s="2386">
        <v>301</v>
      </c>
      <c r="F54" s="2387">
        <v>168</v>
      </c>
      <c r="G54" s="3598">
        <v>2009</v>
      </c>
      <c r="H54" s="2392">
        <v>4</v>
      </c>
      <c r="I54" s="2392">
        <v>2.2999999999999998</v>
      </c>
      <c r="J54" s="2392">
        <v>1.04</v>
      </c>
      <c r="K54" s="2392">
        <v>2.84</v>
      </c>
      <c r="L54" s="2393">
        <v>0.67</v>
      </c>
      <c r="N54" s="2394">
        <f t="shared" si="215"/>
        <v>2.3E-2</v>
      </c>
      <c r="O54" s="2395">
        <f t="shared" si="215"/>
        <v>1.04E-2</v>
      </c>
      <c r="P54" s="2395">
        <f t="shared" si="215"/>
        <v>2.8399999999999998E-2</v>
      </c>
      <c r="Q54" s="2395">
        <f t="shared" si="215"/>
        <v>6.7000000000000002E-3</v>
      </c>
      <c r="R54" s="2375"/>
      <c r="S54" s="2388"/>
      <c r="T54" s="2389"/>
      <c r="U54" s="2389"/>
      <c r="V54" s="2389"/>
      <c r="X54" s="2389"/>
      <c r="Y54" s="2389"/>
      <c r="Z54" s="2389"/>
    </row>
    <row r="55" spans="1:26">
      <c r="A55" s="2371" t="s">
        <v>907</v>
      </c>
      <c r="B55" s="2372">
        <f t="shared" ref="B55:C57" si="229">B54/(1+N54)</f>
        <v>215.05376344086022</v>
      </c>
      <c r="C55" s="2372">
        <f t="shared" si="229"/>
        <v>185.0752177355503</v>
      </c>
      <c r="D55" s="2372">
        <f t="shared" si="213"/>
        <v>185.0752177355503</v>
      </c>
      <c r="E55" s="2372">
        <f t="shared" ref="E55:F57" si="230">E54/(1+P54)</f>
        <v>292.68767016725008</v>
      </c>
      <c r="F55" s="2372">
        <f t="shared" si="230"/>
        <v>166.88189132810174</v>
      </c>
      <c r="G55" s="3599">
        <v>2009</v>
      </c>
      <c r="H55" s="2397">
        <v>3</v>
      </c>
      <c r="I55" s="2397">
        <v>2.1</v>
      </c>
      <c r="J55" s="2397">
        <v>1.86</v>
      </c>
      <c r="K55" s="2397">
        <v>2.29</v>
      </c>
      <c r="L55" s="2398">
        <v>0.85</v>
      </c>
      <c r="N55" s="2374">
        <f t="shared" si="215"/>
        <v>2.1000000000000001E-2</v>
      </c>
      <c r="O55" s="2399">
        <f t="shared" si="215"/>
        <v>1.8600000000000002E-2</v>
      </c>
      <c r="P55" s="2399">
        <f t="shared" si="215"/>
        <v>2.29E-2</v>
      </c>
      <c r="Q55" s="2399">
        <f t="shared" si="215"/>
        <v>8.5000000000000006E-3</v>
      </c>
      <c r="R55" s="2375"/>
      <c r="S55" s="2374"/>
      <c r="T55" s="2359"/>
      <c r="U55" s="2359"/>
      <c r="V55" s="2359"/>
    </row>
    <row r="56" spans="1:26">
      <c r="A56" s="2371" t="s">
        <v>908</v>
      </c>
      <c r="B56" s="2372">
        <f t="shared" si="229"/>
        <v>210.630522469011</v>
      </c>
      <c r="C56" s="2372">
        <f t="shared" si="229"/>
        <v>181.69567812247232</v>
      </c>
      <c r="D56" s="2372">
        <f t="shared" si="213"/>
        <v>181.69567812247232</v>
      </c>
      <c r="E56" s="2372">
        <f t="shared" si="230"/>
        <v>286.13517466736738</v>
      </c>
      <c r="F56" s="2372">
        <f t="shared" si="230"/>
        <v>165.47535084591149</v>
      </c>
      <c r="G56" s="3599">
        <v>2009</v>
      </c>
      <c r="H56" s="2384">
        <v>2</v>
      </c>
      <c r="I56" s="2384">
        <v>0.86</v>
      </c>
      <c r="J56" s="2384">
        <v>-1.1299999999999999</v>
      </c>
      <c r="K56" s="2384">
        <v>1.79</v>
      </c>
      <c r="L56" s="2385">
        <v>-2.0699999999999998</v>
      </c>
      <c r="N56" s="2374">
        <f t="shared" si="215"/>
        <v>8.6E-3</v>
      </c>
      <c r="O56" s="2399">
        <f t="shared" si="215"/>
        <v>-1.1299999999999999E-2</v>
      </c>
      <c r="P56" s="2399">
        <f t="shared" si="215"/>
        <v>1.7899999999999999E-2</v>
      </c>
      <c r="Q56" s="2399">
        <f t="shared" si="215"/>
        <v>-2.07E-2</v>
      </c>
      <c r="R56" s="2375"/>
      <c r="S56" s="2374"/>
      <c r="T56" s="2359"/>
      <c r="U56" s="2359"/>
      <c r="V56" s="2359"/>
    </row>
    <row r="57" spans="1:26">
      <c r="A57" s="2371" t="s">
        <v>909</v>
      </c>
      <c r="B57" s="2372">
        <f t="shared" si="229"/>
        <v>208.83454537875372</v>
      </c>
      <c r="C57" s="2372">
        <f t="shared" si="229"/>
        <v>183.77230517090351</v>
      </c>
      <c r="D57" s="2372">
        <f t="shared" si="213"/>
        <v>183.77230517090351</v>
      </c>
      <c r="E57" s="2372">
        <f t="shared" si="230"/>
        <v>281.10342338870947</v>
      </c>
      <c r="F57" s="2372">
        <f t="shared" si="230"/>
        <v>168.97309388942256</v>
      </c>
      <c r="G57" s="3600">
        <v>2009</v>
      </c>
      <c r="H57" s="2373">
        <v>1</v>
      </c>
      <c r="I57" s="2373">
        <v>-2.64</v>
      </c>
      <c r="J57" s="2373">
        <v>-2.5299999999999998</v>
      </c>
      <c r="K57" s="2373">
        <v>-3.02</v>
      </c>
      <c r="L57" s="2379">
        <v>1.52</v>
      </c>
      <c r="N57" s="2390">
        <f t="shared" si="215"/>
        <v>-2.64E-2</v>
      </c>
      <c r="O57" s="2391">
        <f t="shared" si="215"/>
        <v>-2.53E-2</v>
      </c>
      <c r="P57" s="2391">
        <f t="shared" si="215"/>
        <v>-3.0200000000000001E-2</v>
      </c>
      <c r="Q57" s="2391">
        <f t="shared" si="215"/>
        <v>1.52E-2</v>
      </c>
      <c r="R57" s="2375"/>
      <c r="S57" s="2390">
        <f>B57/B58-1</f>
        <v>-2.4137638417038754E-2</v>
      </c>
      <c r="T57" s="2391">
        <f>C57/C58-1</f>
        <v>-2.248773845264096E-2</v>
      </c>
      <c r="U57" s="2391">
        <f>E57/E58-1</f>
        <v>-2.7323794502735366E-2</v>
      </c>
      <c r="V57" s="2391">
        <f>F57/F58-1</f>
        <v>1.7910204153148035E-2</v>
      </c>
      <c r="X57" s="2359"/>
      <c r="Y57" s="2359"/>
      <c r="Z57" s="2359"/>
    </row>
    <row r="58" spans="1:26" ht="13.5" thickBot="1">
      <c r="A58" s="2371" t="s">
        <v>910</v>
      </c>
      <c r="B58" s="2421">
        <v>214</v>
      </c>
      <c r="C58" s="2421">
        <v>188</v>
      </c>
      <c r="D58" s="2421">
        <f t="shared" si="213"/>
        <v>188</v>
      </c>
      <c r="E58" s="2421">
        <v>289</v>
      </c>
      <c r="F58" s="2422">
        <v>166</v>
      </c>
      <c r="G58" s="3598">
        <v>2008</v>
      </c>
      <c r="H58" s="2392">
        <v>4</v>
      </c>
      <c r="I58" s="2392">
        <v>1.73</v>
      </c>
      <c r="J58" s="2392">
        <v>0.03</v>
      </c>
      <c r="K58" s="2392">
        <v>2.59</v>
      </c>
      <c r="L58" s="2393">
        <v>-1.66</v>
      </c>
      <c r="N58" s="2374">
        <f t="shared" si="215"/>
        <v>1.7299999999999999E-2</v>
      </c>
      <c r="O58" s="2359">
        <f t="shared" si="215"/>
        <v>2.9999999999999997E-4</v>
      </c>
      <c r="P58" s="2359">
        <f t="shared" si="215"/>
        <v>2.5899999999999999E-2</v>
      </c>
      <c r="Q58" s="2359">
        <f t="shared" si="215"/>
        <v>-1.66E-2</v>
      </c>
      <c r="R58" s="2375"/>
      <c r="S58" s="2388"/>
      <c r="T58" s="2389"/>
      <c r="U58" s="2389"/>
      <c r="V58" s="2389"/>
      <c r="X58" s="2389"/>
      <c r="Y58" s="2389"/>
      <c r="Z58" s="2389"/>
    </row>
    <row r="59" spans="1:26">
      <c r="A59" s="2371" t="s">
        <v>911</v>
      </c>
      <c r="B59" s="2372">
        <f t="shared" ref="B59:C61" si="231">B58/(1+N58)</f>
        <v>210.36075887152265</v>
      </c>
      <c r="C59" s="2372">
        <f t="shared" si="231"/>
        <v>187.94361691492554</v>
      </c>
      <c r="D59" s="2372">
        <f t="shared" si="213"/>
        <v>187.94361691492554</v>
      </c>
      <c r="E59" s="2372">
        <f t="shared" ref="E59:F61" si="232">E58/(1+P58)</f>
        <v>281.70386977288234</v>
      </c>
      <c r="F59" s="2372">
        <f t="shared" si="232"/>
        <v>168.80211511083994</v>
      </c>
      <c r="G59" s="3599">
        <v>2008</v>
      </c>
      <c r="H59" s="2397">
        <v>3</v>
      </c>
      <c r="I59" s="2397">
        <v>1.96</v>
      </c>
      <c r="J59" s="2397">
        <v>2.36</v>
      </c>
      <c r="K59" s="2397">
        <v>1.82</v>
      </c>
      <c r="L59" s="2398">
        <v>2.2200000000000002</v>
      </c>
      <c r="N59" s="2374">
        <f t="shared" si="215"/>
        <v>1.9599999999999999E-2</v>
      </c>
      <c r="O59" s="2359">
        <f t="shared" si="215"/>
        <v>2.3599999999999999E-2</v>
      </c>
      <c r="P59" s="2359">
        <f t="shared" si="215"/>
        <v>1.8200000000000001E-2</v>
      </c>
      <c r="Q59" s="2359">
        <f t="shared" si="215"/>
        <v>2.2200000000000001E-2</v>
      </c>
      <c r="R59" s="2375"/>
      <c r="S59" s="2374"/>
      <c r="T59" s="2359"/>
      <c r="U59" s="2359"/>
      <c r="V59" s="2359"/>
    </row>
    <row r="60" spans="1:26">
      <c r="A60" s="2371" t="s">
        <v>912</v>
      </c>
      <c r="B60" s="2372">
        <f t="shared" si="231"/>
        <v>206.31694671589116</v>
      </c>
      <c r="C60" s="2372">
        <f t="shared" si="231"/>
        <v>183.61041121036101</v>
      </c>
      <c r="D60" s="2372">
        <f t="shared" si="213"/>
        <v>183.61041121036101</v>
      </c>
      <c r="E60" s="2372">
        <f t="shared" si="232"/>
        <v>276.66850301795557</v>
      </c>
      <c r="F60" s="2372">
        <f t="shared" si="232"/>
        <v>165.1360938278614</v>
      </c>
      <c r="G60" s="3599">
        <v>2008</v>
      </c>
      <c r="H60" s="2384">
        <v>2</v>
      </c>
      <c r="I60" s="2384">
        <v>4.93</v>
      </c>
      <c r="J60" s="2384">
        <v>7.38</v>
      </c>
      <c r="K60" s="2384">
        <v>3.98</v>
      </c>
      <c r="L60" s="2385">
        <v>6.86</v>
      </c>
      <c r="N60" s="2374">
        <f t="shared" si="215"/>
        <v>4.9299999999999997E-2</v>
      </c>
      <c r="O60" s="2359">
        <f t="shared" si="215"/>
        <v>7.3800000000000004E-2</v>
      </c>
      <c r="P60" s="2359">
        <f t="shared" si="215"/>
        <v>3.9800000000000002E-2</v>
      </c>
      <c r="Q60" s="2359">
        <f t="shared" si="215"/>
        <v>6.8600000000000008E-2</v>
      </c>
      <c r="R60" s="2375"/>
      <c r="S60" s="2374"/>
      <c r="T60" s="2359"/>
      <c r="U60" s="2359"/>
      <c r="V60" s="2359"/>
    </row>
    <row r="61" spans="1:26" s="2427" customFormat="1" ht="13.5" thickBot="1">
      <c r="A61" s="2371" t="s">
        <v>913</v>
      </c>
      <c r="B61" s="2424">
        <f t="shared" si="231"/>
        <v>196.62341248059772</v>
      </c>
      <c r="C61" s="2424">
        <f t="shared" si="231"/>
        <v>170.99125648199012</v>
      </c>
      <c r="D61" s="2424">
        <f t="shared" si="213"/>
        <v>170.99125648199012</v>
      </c>
      <c r="E61" s="2424">
        <f t="shared" si="232"/>
        <v>266.07857570490052</v>
      </c>
      <c r="F61" s="2424">
        <f t="shared" si="232"/>
        <v>154.53499328828505</v>
      </c>
      <c r="G61" s="3600">
        <v>2008</v>
      </c>
      <c r="H61" s="2425">
        <v>1</v>
      </c>
      <c r="I61" s="2425">
        <v>4.1399999999999997</v>
      </c>
      <c r="J61" s="2425">
        <v>3.45</v>
      </c>
      <c r="K61" s="2425">
        <v>4.95</v>
      </c>
      <c r="L61" s="2426">
        <v>4.82</v>
      </c>
      <c r="N61" s="2428">
        <f t="shared" si="215"/>
        <v>4.1399999999999999E-2</v>
      </c>
      <c r="O61" s="2429">
        <f t="shared" si="215"/>
        <v>3.4500000000000003E-2</v>
      </c>
      <c r="P61" s="2429">
        <f t="shared" si="215"/>
        <v>4.9500000000000002E-2</v>
      </c>
      <c r="Q61" s="2429">
        <f t="shared" si="215"/>
        <v>4.82E-2</v>
      </c>
      <c r="R61" s="2430"/>
      <c r="S61" s="2428">
        <f>B61/B62-1</f>
        <v>4.5869215322328349E-2</v>
      </c>
      <c r="T61" s="2429">
        <f>C61/C62-1</f>
        <v>3.6310645345394743E-2</v>
      </c>
      <c r="U61" s="2429">
        <f>E61/E62-1</f>
        <v>4.7553447657088688E-2</v>
      </c>
      <c r="V61" s="2429">
        <f>F61/F62-1</f>
        <v>4.4155360055980086E-2</v>
      </c>
      <c r="X61" s="2429"/>
      <c r="Y61" s="2429"/>
      <c r="Z61" s="2429"/>
    </row>
    <row r="62" spans="1:26" ht="13.5" thickBot="1">
      <c r="A62" s="2371" t="s">
        <v>914</v>
      </c>
      <c r="B62" s="2386">
        <v>188</v>
      </c>
      <c r="C62" s="2386">
        <v>165</v>
      </c>
      <c r="D62" s="2386">
        <f t="shared" si="213"/>
        <v>165</v>
      </c>
      <c r="E62" s="2386">
        <v>254</v>
      </c>
      <c r="F62" s="2387">
        <v>148</v>
      </c>
      <c r="G62" s="3598">
        <v>2007</v>
      </c>
      <c r="H62" s="2431">
        <v>4</v>
      </c>
      <c r="I62" s="2431">
        <v>5.51</v>
      </c>
      <c r="J62" s="2431">
        <v>4.8899999999999997</v>
      </c>
      <c r="K62" s="2431">
        <v>6.43</v>
      </c>
      <c r="L62" s="2432">
        <v>5.36</v>
      </c>
      <c r="N62" s="2433">
        <f t="shared" ref="N62:O65" si="233">B62/B63-1</f>
        <v>4.1339718365245526E-2</v>
      </c>
      <c r="O62" s="2434">
        <f t="shared" si="233"/>
        <v>4.0324492593776018E-2</v>
      </c>
      <c r="P62" s="2434">
        <f t="shared" ref="P62:Q65" si="234">E62/E63-1</f>
        <v>6.1625555347990968E-2</v>
      </c>
      <c r="Q62" s="2434">
        <f t="shared" si="234"/>
        <v>4.6757569250590603E-2</v>
      </c>
      <c r="R62" s="2375"/>
      <c r="S62" s="2388"/>
      <c r="T62" s="2389"/>
      <c r="U62" s="2389"/>
      <c r="V62" s="2389"/>
      <c r="X62" s="2389"/>
      <c r="Y62" s="2389"/>
      <c r="Z62" s="2389"/>
    </row>
    <row r="63" spans="1:26">
      <c r="A63" s="2371" t="s">
        <v>915</v>
      </c>
      <c r="B63" s="2372">
        <f t="shared" ref="B63:C65" si="235">B64+(B$62-B$66)*I63/SUM(I$62:I$65)</f>
        <v>180.5366651097618</v>
      </c>
      <c r="C63" s="2372">
        <f t="shared" si="235"/>
        <v>158.60435967302453</v>
      </c>
      <c r="D63" s="2372">
        <f t="shared" si="213"/>
        <v>158.60435967302453</v>
      </c>
      <c r="E63" s="2372">
        <f t="shared" ref="E63:F65" si="236">E64+(E$62-E$66)*K63/SUM(K$62:K$65)</f>
        <v>239.25573260785075</v>
      </c>
      <c r="F63" s="2372">
        <f t="shared" si="236"/>
        <v>141.38899430740037</v>
      </c>
      <c r="G63" s="3599">
        <v>2007</v>
      </c>
      <c r="H63" s="2397">
        <v>3</v>
      </c>
      <c r="I63" s="2397">
        <v>8.65</v>
      </c>
      <c r="J63" s="2397">
        <v>8.06</v>
      </c>
      <c r="K63" s="2397">
        <v>9.94</v>
      </c>
      <c r="L63" s="2398">
        <v>5.8</v>
      </c>
      <c r="N63" s="2433">
        <f t="shared" si="233"/>
        <v>6.940217571740015E-2</v>
      </c>
      <c r="O63" s="2434">
        <f t="shared" si="233"/>
        <v>7.1197482471153428E-2</v>
      </c>
      <c r="P63" s="2434">
        <f t="shared" si="234"/>
        <v>0.10529679922579582</v>
      </c>
      <c r="Q63" s="2434">
        <f t="shared" si="234"/>
        <v>5.3292245059512133E-2</v>
      </c>
      <c r="R63" s="2375"/>
      <c r="S63" s="2374"/>
      <c r="T63" s="2359"/>
      <c r="U63" s="2359"/>
      <c r="V63" s="2359"/>
      <c r="X63" s="2435"/>
      <c r="Y63" s="2435"/>
      <c r="Z63" s="2435"/>
    </row>
    <row r="64" spans="1:26">
      <c r="A64" s="2371" t="s">
        <v>916</v>
      </c>
      <c r="B64" s="2372">
        <f t="shared" si="235"/>
        <v>168.82017748715555</v>
      </c>
      <c r="C64" s="2372">
        <f t="shared" si="235"/>
        <v>148.06267029972753</v>
      </c>
      <c r="D64" s="2372">
        <f t="shared" si="213"/>
        <v>148.06267029972753</v>
      </c>
      <c r="E64" s="2372">
        <f t="shared" si="236"/>
        <v>216.46288379323747</v>
      </c>
      <c r="F64" s="2372">
        <f t="shared" si="236"/>
        <v>134.23529411764704</v>
      </c>
      <c r="G64" s="3599">
        <v>2007</v>
      </c>
      <c r="H64" s="2384">
        <v>2</v>
      </c>
      <c r="I64" s="2384">
        <v>3.67</v>
      </c>
      <c r="J64" s="2384">
        <v>2.3199999999999998</v>
      </c>
      <c r="K64" s="2384">
        <v>5.0199999999999996</v>
      </c>
      <c r="L64" s="2385">
        <v>6.71</v>
      </c>
      <c r="N64" s="2433">
        <f t="shared" si="233"/>
        <v>3.0339138143848032E-2</v>
      </c>
      <c r="O64" s="2434">
        <f t="shared" si="233"/>
        <v>2.0922341588790472E-2</v>
      </c>
      <c r="P64" s="2434">
        <f t="shared" si="234"/>
        <v>5.6164796592717003E-2</v>
      </c>
      <c r="Q64" s="2434">
        <f t="shared" si="234"/>
        <v>6.5704536723887319E-2</v>
      </c>
      <c r="R64" s="2375"/>
      <c r="S64" s="2374"/>
      <c r="T64" s="2359"/>
      <c r="U64" s="2359"/>
      <c r="V64" s="2359"/>
      <c r="X64" s="2435"/>
      <c r="Y64" s="2435"/>
      <c r="Z64" s="2435"/>
    </row>
    <row r="65" spans="1:26">
      <c r="A65" s="2371" t="s">
        <v>917</v>
      </c>
      <c r="B65" s="2372">
        <f t="shared" si="235"/>
        <v>163.84913591779542</v>
      </c>
      <c r="C65" s="2372">
        <f t="shared" si="235"/>
        <v>145.0283378746594</v>
      </c>
      <c r="D65" s="2372">
        <f t="shared" si="213"/>
        <v>145.0283378746594</v>
      </c>
      <c r="E65" s="2372">
        <f t="shared" si="236"/>
        <v>204.95180722891567</v>
      </c>
      <c r="F65" s="2372">
        <f t="shared" si="236"/>
        <v>125.95920303605313</v>
      </c>
      <c r="G65" s="3600">
        <v>2007</v>
      </c>
      <c r="H65" s="2373">
        <v>1</v>
      </c>
      <c r="I65" s="2373">
        <v>3.58</v>
      </c>
      <c r="J65" s="2373">
        <v>3.08</v>
      </c>
      <c r="K65" s="2373">
        <v>4.34</v>
      </c>
      <c r="L65" s="2379">
        <v>3.21</v>
      </c>
      <c r="N65" s="2436">
        <f t="shared" si="233"/>
        <v>3.0497710174814063E-2</v>
      </c>
      <c r="O65" s="2437">
        <f t="shared" si="233"/>
        <v>2.8569772160704998E-2</v>
      </c>
      <c r="P65" s="2437">
        <f t="shared" si="234"/>
        <v>5.1034908866234296E-2</v>
      </c>
      <c r="Q65" s="2437">
        <f t="shared" si="234"/>
        <v>3.245248390207478E-2</v>
      </c>
      <c r="R65" s="2375"/>
      <c r="S65" s="2390">
        <f>B65/B66-1</f>
        <v>3.0497710174814063E-2</v>
      </c>
      <c r="T65" s="2391">
        <f>C65/C66-1</f>
        <v>2.8569772160704998E-2</v>
      </c>
      <c r="U65" s="2391">
        <f>E65/E66-1</f>
        <v>5.1034908866234296E-2</v>
      </c>
      <c r="V65" s="2391">
        <f>F65/F66-1</f>
        <v>3.245248390207478E-2</v>
      </c>
      <c r="X65" s="2435"/>
      <c r="Y65" s="2435"/>
      <c r="Z65" s="2435"/>
    </row>
    <row r="66" spans="1:26" ht="13.5" thickBot="1">
      <c r="A66" s="2371" t="s">
        <v>918</v>
      </c>
      <c r="B66" s="2400">
        <v>159</v>
      </c>
      <c r="C66" s="2400">
        <v>141</v>
      </c>
      <c r="D66" s="2400">
        <f t="shared" si="213"/>
        <v>141</v>
      </c>
      <c r="E66" s="2400">
        <v>195</v>
      </c>
      <c r="F66" s="2401">
        <v>122</v>
      </c>
      <c r="G66" s="3598">
        <v>2006</v>
      </c>
      <c r="H66" s="2392">
        <v>4</v>
      </c>
      <c r="I66" s="2392">
        <v>3.79</v>
      </c>
      <c r="J66" s="2392">
        <v>2.21</v>
      </c>
      <c r="K66" s="2392">
        <v>5.65</v>
      </c>
      <c r="L66" s="2393">
        <v>5.41</v>
      </c>
      <c r="N66" s="2433">
        <f t="shared" ref="N66:O69" si="237">I66/SUM(I$66:I$69)*(B$66/B$70-1)</f>
        <v>7.245466462748526E-2</v>
      </c>
      <c r="O66" s="2434">
        <f t="shared" si="237"/>
        <v>2.3237230038062766E-2</v>
      </c>
      <c r="P66" s="2434">
        <f t="shared" ref="P66:Q69" si="238">K66/SUM(K$66:K$69)*(E$66/E$70-1)</f>
        <v>0.16146893866323722</v>
      </c>
      <c r="Q66" s="2434">
        <f t="shared" si="238"/>
        <v>5.0755230321793784E-2</v>
      </c>
      <c r="R66" s="2375"/>
      <c r="S66" s="2388"/>
      <c r="T66" s="2389"/>
      <c r="U66" s="2389"/>
      <c r="V66" s="2389"/>
      <c r="X66" s="2435"/>
      <c r="Y66" s="2435"/>
      <c r="Z66" s="2435"/>
    </row>
    <row r="67" spans="1:26">
      <c r="A67" s="2371" t="s">
        <v>919</v>
      </c>
      <c r="B67" s="2372">
        <f t="shared" ref="B67:C69" si="239">B68+(B$66-B$70)*I67/SUM(I$66:I$69)</f>
        <v>149.00125628140702</v>
      </c>
      <c r="C67" s="2372">
        <f t="shared" si="239"/>
        <v>137.95592286501378</v>
      </c>
      <c r="D67" s="2372">
        <f t="shared" si="213"/>
        <v>137.95592286501378</v>
      </c>
      <c r="E67" s="2372">
        <f t="shared" ref="E67:F69" si="240">E68+(E$66-E$70)*K67/SUM(K$66:K$69)</f>
        <v>169.97231450719823</v>
      </c>
      <c r="F67" s="2372">
        <f t="shared" si="240"/>
        <v>116.21390374331551</v>
      </c>
      <c r="G67" s="3599">
        <v>2006</v>
      </c>
      <c r="H67" s="2397">
        <v>3</v>
      </c>
      <c r="I67" s="2397">
        <v>0.92</v>
      </c>
      <c r="J67" s="2397">
        <v>1.08</v>
      </c>
      <c r="K67" s="2397">
        <v>0.73</v>
      </c>
      <c r="L67" s="2398">
        <v>1.08</v>
      </c>
      <c r="N67" s="2433">
        <f t="shared" si="237"/>
        <v>1.7587939698492462E-2</v>
      </c>
      <c r="O67" s="2434">
        <f t="shared" si="237"/>
        <v>1.1355750425840628E-2</v>
      </c>
      <c r="P67" s="2434">
        <f t="shared" si="238"/>
        <v>2.0862358446754544E-2</v>
      </c>
      <c r="Q67" s="2434">
        <f t="shared" si="238"/>
        <v>1.0132282578103011E-2</v>
      </c>
      <c r="R67" s="2375"/>
      <c r="S67" s="2374"/>
      <c r="T67" s="2359"/>
      <c r="U67" s="2359"/>
      <c r="V67" s="2359"/>
      <c r="X67" s="2435"/>
      <c r="Y67" s="2435"/>
      <c r="Z67" s="2435"/>
    </row>
    <row r="68" spans="1:26">
      <c r="A68" s="2371" t="s">
        <v>920</v>
      </c>
      <c r="B68" s="2372">
        <f t="shared" si="239"/>
        <v>146.57412060301507</v>
      </c>
      <c r="C68" s="2372">
        <f t="shared" si="239"/>
        <v>136.46831955922866</v>
      </c>
      <c r="D68" s="2372">
        <f t="shared" si="213"/>
        <v>136.46831955922866</v>
      </c>
      <c r="E68" s="2372">
        <f t="shared" si="240"/>
        <v>166.73864894795128</v>
      </c>
      <c r="F68" s="2372">
        <f t="shared" si="240"/>
        <v>115.05882352941177</v>
      </c>
      <c r="G68" s="3599">
        <v>2006</v>
      </c>
      <c r="H68" s="2384">
        <v>2</v>
      </c>
      <c r="I68" s="2384">
        <v>0.96</v>
      </c>
      <c r="J68" s="2384">
        <v>0.25</v>
      </c>
      <c r="K68" s="2384">
        <v>1.9</v>
      </c>
      <c r="L68" s="2385">
        <v>0.95</v>
      </c>
      <c r="N68" s="2433">
        <f t="shared" si="237"/>
        <v>1.8352632728861701E-2</v>
      </c>
      <c r="O68" s="2434">
        <f t="shared" si="237"/>
        <v>2.6286459319075526E-3</v>
      </c>
      <c r="P68" s="2434">
        <f t="shared" si="238"/>
        <v>5.4299289107991269E-2</v>
      </c>
      <c r="Q68" s="2434">
        <f t="shared" si="238"/>
        <v>8.9126559714794995E-3</v>
      </c>
      <c r="R68" s="2375"/>
      <c r="S68" s="2374"/>
      <c r="T68" s="2359"/>
      <c r="U68" s="2359"/>
      <c r="V68" s="2359"/>
      <c r="X68" s="2435"/>
      <c r="Y68" s="2435"/>
      <c r="Z68" s="2435"/>
    </row>
    <row r="69" spans="1:26">
      <c r="A69" s="2371" t="s">
        <v>921</v>
      </c>
      <c r="B69" s="2372">
        <f t="shared" si="239"/>
        <v>144.04145728643215</v>
      </c>
      <c r="C69" s="2372">
        <f t="shared" si="239"/>
        <v>136.12396694214877</v>
      </c>
      <c r="D69" s="2372">
        <f t="shared" si="213"/>
        <v>136.12396694214877</v>
      </c>
      <c r="E69" s="2372">
        <f t="shared" si="240"/>
        <v>158.32225913621264</v>
      </c>
      <c r="F69" s="2372">
        <f t="shared" si="240"/>
        <v>114.04278074866311</v>
      </c>
      <c r="G69" s="3600">
        <v>2006</v>
      </c>
      <c r="H69" s="2373">
        <v>1</v>
      </c>
      <c r="I69" s="2373">
        <v>2.29</v>
      </c>
      <c r="J69" s="2373">
        <v>3.72</v>
      </c>
      <c r="K69" s="2373">
        <v>0.75</v>
      </c>
      <c r="L69" s="2379">
        <v>0.04</v>
      </c>
      <c r="N69" s="2436">
        <f t="shared" si="237"/>
        <v>4.3778675988638847E-2</v>
      </c>
      <c r="O69" s="2437">
        <f t="shared" si="237"/>
        <v>3.9114251466784385E-2</v>
      </c>
      <c r="P69" s="2437">
        <f t="shared" si="238"/>
        <v>2.1433929911049188E-2</v>
      </c>
      <c r="Q69" s="2437">
        <f t="shared" si="238"/>
        <v>3.7526972511492629E-4</v>
      </c>
      <c r="R69" s="2375"/>
      <c r="S69" s="2390">
        <f>B69/B70-1</f>
        <v>4.3778675988638716E-2</v>
      </c>
      <c r="T69" s="2391">
        <f>C69/C70-1</f>
        <v>3.91142514667846E-2</v>
      </c>
      <c r="U69" s="2391">
        <f>E69/E70-1</f>
        <v>2.143392991104931E-2</v>
      </c>
      <c r="V69" s="2391">
        <f>F69/F70-1</f>
        <v>3.7526972511492396E-4</v>
      </c>
      <c r="X69" s="2435"/>
      <c r="Y69" s="2435"/>
      <c r="Z69" s="2435"/>
    </row>
    <row r="70" spans="1:26" ht="13.5" thickBot="1">
      <c r="A70" s="2371" t="s">
        <v>922</v>
      </c>
      <c r="B70" s="2400">
        <v>138</v>
      </c>
      <c r="C70" s="2400">
        <v>131</v>
      </c>
      <c r="D70" s="2400">
        <f t="shared" si="213"/>
        <v>131</v>
      </c>
      <c r="E70" s="2400">
        <v>155</v>
      </c>
      <c r="F70" s="2401">
        <v>114</v>
      </c>
      <c r="G70" s="3598">
        <v>2005</v>
      </c>
      <c r="H70" s="2392">
        <v>4</v>
      </c>
      <c r="I70" s="2392">
        <v>3.29</v>
      </c>
      <c r="J70" s="2392">
        <v>1.44</v>
      </c>
      <c r="K70" s="2392">
        <v>0.66</v>
      </c>
      <c r="L70" s="2393">
        <v>7.78</v>
      </c>
      <c r="N70" s="2433">
        <f t="shared" ref="N70:O73" si="241">I70/SUM(I$70:I$73)*(B$70/B$74-1)</f>
        <v>9.9404603216919935E-2</v>
      </c>
      <c r="O70" s="2434">
        <f t="shared" si="241"/>
        <v>4.7636550760861554E-2</v>
      </c>
      <c r="P70" s="2434">
        <f t="shared" ref="P70:Q73" si="242">K70/SUM(K$70:K$73)*(E$70/E$74-1)</f>
        <v>8.3756345177664976E-2</v>
      </c>
      <c r="Q70" s="2434">
        <f t="shared" si="242"/>
        <v>5.2148766661559584E-2</v>
      </c>
      <c r="R70" s="2375"/>
      <c r="S70" s="2388"/>
      <c r="T70" s="2389"/>
      <c r="U70" s="2389"/>
      <c r="V70" s="2389"/>
      <c r="X70" s="2435"/>
      <c r="Y70" s="2435"/>
      <c r="Z70" s="2435"/>
    </row>
    <row r="71" spans="1:26">
      <c r="A71" s="2371" t="s">
        <v>923</v>
      </c>
      <c r="B71" s="2372">
        <f t="shared" ref="B71:C73" si="243">B72+(B$70-B$74)*I71/SUM(I$70:I$73)</f>
        <v>125.9720430107527</v>
      </c>
      <c r="C71" s="2372">
        <f t="shared" si="243"/>
        <v>125.1883408071749</v>
      </c>
      <c r="D71" s="2372">
        <f t="shared" si="213"/>
        <v>125.1883408071749</v>
      </c>
      <c r="E71" s="2372">
        <f t="shared" ref="E71:F73" si="244">E72+(E$70-E$74)*K71/SUM(K$70:K$73)</f>
        <v>144.61421319796952</v>
      </c>
      <c r="F71" s="2372">
        <f t="shared" si="244"/>
        <v>108.42008196721311</v>
      </c>
      <c r="G71" s="3599">
        <v>2005</v>
      </c>
      <c r="H71" s="2397">
        <v>3</v>
      </c>
      <c r="I71" s="2397">
        <v>0.46</v>
      </c>
      <c r="J71" s="2397">
        <v>0.32</v>
      </c>
      <c r="K71" s="2397">
        <v>0.42</v>
      </c>
      <c r="L71" s="2398">
        <v>0.64</v>
      </c>
      <c r="N71" s="2433">
        <f t="shared" si="241"/>
        <v>1.3898515951301874E-2</v>
      </c>
      <c r="O71" s="2434">
        <f t="shared" si="241"/>
        <v>1.0585900169080346E-2</v>
      </c>
      <c r="P71" s="2434">
        <f t="shared" si="242"/>
        <v>5.3299492385786795E-2</v>
      </c>
      <c r="Q71" s="2434">
        <f t="shared" si="242"/>
        <v>4.2898728359123568E-3</v>
      </c>
      <c r="R71" s="2375"/>
      <c r="S71" s="2374"/>
      <c r="T71" s="2359"/>
      <c r="U71" s="2359"/>
      <c r="V71" s="2359"/>
      <c r="X71" s="2435"/>
      <c r="Y71" s="2435"/>
      <c r="Z71" s="2435"/>
    </row>
    <row r="72" spans="1:26">
      <c r="A72" s="2371" t="s">
        <v>924</v>
      </c>
      <c r="B72" s="2372">
        <f t="shared" si="243"/>
        <v>124.29032258064517</v>
      </c>
      <c r="C72" s="2372">
        <f t="shared" si="243"/>
        <v>123.8968609865471</v>
      </c>
      <c r="D72" s="2372">
        <f t="shared" si="213"/>
        <v>123.8968609865471</v>
      </c>
      <c r="E72" s="2372">
        <f t="shared" si="244"/>
        <v>138.00507614213197</v>
      </c>
      <c r="F72" s="2372">
        <f t="shared" si="244"/>
        <v>107.96106557377048</v>
      </c>
      <c r="G72" s="3599">
        <v>2005</v>
      </c>
      <c r="H72" s="2384">
        <v>2</v>
      </c>
      <c r="I72" s="2384">
        <v>0.47</v>
      </c>
      <c r="J72" s="2384">
        <v>0.1</v>
      </c>
      <c r="K72" s="2384">
        <v>0.52</v>
      </c>
      <c r="L72" s="2385">
        <v>0.79</v>
      </c>
      <c r="N72" s="2433">
        <f t="shared" si="241"/>
        <v>1.420065760241713E-2</v>
      </c>
      <c r="O72" s="2434">
        <f t="shared" si="241"/>
        <v>3.3080938028376083E-3</v>
      </c>
      <c r="P72" s="2434">
        <f t="shared" si="242"/>
        <v>6.598984771573603E-2</v>
      </c>
      <c r="Q72" s="2434">
        <f t="shared" si="242"/>
        <v>5.2953117818293153E-3</v>
      </c>
      <c r="R72" s="2375"/>
      <c r="S72" s="2374"/>
      <c r="T72" s="2359"/>
      <c r="U72" s="2359"/>
      <c r="V72" s="2359"/>
      <c r="X72" s="2435"/>
      <c r="Y72" s="2435"/>
      <c r="Z72" s="2435"/>
    </row>
    <row r="73" spans="1:26">
      <c r="A73" s="2371" t="s">
        <v>925</v>
      </c>
      <c r="B73" s="2372">
        <f t="shared" si="243"/>
        <v>122.57204301075269</v>
      </c>
      <c r="C73" s="2372">
        <f t="shared" si="243"/>
        <v>123.4932735426009</v>
      </c>
      <c r="D73" s="2372">
        <f t="shared" si="213"/>
        <v>123.4932735426009</v>
      </c>
      <c r="E73" s="2372">
        <f t="shared" si="244"/>
        <v>129.82233502538071</v>
      </c>
      <c r="F73" s="2372">
        <f t="shared" si="244"/>
        <v>107.39446721311475</v>
      </c>
      <c r="G73" s="3600">
        <v>2005</v>
      </c>
      <c r="H73" s="2373">
        <v>1</v>
      </c>
      <c r="I73" s="2373">
        <v>0.43</v>
      </c>
      <c r="J73" s="2373">
        <v>0.37</v>
      </c>
      <c r="K73" s="2373">
        <v>0.37</v>
      </c>
      <c r="L73" s="2379">
        <v>0.55000000000000004</v>
      </c>
      <c r="N73" s="2436">
        <f t="shared" si="241"/>
        <v>1.2992090997956099E-2</v>
      </c>
      <c r="O73" s="2437">
        <f t="shared" si="241"/>
        <v>1.2239947070499151E-2</v>
      </c>
      <c r="P73" s="2437">
        <f t="shared" si="242"/>
        <v>4.6954314720812178E-2</v>
      </c>
      <c r="Q73" s="2437">
        <f t="shared" si="242"/>
        <v>3.6866094683621815E-3</v>
      </c>
      <c r="R73" s="2375"/>
      <c r="S73" s="2390">
        <f>B73/B74-1</f>
        <v>1.2992090997956174E-2</v>
      </c>
      <c r="T73" s="2391">
        <f>C73/C74-1</f>
        <v>1.2239947070499246E-2</v>
      </c>
      <c r="U73" s="2391">
        <f>E73/E74-1</f>
        <v>4.695431472081224E-2</v>
      </c>
      <c r="V73" s="2391">
        <f>F73/F74-1</f>
        <v>3.6866094683620787E-3</v>
      </c>
      <c r="X73" s="2435"/>
      <c r="Y73" s="2435"/>
      <c r="Z73" s="2435"/>
    </row>
    <row r="74" spans="1:26" ht="13.5" thickBot="1">
      <c r="A74" s="2371" t="s">
        <v>926</v>
      </c>
      <c r="B74" s="2421">
        <v>121</v>
      </c>
      <c r="C74" s="2421">
        <v>122</v>
      </c>
      <c r="D74" s="2421">
        <f t="shared" si="213"/>
        <v>122</v>
      </c>
      <c r="E74" s="2421">
        <v>124</v>
      </c>
      <c r="F74" s="2422">
        <v>107</v>
      </c>
      <c r="G74" s="3598">
        <v>2004</v>
      </c>
      <c r="H74" s="2392">
        <v>4</v>
      </c>
      <c r="I74" s="2392">
        <v>0.33</v>
      </c>
      <c r="J74" s="2392">
        <v>0.5</v>
      </c>
      <c r="K74" s="2392">
        <v>0.5</v>
      </c>
      <c r="L74" s="2393">
        <v>0</v>
      </c>
      <c r="N74" s="2433">
        <f t="shared" ref="N74:O77" si="245">I74/SUM(I$74:I$77)*(B$74/B$78-1)</f>
        <v>1.3391770148526898E-2</v>
      </c>
      <c r="O74" s="2434">
        <f t="shared" si="245"/>
        <v>1.063264221158958E-2</v>
      </c>
      <c r="P74" s="2434">
        <f t="shared" ref="P74:Q77" si="246">K74/SUM(K$74:K$77)*(E$74/E$78-1)</f>
        <v>2.2244466688911134E-2</v>
      </c>
      <c r="Q74" s="2434">
        <f t="shared" si="246"/>
        <v>0</v>
      </c>
      <c r="R74" s="2375"/>
      <c r="S74" s="2388"/>
      <c r="T74" s="2389"/>
      <c r="U74" s="2389"/>
      <c r="V74" s="2389"/>
      <c r="X74" s="2435"/>
      <c r="Y74" s="2435"/>
      <c r="Z74" s="2435"/>
    </row>
    <row r="75" spans="1:26">
      <c r="A75" s="2371" t="s">
        <v>927</v>
      </c>
      <c r="B75" s="2372">
        <f t="shared" ref="B75:C77" si="247">B76+(B$74-B$78)*I75/SUM(I$74:I$77)</f>
        <v>119.51351351351352</v>
      </c>
      <c r="C75" s="2372">
        <f t="shared" si="247"/>
        <v>120.7878787878788</v>
      </c>
      <c r="D75" s="2372">
        <f t="shared" si="213"/>
        <v>120.7878787878788</v>
      </c>
      <c r="E75" s="2372">
        <f t="shared" ref="E75:F77" si="248">E76+(E$74-E$78)*K75/SUM(K$74:K$77)</f>
        <v>121.5975975975976</v>
      </c>
      <c r="F75" s="2372">
        <f t="shared" si="248"/>
        <v>107</v>
      </c>
      <c r="G75" s="3599">
        <v>2004</v>
      </c>
      <c r="H75" s="2397">
        <v>3</v>
      </c>
      <c r="I75" s="2397">
        <v>0.56000000000000005</v>
      </c>
      <c r="J75" s="2397">
        <v>0.8</v>
      </c>
      <c r="K75" s="2397">
        <v>0.83</v>
      </c>
      <c r="L75" s="2398">
        <v>0.06</v>
      </c>
      <c r="N75" s="2433">
        <f t="shared" si="245"/>
        <v>2.2725428130833527E-2</v>
      </c>
      <c r="O75" s="2434">
        <f t="shared" si="245"/>
        <v>1.7012227538543329E-2</v>
      </c>
      <c r="P75" s="2434">
        <f t="shared" si="246"/>
        <v>3.6925814703592477E-2</v>
      </c>
      <c r="Q75" s="2434">
        <f t="shared" si="246"/>
        <v>2.8846153846153744E-2</v>
      </c>
      <c r="R75" s="2375"/>
      <c r="S75" s="2374"/>
      <c r="T75" s="2359"/>
      <c r="U75" s="2359"/>
      <c r="V75" s="2359"/>
      <c r="X75" s="2435"/>
      <c r="Y75" s="2435"/>
      <c r="Z75" s="2435"/>
    </row>
    <row r="76" spans="1:26">
      <c r="A76" s="2371" t="s">
        <v>928</v>
      </c>
      <c r="B76" s="2372">
        <f t="shared" si="247"/>
        <v>116.99099099099099</v>
      </c>
      <c r="C76" s="2372">
        <f t="shared" si="247"/>
        <v>118.84848484848486</v>
      </c>
      <c r="D76" s="2372">
        <f t="shared" si="213"/>
        <v>118.84848484848486</v>
      </c>
      <c r="E76" s="2372">
        <f t="shared" si="248"/>
        <v>117.60960960960961</v>
      </c>
      <c r="F76" s="2372">
        <f t="shared" si="248"/>
        <v>104</v>
      </c>
      <c r="G76" s="3599">
        <v>2004</v>
      </c>
      <c r="H76" s="2384">
        <v>2</v>
      </c>
      <c r="I76" s="2384">
        <v>1</v>
      </c>
      <c r="J76" s="2384">
        <v>1.5</v>
      </c>
      <c r="K76" s="2384">
        <v>1.5</v>
      </c>
      <c r="L76" s="2385">
        <v>0</v>
      </c>
      <c r="N76" s="2433">
        <f t="shared" si="245"/>
        <v>4.0581121662202721E-2</v>
      </c>
      <c r="O76" s="2434">
        <f t="shared" si="245"/>
        <v>3.1897926634768738E-2</v>
      </c>
      <c r="P76" s="2434">
        <f t="shared" si="246"/>
        <v>6.6733400066733395E-2</v>
      </c>
      <c r="Q76" s="2434">
        <f t="shared" si="246"/>
        <v>0</v>
      </c>
      <c r="R76" s="2375"/>
      <c r="S76" s="2374"/>
      <c r="T76" s="2359"/>
      <c r="U76" s="2359"/>
      <c r="V76" s="2359"/>
      <c r="X76" s="2435"/>
      <c r="Y76" s="2435"/>
      <c r="Z76" s="2435"/>
    </row>
    <row r="77" spans="1:26" s="2427" customFormat="1" ht="13.5" thickBot="1">
      <c r="A77" s="2371" t="s">
        <v>929</v>
      </c>
      <c r="B77" s="2424">
        <f t="shared" si="247"/>
        <v>112.48648648648648</v>
      </c>
      <c r="C77" s="2424">
        <f t="shared" si="247"/>
        <v>115.21212121212122</v>
      </c>
      <c r="D77" s="2424">
        <f t="shared" si="213"/>
        <v>115.21212121212122</v>
      </c>
      <c r="E77" s="2424">
        <f t="shared" si="248"/>
        <v>110.4024024024024</v>
      </c>
      <c r="F77" s="2424">
        <f t="shared" si="248"/>
        <v>104</v>
      </c>
      <c r="G77" s="3600">
        <v>2004</v>
      </c>
      <c r="H77" s="2425">
        <v>1</v>
      </c>
      <c r="I77" s="2425">
        <v>0.33</v>
      </c>
      <c r="J77" s="2425">
        <v>0.5</v>
      </c>
      <c r="K77" s="2425">
        <v>0.5</v>
      </c>
      <c r="L77" s="2426">
        <v>0</v>
      </c>
      <c r="N77" s="2438">
        <f t="shared" si="245"/>
        <v>1.3391770148526898E-2</v>
      </c>
      <c r="O77" s="2439">
        <f t="shared" si="245"/>
        <v>1.063264221158958E-2</v>
      </c>
      <c r="P77" s="2439">
        <f t="shared" si="246"/>
        <v>2.2244466688911134E-2</v>
      </c>
      <c r="Q77" s="2439">
        <f t="shared" si="246"/>
        <v>0</v>
      </c>
      <c r="R77" s="2430"/>
      <c r="S77" s="2428">
        <f>B77/B78-1</f>
        <v>1.3391770148526883E-2</v>
      </c>
      <c r="T77" s="2429">
        <f>C77/C78-1</f>
        <v>1.063264221158966E-2</v>
      </c>
      <c r="U77" s="2429">
        <f>E77/E78-1</f>
        <v>2.2244466688911224E-2</v>
      </c>
      <c r="V77" s="2429">
        <f>F77/F78-1</f>
        <v>0</v>
      </c>
      <c r="X77" s="2440"/>
      <c r="Y77" s="2440"/>
      <c r="Z77" s="2440"/>
    </row>
    <row r="78" spans="1:26" ht="13.5" thickBot="1">
      <c r="A78" s="2371" t="s">
        <v>930</v>
      </c>
      <c r="B78" s="2441">
        <v>111</v>
      </c>
      <c r="C78" s="2441">
        <v>114</v>
      </c>
      <c r="D78" s="2441">
        <f t="shared" si="213"/>
        <v>114</v>
      </c>
      <c r="E78" s="2441">
        <v>108</v>
      </c>
      <c r="F78" s="2442">
        <v>104</v>
      </c>
      <c r="G78" s="3598">
        <v>2003</v>
      </c>
      <c r="H78" s="2431">
        <v>4</v>
      </c>
      <c r="I78" s="2443"/>
      <c r="J78" s="2443"/>
      <c r="K78" s="2443"/>
      <c r="L78" s="2443"/>
      <c r="N78" s="2444"/>
      <c r="O78" s="2443"/>
      <c r="P78" s="2443"/>
      <c r="Q78" s="2443"/>
      <c r="S78" s="2444"/>
      <c r="T78" s="2443"/>
      <c r="U78" s="2443"/>
      <c r="V78" s="2443"/>
      <c r="X78" s="2435"/>
      <c r="Y78" s="2435"/>
      <c r="Z78" s="2435"/>
    </row>
    <row r="79" spans="1:26">
      <c r="A79" s="2371" t="s">
        <v>931</v>
      </c>
      <c r="B79" s="2445">
        <f t="shared" ref="B79:C81" si="249">B80+(B$78-B$82)/4</f>
        <v>109.75</v>
      </c>
      <c r="C79" s="2445">
        <f t="shared" si="249"/>
        <v>112.25</v>
      </c>
      <c r="D79" s="2445">
        <f t="shared" si="213"/>
        <v>112.25</v>
      </c>
      <c r="E79" s="2445">
        <f t="shared" ref="E79:F81" si="250">E80+(E$78-E$82)/4</f>
        <v>107.25</v>
      </c>
      <c r="F79" s="2445">
        <f t="shared" si="250"/>
        <v>103.5</v>
      </c>
      <c r="G79" s="3599">
        <v>2003</v>
      </c>
      <c r="H79" s="2397">
        <v>3</v>
      </c>
      <c r="I79" s="2443"/>
      <c r="J79" s="2443"/>
      <c r="K79" s="2443"/>
      <c r="L79" s="2443"/>
      <c r="X79" s="2435"/>
      <c r="Y79" s="2435"/>
      <c r="Z79" s="2435"/>
    </row>
    <row r="80" spans="1:26">
      <c r="A80" s="2371" t="s">
        <v>932</v>
      </c>
      <c r="B80" s="2445">
        <f t="shared" si="249"/>
        <v>108.5</v>
      </c>
      <c r="C80" s="2445">
        <f t="shared" si="249"/>
        <v>110.5</v>
      </c>
      <c r="D80" s="2445">
        <f t="shared" si="213"/>
        <v>110.5</v>
      </c>
      <c r="E80" s="2445">
        <f t="shared" si="250"/>
        <v>106.5</v>
      </c>
      <c r="F80" s="2445">
        <f t="shared" si="250"/>
        <v>103</v>
      </c>
      <c r="G80" s="3599">
        <v>2003</v>
      </c>
      <c r="H80" s="2384">
        <v>2</v>
      </c>
      <c r="I80" s="2443"/>
      <c r="J80" s="2443"/>
      <c r="K80" s="2443"/>
      <c r="L80" s="2443"/>
      <c r="X80" s="2435"/>
      <c r="Y80" s="2435"/>
      <c r="Z80" s="2435"/>
    </row>
    <row r="81" spans="1:26" ht="13.5" thickBot="1">
      <c r="A81" s="2371" t="s">
        <v>933</v>
      </c>
      <c r="B81" s="2445">
        <f t="shared" si="249"/>
        <v>107.25</v>
      </c>
      <c r="C81" s="2445">
        <f t="shared" si="249"/>
        <v>108.75</v>
      </c>
      <c r="D81" s="2445">
        <f t="shared" si="213"/>
        <v>108.75</v>
      </c>
      <c r="E81" s="2445">
        <f t="shared" si="250"/>
        <v>105.75</v>
      </c>
      <c r="F81" s="2445">
        <f t="shared" si="250"/>
        <v>102.5</v>
      </c>
      <c r="G81" s="3600">
        <v>2003</v>
      </c>
      <c r="H81" s="2446">
        <v>1</v>
      </c>
      <c r="I81" s="2443"/>
      <c r="J81" s="2443"/>
      <c r="K81" s="2443"/>
      <c r="L81" s="2443"/>
      <c r="S81" s="2374"/>
      <c r="T81" s="2359"/>
      <c r="U81" s="2359"/>
      <c r="X81" s="2435"/>
      <c r="Y81" s="2435"/>
      <c r="Z81" s="2435"/>
    </row>
    <row r="82" spans="1:26" ht="13.5" thickBot="1">
      <c r="A82" s="2371" t="s">
        <v>934</v>
      </c>
      <c r="B82" s="2447">
        <v>106</v>
      </c>
      <c r="C82" s="2447">
        <v>107</v>
      </c>
      <c r="D82" s="2447">
        <f t="shared" si="213"/>
        <v>107</v>
      </c>
      <c r="E82" s="2447">
        <v>105</v>
      </c>
      <c r="F82" s="2448">
        <v>102</v>
      </c>
      <c r="G82" s="3598">
        <v>2002</v>
      </c>
      <c r="H82" s="2392">
        <v>4</v>
      </c>
      <c r="I82" s="2443"/>
      <c r="J82" s="2443"/>
      <c r="K82" s="2443"/>
      <c r="L82" s="2443"/>
      <c r="N82" s="2444"/>
      <c r="O82" s="2443"/>
      <c r="P82" s="2443"/>
      <c r="Q82" s="2443"/>
      <c r="S82" s="2444"/>
      <c r="T82" s="2443"/>
      <c r="U82" s="2443"/>
      <c r="V82" s="2443"/>
      <c r="X82" s="2435"/>
      <c r="Y82" s="2435"/>
      <c r="Z82" s="2435"/>
    </row>
    <row r="83" spans="1:26">
      <c r="A83" s="2371" t="s">
        <v>935</v>
      </c>
      <c r="B83" s="2445">
        <f t="shared" ref="B83:C85" si="251">B84+(B$82-B$86)/4</f>
        <v>105</v>
      </c>
      <c r="C83" s="2445">
        <f t="shared" si="251"/>
        <v>106</v>
      </c>
      <c r="D83" s="2445">
        <f t="shared" si="213"/>
        <v>106</v>
      </c>
      <c r="E83" s="2445">
        <f t="shared" ref="E83:F85" si="252">E84+(E$82-E$86)/4</f>
        <v>104.5</v>
      </c>
      <c r="F83" s="2445">
        <f t="shared" si="252"/>
        <v>101.5</v>
      </c>
      <c r="G83" s="3599">
        <v>2002</v>
      </c>
      <c r="H83" s="2397">
        <v>3</v>
      </c>
      <c r="I83" s="2443"/>
      <c r="J83" s="2443"/>
      <c r="K83" s="2443"/>
      <c r="L83" s="2443"/>
      <c r="X83" s="2435"/>
      <c r="Y83" s="2435"/>
      <c r="Z83" s="2435"/>
    </row>
    <row r="84" spans="1:26">
      <c r="A84" s="2371" t="s">
        <v>936</v>
      </c>
      <c r="B84" s="2445">
        <f t="shared" si="251"/>
        <v>104</v>
      </c>
      <c r="C84" s="2445">
        <f t="shared" si="251"/>
        <v>105</v>
      </c>
      <c r="D84" s="2445">
        <f t="shared" si="213"/>
        <v>105</v>
      </c>
      <c r="E84" s="2445">
        <f t="shared" si="252"/>
        <v>104</v>
      </c>
      <c r="F84" s="2445">
        <f t="shared" si="252"/>
        <v>101</v>
      </c>
      <c r="G84" s="3599">
        <v>2002</v>
      </c>
      <c r="H84" s="2384">
        <v>2</v>
      </c>
      <c r="I84" s="2443"/>
      <c r="J84" s="2443"/>
      <c r="K84" s="2443"/>
      <c r="L84" s="2443"/>
      <c r="X84" s="2435"/>
      <c r="Y84" s="2435"/>
      <c r="Z84" s="2435"/>
    </row>
    <row r="85" spans="1:26" s="2408" customFormat="1" ht="13.5" thickBot="1">
      <c r="A85" s="2404" t="s">
        <v>937</v>
      </c>
      <c r="B85" s="2411">
        <f t="shared" si="251"/>
        <v>103</v>
      </c>
      <c r="C85" s="2411">
        <f t="shared" si="251"/>
        <v>104</v>
      </c>
      <c r="D85" s="2411">
        <f t="shared" si="213"/>
        <v>104</v>
      </c>
      <c r="E85" s="2411">
        <f t="shared" si="252"/>
        <v>103.5</v>
      </c>
      <c r="F85" s="2411">
        <f t="shared" si="252"/>
        <v>100.5</v>
      </c>
      <c r="G85" s="3600">
        <v>2002</v>
      </c>
      <c r="H85" s="2449">
        <v>1</v>
      </c>
      <c r="I85" s="2450"/>
      <c r="J85" s="2450"/>
      <c r="K85" s="2450"/>
      <c r="L85" s="2450"/>
      <c r="N85" s="2451"/>
      <c r="S85" s="2451"/>
      <c r="X85" s="2452"/>
      <c r="Y85" s="2452"/>
      <c r="Z85" s="2452"/>
    </row>
    <row r="86" spans="1:26" ht="13.5" thickBot="1">
      <c r="B86" s="2453">
        <v>102</v>
      </c>
      <c r="C86" s="2454">
        <v>103</v>
      </c>
      <c r="D86" s="2454">
        <f t="shared" si="213"/>
        <v>103</v>
      </c>
      <c r="E86" s="2454">
        <v>103</v>
      </c>
      <c r="F86" s="2455">
        <v>100</v>
      </c>
      <c r="I86" s="2443"/>
      <c r="J86" s="2443"/>
      <c r="K86" s="2443"/>
      <c r="L86" s="2443"/>
      <c r="N86" s="2444"/>
      <c r="O86" s="2443"/>
      <c r="P86" s="2443"/>
      <c r="Q86" s="2443"/>
      <c r="S86" s="2444"/>
      <c r="T86" s="2443"/>
      <c r="U86" s="2443"/>
      <c r="V86" s="2443"/>
      <c r="X86" s="2389"/>
      <c r="Y86" s="2389"/>
      <c r="Z86" s="2389"/>
    </row>
    <row r="88" spans="1:26" s="2457" customFormat="1">
      <c r="A88" s="2456" t="s">
        <v>938</v>
      </c>
      <c r="G88" s="2458"/>
      <c r="N88" s="2458"/>
      <c r="S88" s="2458"/>
    </row>
    <row r="89" spans="1:26" s="2457" customFormat="1">
      <c r="A89" s="2457" t="s">
        <v>939</v>
      </c>
      <c r="G89" s="2458"/>
      <c r="N89" s="2458"/>
      <c r="S89" s="2458"/>
    </row>
    <row r="90" spans="1:26" s="2457" customFormat="1">
      <c r="A90" s="2457" t="s">
        <v>940</v>
      </c>
      <c r="G90" s="2458"/>
      <c r="I90" s="2459"/>
      <c r="J90" s="2459"/>
      <c r="K90" s="2459"/>
      <c r="L90" s="2459"/>
      <c r="N90" s="2460"/>
      <c r="O90" s="2459"/>
      <c r="P90" s="2459"/>
      <c r="Q90" s="2459"/>
      <c r="S90" s="2460"/>
      <c r="T90" s="2459"/>
      <c r="U90" s="2459"/>
      <c r="V90" s="2459"/>
    </row>
    <row r="91" spans="1:26" s="2457" customFormat="1">
      <c r="A91" s="2457" t="s">
        <v>941</v>
      </c>
      <c r="G91" s="2458"/>
      <c r="N91" s="2458"/>
      <c r="S91" s="2458"/>
    </row>
    <row r="98" spans="7:22" ht="13.5" thickBot="1"/>
    <row r="99" spans="7:22">
      <c r="G99" s="2358"/>
      <c r="S99" s="2461" t="s">
        <v>942</v>
      </c>
      <c r="T99" s="2462" t="s">
        <v>943</v>
      </c>
      <c r="U99" s="2462" t="s">
        <v>944</v>
      </c>
      <c r="V99" s="2462" t="s">
        <v>945</v>
      </c>
    </row>
    <row r="100" spans="7:22">
      <c r="G100" s="2358"/>
      <c r="N100" s="2388"/>
      <c r="O100" s="2389"/>
      <c r="P100" s="2389"/>
      <c r="Q100" s="2389"/>
      <c r="S100" s="2463">
        <v>2006</v>
      </c>
      <c r="T100" s="2464">
        <v>15.1</v>
      </c>
      <c r="U100" s="2464">
        <v>7.43</v>
      </c>
      <c r="V100" s="2464">
        <v>26.26</v>
      </c>
    </row>
    <row r="101" spans="7:22">
      <c r="G101" s="2358"/>
      <c r="N101" s="2388"/>
      <c r="O101" s="2389"/>
      <c r="P101" s="2389"/>
      <c r="Q101" s="2389"/>
      <c r="S101" s="2465">
        <v>2005</v>
      </c>
      <c r="T101" s="2466">
        <v>13.9</v>
      </c>
      <c r="U101" s="2466">
        <v>7.49</v>
      </c>
      <c r="V101" s="2466">
        <v>24.92</v>
      </c>
    </row>
    <row r="102" spans="7:22">
      <c r="G102" s="2358"/>
      <c r="N102" s="2388"/>
      <c r="O102" s="2389"/>
      <c r="P102" s="2389"/>
      <c r="Q102" s="2389"/>
      <c r="S102" s="2463">
        <v>2004</v>
      </c>
      <c r="T102" s="2464">
        <v>9.48</v>
      </c>
      <c r="U102" s="2464">
        <v>7.2</v>
      </c>
      <c r="V102" s="2464">
        <v>14.68</v>
      </c>
    </row>
    <row r="103" spans="7:22">
      <c r="G103" s="2358"/>
      <c r="N103" s="2388"/>
      <c r="O103" s="2389"/>
      <c r="P103" s="2389"/>
      <c r="Q103" s="2389"/>
      <c r="S103" s="2465">
        <v>2003</v>
      </c>
      <c r="T103" s="2466">
        <v>4.5</v>
      </c>
      <c r="U103" s="2466">
        <v>6.12</v>
      </c>
      <c r="V103" s="2466">
        <v>2.34</v>
      </c>
    </row>
    <row r="104" spans="7:22" ht="13.5" thickBot="1">
      <c r="G104" s="2358"/>
      <c r="N104" s="2388"/>
      <c r="O104" s="2389"/>
      <c r="P104" s="2389"/>
      <c r="Q104" s="2389"/>
      <c r="S104" s="2467">
        <v>2002</v>
      </c>
      <c r="T104" s="2468">
        <v>3.59</v>
      </c>
      <c r="U104" s="2468">
        <v>4.54</v>
      </c>
      <c r="V104" s="2468">
        <v>2.5499999999999998</v>
      </c>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row>
    <row r="110" spans="7:22">
      <c r="G110" s="2358"/>
      <c r="N110" s="2388"/>
      <c r="O110" s="2389"/>
      <c r="P110" s="2389"/>
      <c r="Q110" s="2389"/>
    </row>
    <row r="111" spans="7:22">
      <c r="G111" s="2358"/>
      <c r="N111" s="2388"/>
      <c r="O111" s="2389"/>
      <c r="P111" s="2389"/>
      <c r="Q111" s="2389"/>
    </row>
    <row r="112" spans="7:22">
      <c r="G112" s="2358"/>
      <c r="N112" s="2388"/>
      <c r="O112" s="2389"/>
      <c r="P112" s="2389"/>
      <c r="Q112" s="2389"/>
    </row>
    <row r="113" spans="7:19">
      <c r="G113" s="2358"/>
      <c r="N113" s="2388"/>
      <c r="O113" s="2389"/>
      <c r="P113" s="2389"/>
      <c r="Q113" s="2389"/>
    </row>
    <row r="114" spans="7:19">
      <c r="G114" s="2358"/>
      <c r="N114" s="2388"/>
      <c r="O114" s="2389"/>
      <c r="P114" s="2389"/>
      <c r="Q114" s="2389"/>
    </row>
    <row r="115" spans="7:19">
      <c r="G115" s="2358"/>
      <c r="N115" s="2388"/>
      <c r="O115" s="2389"/>
      <c r="P115" s="2389"/>
      <c r="Q115" s="2389"/>
      <c r="S115" s="2358"/>
    </row>
    <row r="116" spans="7:19">
      <c r="G116" s="2358"/>
      <c r="N116" s="2388"/>
      <c r="O116" s="2389"/>
      <c r="P116" s="2389"/>
      <c r="Q116" s="2389"/>
      <c r="S116" s="2358"/>
    </row>
    <row r="117" spans="7:19">
      <c r="G117" s="2358"/>
      <c r="N117" s="2388"/>
      <c r="O117" s="2389"/>
      <c r="P117" s="2389"/>
      <c r="Q117" s="2389"/>
      <c r="S117" s="2358"/>
    </row>
    <row r="118" spans="7:19">
      <c r="G118" s="2358"/>
      <c r="N118" s="2388"/>
      <c r="O118" s="2389"/>
      <c r="P118" s="2389"/>
      <c r="Q118" s="2389"/>
      <c r="S118" s="2358"/>
    </row>
    <row r="119" spans="7:19">
      <c r="G119" s="2358"/>
      <c r="N119" s="2388"/>
      <c r="O119" s="2389"/>
      <c r="P119" s="2389"/>
      <c r="Q119" s="2389"/>
      <c r="S119" s="2358"/>
    </row>
    <row r="120" spans="7:19">
      <c r="G120" s="2358"/>
      <c r="N120" s="2388"/>
      <c r="O120" s="2389"/>
      <c r="P120" s="2389"/>
      <c r="Q120" s="2389"/>
      <c r="S120" s="235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28170</v>
      </c>
      <c r="C2" s="2" t="s">
        <v>133</v>
      </c>
      <c r="D2" s="205"/>
      <c r="E2" s="205"/>
      <c r="F2" s="205"/>
      <c r="G2" s="205"/>
    </row>
    <row r="3" spans="1:7" s="206" customFormat="1" ht="18" customHeight="1" thickBot="1">
      <c r="A3" s="209" t="s">
        <v>85</v>
      </c>
      <c r="B3" s="210">
        <f ca="1">ROUND(B2*10000/'数据-汇总表'!E3,0)</f>
        <v>1107790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21100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1100</v>
      </c>
      <c r="D7" s="226"/>
      <c r="E7" s="224"/>
      <c r="F7" s="227">
        <f>'数据-取费表'!B48+'数据-取费表'!B49</f>
        <v>5.5E-2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65</v>
      </c>
      <c r="F9" s="227"/>
      <c r="G9" s="232"/>
    </row>
    <row r="10" spans="1:7" s="220" customFormat="1" ht="13.5" customHeight="1">
      <c r="A10" s="865" t="s">
        <v>620</v>
      </c>
      <c r="B10" s="230" t="s">
        <v>94</v>
      </c>
      <c r="C10" s="231">
        <f>ROUND(D10*E10/10000,0)</f>
        <v>2</v>
      </c>
      <c r="D10" s="932">
        <f>'数据-汇总表'!E6</f>
        <v>254.29000000000002</v>
      </c>
      <c r="E10" s="231">
        <f>'数据-取费表'!B28</f>
        <v>65</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5</v>
      </c>
      <c r="D19" s="936">
        <f>'数据-汇总表'!E3</f>
        <v>254.29000000000002</v>
      </c>
      <c r="E19" s="217">
        <f>'数据-取费表'!B31</f>
        <v>200</v>
      </c>
      <c r="F19" s="237"/>
      <c r="G19" s="1" t="s">
        <v>861</v>
      </c>
    </row>
    <row r="20" spans="1:7" s="220" customFormat="1" ht="13.5" customHeight="1">
      <c r="A20" s="863" t="s">
        <v>844</v>
      </c>
      <c r="B20" s="216" t="s">
        <v>104</v>
      </c>
      <c r="C20" s="238">
        <f>ROUND((C5+C19)*F20,0)</f>
        <v>422</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1194</v>
      </c>
      <c r="D22" s="241">
        <f ca="1">C26</f>
        <v>5.9999999999999995E-4</v>
      </c>
      <c r="E22" s="242" t="s">
        <v>126</v>
      </c>
      <c r="F22" s="243">
        <f ca="1">'数据-取费表'!B40</f>
        <v>3.7000000000000005E-2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1182</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0</v>
      </c>
      <c r="D24" s="244"/>
      <c r="E24" s="244"/>
      <c r="F24" s="245"/>
      <c r="G24" s="246" t="s">
        <v>109</v>
      </c>
    </row>
    <row r="25" spans="1:7" s="220" customFormat="1" ht="24">
      <c r="A25" s="866" t="s">
        <v>612</v>
      </c>
      <c r="B25" s="221" t="s">
        <v>845</v>
      </c>
      <c r="C25" s="1215">
        <f ca="1">ROUND(IF('数据-取费表'!B22&lt;=1,C20*F22*'数据-取费表'!B23/2,C20*(POWER((1+F22),'数据-取费表'!B23/2)-1)),0)</f>
        <v>12</v>
      </c>
      <c r="D25" s="244"/>
      <c r="E25" s="247"/>
      <c r="F25" s="245"/>
      <c r="G25" s="248" t="s">
        <v>110</v>
      </c>
    </row>
    <row r="26" spans="1:7" s="220" customFormat="1">
      <c r="A26" s="866" t="s">
        <v>614</v>
      </c>
      <c r="B26" s="221" t="s">
        <v>847</v>
      </c>
      <c r="C26" s="244">
        <f ca="1">ROUND(IF('数据-取费表'!B22&lt;=1,F21*F22*'数据-取费表'!B23/2,F21*(POWER((1+F22),'数据-取费表'!B23/2)-1)),4)</f>
        <v>5.9999999999999995E-4</v>
      </c>
      <c r="D26" s="244"/>
      <c r="E26" s="247"/>
      <c r="F26" s="245"/>
      <c r="G26" s="249"/>
    </row>
    <row r="27" spans="1:7" s="220" customFormat="1" ht="24.75">
      <c r="A27" s="863" t="s">
        <v>606</v>
      </c>
      <c r="B27" s="250" t="s">
        <v>112</v>
      </c>
      <c r="C27" s="251">
        <f>C28</f>
        <v>3229</v>
      </c>
      <c r="D27" s="241">
        <f>C29</f>
        <v>3.0000000000000001E-3</v>
      </c>
      <c r="E27" s="242" t="s">
        <v>126</v>
      </c>
      <c r="F27" s="252">
        <f>'数据-取费表'!Q16</f>
        <v>0.15</v>
      </c>
      <c r="G27" s="253" t="s">
        <v>856</v>
      </c>
    </row>
    <row r="28" spans="1:7" s="220" customFormat="1" ht="13.5" customHeight="1">
      <c r="A28" s="866" t="s">
        <v>613</v>
      </c>
      <c r="B28" s="254" t="s">
        <v>849</v>
      </c>
      <c r="C28" s="255">
        <f>ROUND((C5+C19+C20)*F27*'数据-取费表'!B21/'数据-取费表'!B20,0)</f>
        <v>3229</v>
      </c>
      <c r="D28" s="241"/>
      <c r="E28" s="242"/>
      <c r="F28" s="252"/>
      <c r="G28" s="253"/>
    </row>
    <row r="29" spans="1:7" s="220" customFormat="1" ht="13.5" customHeight="1">
      <c r="A29" s="866" t="s">
        <v>611</v>
      </c>
      <c r="B29" s="254" t="s">
        <v>850</v>
      </c>
      <c r="C29" s="244">
        <f>ROUND(C21*F27*'数据-取费表'!B21/'数据-取费表'!B20,4)</f>
        <v>3.0000000000000001E-3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28113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74</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66</v>
      </c>
      <c r="D34" s="223"/>
      <c r="E34" s="226"/>
      <c r="F34" s="263">
        <f>IF('数据-取费表'!B24=0,1,'数据-取费表'!N16)</f>
        <v>1</v>
      </c>
      <c r="G34" s="225" t="s">
        <v>116</v>
      </c>
    </row>
    <row r="35" spans="1:7" ht="13.5" customHeight="1">
      <c r="A35" s="866" t="s">
        <v>615</v>
      </c>
      <c r="B35" s="221" t="s">
        <v>60</v>
      </c>
      <c r="C35" s="226">
        <f>ROUND(C34*F35,0)</f>
        <v>2</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5</v>
      </c>
      <c r="D37" s="223">
        <f>'数据-汇总表'!E3</f>
        <v>254.29000000000002</v>
      </c>
      <c r="E37" s="255">
        <f>'数据-取费表'!B35</f>
        <v>200</v>
      </c>
      <c r="F37" s="265"/>
      <c r="G37" s="267" t="s">
        <v>119</v>
      </c>
    </row>
    <row r="38" spans="1:7" ht="13.5" customHeight="1">
      <c r="A38" s="866" t="s">
        <v>618</v>
      </c>
      <c r="B38" s="221" t="s">
        <v>63</v>
      </c>
      <c r="C38" s="226">
        <f>ROUND(C34*F38,0)</f>
        <v>1</v>
      </c>
      <c r="D38" s="226"/>
      <c r="E38" s="226"/>
      <c r="F38" s="265">
        <f>'数据-取费表'!B36</f>
        <v>1.4999999999999999E-2</v>
      </c>
      <c r="G38" s="225" t="s">
        <v>117</v>
      </c>
    </row>
    <row r="39" spans="1:7" s="220" customFormat="1" ht="13.5" customHeight="1">
      <c r="A39" s="863" t="s">
        <v>602</v>
      </c>
      <c r="B39" s="216" t="s">
        <v>104</v>
      </c>
      <c r="C39" s="238">
        <f>ROUND(C33*F20,0)</f>
        <v>1</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2</v>
      </c>
      <c r="D41" s="241">
        <f ca="1">C44</f>
        <v>5.9999999999999995E-4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2</v>
      </c>
      <c r="D42" s="244"/>
      <c r="E42" s="244"/>
      <c r="F42" s="245"/>
      <c r="G42" s="3447" t="s">
        <v>121</v>
      </c>
    </row>
    <row r="43" spans="1:7" ht="13.5" customHeight="1">
      <c r="A43" s="866" t="s">
        <v>611</v>
      </c>
      <c r="B43" s="221" t="s">
        <v>851</v>
      </c>
      <c r="C43" s="244">
        <f ca="1">ROUND(IF('数据-取费表'!B22&lt;=1,C39*F22*'数据-取费表'!B21/2,C39*(POWER((1+F22),'数据-取费表'!B21/2)-1)),0)</f>
        <v>0</v>
      </c>
      <c r="D43" s="244"/>
      <c r="E43" s="244"/>
      <c r="F43" s="245"/>
      <c r="G43" s="3448"/>
    </row>
    <row r="44" spans="1:7" ht="13.5" customHeight="1">
      <c r="A44" s="866" t="s">
        <v>612</v>
      </c>
      <c r="B44" s="221" t="s">
        <v>853</v>
      </c>
      <c r="C44" s="244">
        <f ca="1">ROUND(IF('数据-取费表'!B22&lt;=1,C40*F22*'数据-取费表'!B21/2,C40*(POWER((1+F22),'数据-取费表'!B21/2)-1)),4)</f>
        <v>5.9999999999999995E-4</v>
      </c>
      <c r="D44" s="244"/>
      <c r="E44" s="244"/>
      <c r="F44" s="245"/>
      <c r="G44" s="3449"/>
    </row>
    <row r="45" spans="1:7" s="220" customFormat="1" ht="13.5" customHeight="1">
      <c r="A45" s="863" t="s">
        <v>605</v>
      </c>
      <c r="B45" s="250" t="s">
        <v>112</v>
      </c>
      <c r="C45" s="251">
        <f>C46</f>
        <v>11</v>
      </c>
      <c r="D45" s="241">
        <f>C47</f>
        <v>3.0000000000000001E-3</v>
      </c>
      <c r="E45" s="242" t="s">
        <v>129</v>
      </c>
      <c r="F45" s="252"/>
      <c r="G45" s="253" t="s">
        <v>859</v>
      </c>
    </row>
    <row r="46" spans="1:7" s="220" customFormat="1" ht="13.5" customHeight="1">
      <c r="A46" s="866" t="s">
        <v>613</v>
      </c>
      <c r="B46" s="254" t="s">
        <v>852</v>
      </c>
      <c r="C46" s="255">
        <f>ROUND((C33+C39)*F27,0)</f>
        <v>11</v>
      </c>
      <c r="D46" s="269"/>
      <c r="E46" s="242"/>
      <c r="F46" s="252"/>
      <c r="G46" s="253"/>
    </row>
    <row r="47" spans="1:7" s="220" customFormat="1" ht="13.5" customHeight="1">
      <c r="A47" s="866" t="s">
        <v>611</v>
      </c>
      <c r="B47" s="254" t="s">
        <v>854</v>
      </c>
      <c r="C47" s="244">
        <f>ROUND(C40*F27,4)</f>
        <v>3.0000000000000001E-3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95</v>
      </c>
      <c r="D49" s="238"/>
      <c r="E49" s="238"/>
      <c r="F49" s="270"/>
      <c r="G49" s="240" t="s">
        <v>860</v>
      </c>
    </row>
    <row r="50" spans="1:7" s="264" customFormat="1" ht="24">
      <c r="A50" s="863" t="s">
        <v>608</v>
      </c>
      <c r="B50" s="216" t="s">
        <v>124</v>
      </c>
      <c r="C50" s="238"/>
      <c r="D50" s="238"/>
      <c r="E50" s="238"/>
      <c r="F50" s="270">
        <f>IF('数据-取费表'!B24=0,'数据-取费表'!N16,1)</f>
        <v>0.6</v>
      </c>
      <c r="G50" s="253" t="s">
        <v>125</v>
      </c>
    </row>
    <row r="51" spans="1:7" ht="16.5" customHeight="1">
      <c r="A51" s="863" t="s">
        <v>609</v>
      </c>
      <c r="B51" s="216" t="s">
        <v>132</v>
      </c>
      <c r="C51" s="238">
        <f ca="1">ROUND(C49*F50,0)</f>
        <v>57</v>
      </c>
      <c r="D51" s="238"/>
      <c r="E51" s="238"/>
      <c r="F51" s="270"/>
      <c r="G51" s="240" t="s">
        <v>64</v>
      </c>
    </row>
    <row r="52" spans="1:7" s="214" customFormat="1" ht="16.5" thickBot="1">
      <c r="A52" s="271" t="s">
        <v>65</v>
      </c>
      <c r="B52" s="272"/>
      <c r="C52" s="273">
        <f ca="1">C31+C51</f>
        <v>28170</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1" customWidth="1"/>
    <col min="2" max="5" width="10.125" style="749" customWidth="1"/>
    <col min="6" max="6" width="9" style="749"/>
    <col min="7" max="8" width="9" style="764"/>
    <col min="9" max="16384" width="9" style="749"/>
  </cols>
  <sheetData>
    <row r="1" spans="1:19">
      <c r="A1" s="3607" t="s">
        <v>156</v>
      </c>
      <c r="B1" s="3607"/>
      <c r="C1" s="3607"/>
      <c r="D1" s="3607"/>
      <c r="E1" s="3607"/>
      <c r="F1" s="360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08" t="s">
        <v>169</v>
      </c>
      <c r="B2" s="3608"/>
      <c r="C2" s="3608"/>
      <c r="D2" s="3608"/>
      <c r="E2" s="3608"/>
      <c r="F2" s="360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09"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10"/>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ColWidth="8.875" defaultRowHeight="13.5"/>
  <cols>
    <col min="1" max="1" width="12.625" style="791" customWidth="1"/>
    <col min="2" max="2" width="10.125" style="749" customWidth="1"/>
  </cols>
  <sheetData>
    <row r="1" spans="1:6">
      <c r="A1" s="3607" t="s">
        <v>658</v>
      </c>
      <c r="B1" s="3607"/>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ColWidth="8.875" defaultRowHeight="13.5"/>
  <cols>
    <col min="1" max="1" width="4.875" style="1360" customWidth="1"/>
    <col min="2" max="2" width="13.1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125" style="1366" customWidth="1"/>
    <col min="9" max="9" width="9" style="1366"/>
    <col min="10" max="10" width="9.375" style="1366" bestFit="1" customWidth="1"/>
    <col min="11" max="11" width="4" style="1360" customWidth="1"/>
    <col min="12" max="12" width="5.125" style="1366" customWidth="1"/>
    <col min="13" max="13" width="13.625" style="1366" customWidth="1"/>
    <col min="14" max="256" width="9" style="1366"/>
    <col min="257" max="257" width="4.875" style="1357" customWidth="1"/>
    <col min="258" max="258" width="13.1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625" style="1357" customWidth="1"/>
    <col min="270" max="512" width="9" style="1357"/>
    <col min="513" max="513" width="4.875" style="1357" customWidth="1"/>
    <col min="514" max="514" width="13.1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625" style="1357" customWidth="1"/>
    <col min="526" max="768" width="9" style="1357"/>
    <col min="769" max="769" width="4.875" style="1357" customWidth="1"/>
    <col min="770" max="770" width="13.1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625" style="1357" customWidth="1"/>
    <col min="782" max="1024" width="9" style="1357"/>
    <col min="1025" max="1025" width="4.875" style="1357" customWidth="1"/>
    <col min="1026" max="1026" width="13.1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625" style="1357" customWidth="1"/>
    <col min="1038" max="1280" width="9" style="1357"/>
    <col min="1281" max="1281" width="4.875" style="1357" customWidth="1"/>
    <col min="1282" max="1282" width="13.1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625" style="1357" customWidth="1"/>
    <col min="1294" max="1536" width="9" style="1357"/>
    <col min="1537" max="1537" width="4.875" style="1357" customWidth="1"/>
    <col min="1538" max="1538" width="13.1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625" style="1357" customWidth="1"/>
    <col min="1550" max="1792" width="9" style="1357"/>
    <col min="1793" max="1793" width="4.875" style="1357" customWidth="1"/>
    <col min="1794" max="1794" width="13.1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625" style="1357" customWidth="1"/>
    <col min="1806" max="2048" width="9" style="1357"/>
    <col min="2049" max="2049" width="4.875" style="1357" customWidth="1"/>
    <col min="2050" max="2050" width="13.1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625" style="1357" customWidth="1"/>
    <col min="2062" max="2304" width="9" style="1357"/>
    <col min="2305" max="2305" width="4.875" style="1357" customWidth="1"/>
    <col min="2306" max="2306" width="13.1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625" style="1357" customWidth="1"/>
    <col min="2318" max="2560" width="9" style="1357"/>
    <col min="2561" max="2561" width="4.875" style="1357" customWidth="1"/>
    <col min="2562" max="2562" width="13.1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625" style="1357" customWidth="1"/>
    <col min="2574" max="2816" width="9" style="1357"/>
    <col min="2817" max="2817" width="4.875" style="1357" customWidth="1"/>
    <col min="2818" max="2818" width="13.1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625" style="1357" customWidth="1"/>
    <col min="2830" max="3072" width="9" style="1357"/>
    <col min="3073" max="3073" width="4.875" style="1357" customWidth="1"/>
    <col min="3074" max="3074" width="13.1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625" style="1357" customWidth="1"/>
    <col min="3086" max="3328" width="9" style="1357"/>
    <col min="3329" max="3329" width="4.875" style="1357" customWidth="1"/>
    <col min="3330" max="3330" width="13.1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625" style="1357" customWidth="1"/>
    <col min="3342" max="3584" width="9" style="1357"/>
    <col min="3585" max="3585" width="4.875" style="1357" customWidth="1"/>
    <col min="3586" max="3586" width="13.1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625" style="1357" customWidth="1"/>
    <col min="3598" max="3840" width="9" style="1357"/>
    <col min="3841" max="3841" width="4.875" style="1357" customWidth="1"/>
    <col min="3842" max="3842" width="13.1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625" style="1357" customWidth="1"/>
    <col min="3854" max="4096" width="9" style="1357"/>
    <col min="4097" max="4097" width="4.875" style="1357" customWidth="1"/>
    <col min="4098" max="4098" width="13.1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625" style="1357" customWidth="1"/>
    <col min="4110" max="4352" width="9" style="1357"/>
    <col min="4353" max="4353" width="4.875" style="1357" customWidth="1"/>
    <col min="4354" max="4354" width="13.1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625" style="1357" customWidth="1"/>
    <col min="4366" max="4608" width="9" style="1357"/>
    <col min="4609" max="4609" width="4.875" style="1357" customWidth="1"/>
    <col min="4610" max="4610" width="13.1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625" style="1357" customWidth="1"/>
    <col min="4622" max="4864" width="9" style="1357"/>
    <col min="4865" max="4865" width="4.875" style="1357" customWidth="1"/>
    <col min="4866" max="4866" width="13.1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625" style="1357" customWidth="1"/>
    <col min="4878" max="5120" width="9" style="1357"/>
    <col min="5121" max="5121" width="4.875" style="1357" customWidth="1"/>
    <col min="5122" max="5122" width="13.1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625" style="1357" customWidth="1"/>
    <col min="5134" max="5376" width="9" style="1357"/>
    <col min="5377" max="5377" width="4.875" style="1357" customWidth="1"/>
    <col min="5378" max="5378" width="13.1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625" style="1357" customWidth="1"/>
    <col min="5390" max="5632" width="9" style="1357"/>
    <col min="5633" max="5633" width="4.875" style="1357" customWidth="1"/>
    <col min="5634" max="5634" width="13.1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625" style="1357" customWidth="1"/>
    <col min="5646" max="5888" width="9" style="1357"/>
    <col min="5889" max="5889" width="4.875" style="1357" customWidth="1"/>
    <col min="5890" max="5890" width="13.1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625" style="1357" customWidth="1"/>
    <col min="5902" max="6144" width="9" style="1357"/>
    <col min="6145" max="6145" width="4.875" style="1357" customWidth="1"/>
    <col min="6146" max="6146" width="13.1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625" style="1357" customWidth="1"/>
    <col min="6158" max="6400" width="9" style="1357"/>
    <col min="6401" max="6401" width="4.875" style="1357" customWidth="1"/>
    <col min="6402" max="6402" width="13.1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625" style="1357" customWidth="1"/>
    <col min="6414" max="6656" width="9" style="1357"/>
    <col min="6657" max="6657" width="4.875" style="1357" customWidth="1"/>
    <col min="6658" max="6658" width="13.1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625" style="1357" customWidth="1"/>
    <col min="6670" max="6912" width="9" style="1357"/>
    <col min="6913" max="6913" width="4.875" style="1357" customWidth="1"/>
    <col min="6914" max="6914" width="13.1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625" style="1357" customWidth="1"/>
    <col min="6926" max="7168" width="9" style="1357"/>
    <col min="7169" max="7169" width="4.875" style="1357" customWidth="1"/>
    <col min="7170" max="7170" width="13.1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625" style="1357" customWidth="1"/>
    <col min="7182" max="7424" width="9" style="1357"/>
    <col min="7425" max="7425" width="4.875" style="1357" customWidth="1"/>
    <col min="7426" max="7426" width="13.1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625" style="1357" customWidth="1"/>
    <col min="7438" max="7680" width="9" style="1357"/>
    <col min="7681" max="7681" width="4.875" style="1357" customWidth="1"/>
    <col min="7682" max="7682" width="13.1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625" style="1357" customWidth="1"/>
    <col min="7694" max="7936" width="9" style="1357"/>
    <col min="7937" max="7937" width="4.875" style="1357" customWidth="1"/>
    <col min="7938" max="7938" width="13.1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625" style="1357" customWidth="1"/>
    <col min="7950" max="8192" width="9" style="1357"/>
    <col min="8193" max="8193" width="4.875" style="1357" customWidth="1"/>
    <col min="8194" max="8194" width="13.1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625" style="1357" customWidth="1"/>
    <col min="8206" max="8448" width="9" style="1357"/>
    <col min="8449" max="8449" width="4.875" style="1357" customWidth="1"/>
    <col min="8450" max="8450" width="13.1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625" style="1357" customWidth="1"/>
    <col min="8462" max="8704" width="9" style="1357"/>
    <col min="8705" max="8705" width="4.875" style="1357" customWidth="1"/>
    <col min="8706" max="8706" width="13.1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625" style="1357" customWidth="1"/>
    <col min="8718" max="8960" width="9" style="1357"/>
    <col min="8961" max="8961" width="4.875" style="1357" customWidth="1"/>
    <col min="8962" max="8962" width="13.1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625" style="1357" customWidth="1"/>
    <col min="8974" max="9216" width="9" style="1357"/>
    <col min="9217" max="9217" width="4.875" style="1357" customWidth="1"/>
    <col min="9218" max="9218" width="13.1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625" style="1357" customWidth="1"/>
    <col min="9230" max="9472" width="9" style="1357"/>
    <col min="9473" max="9473" width="4.875" style="1357" customWidth="1"/>
    <col min="9474" max="9474" width="13.1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625" style="1357" customWidth="1"/>
    <col min="9486" max="9728" width="9" style="1357"/>
    <col min="9729" max="9729" width="4.875" style="1357" customWidth="1"/>
    <col min="9730" max="9730" width="13.1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625" style="1357" customWidth="1"/>
    <col min="9742" max="9984" width="9" style="1357"/>
    <col min="9985" max="9985" width="4.875" style="1357" customWidth="1"/>
    <col min="9986" max="9986" width="13.1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625" style="1357" customWidth="1"/>
    <col min="9998" max="10240" width="9" style="1357"/>
    <col min="10241" max="10241" width="4.875" style="1357" customWidth="1"/>
    <col min="10242" max="10242" width="13.1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625" style="1357" customWidth="1"/>
    <col min="10254" max="10496" width="9" style="1357"/>
    <col min="10497" max="10497" width="4.875" style="1357" customWidth="1"/>
    <col min="10498" max="10498" width="13.1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625" style="1357" customWidth="1"/>
    <col min="10510" max="10752" width="9" style="1357"/>
    <col min="10753" max="10753" width="4.875" style="1357" customWidth="1"/>
    <col min="10754" max="10754" width="13.1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625" style="1357" customWidth="1"/>
    <col min="10766" max="11008" width="9" style="1357"/>
    <col min="11009" max="11009" width="4.875" style="1357" customWidth="1"/>
    <col min="11010" max="11010" width="13.1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625" style="1357" customWidth="1"/>
    <col min="11022" max="11264" width="9" style="1357"/>
    <col min="11265" max="11265" width="4.875" style="1357" customWidth="1"/>
    <col min="11266" max="11266" width="13.1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625" style="1357" customWidth="1"/>
    <col min="11278" max="11520" width="9" style="1357"/>
    <col min="11521" max="11521" width="4.875" style="1357" customWidth="1"/>
    <col min="11522" max="11522" width="13.1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625" style="1357" customWidth="1"/>
    <col min="11534" max="11776" width="9" style="1357"/>
    <col min="11777" max="11777" width="4.875" style="1357" customWidth="1"/>
    <col min="11778" max="11778" width="13.1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625" style="1357" customWidth="1"/>
    <col min="11790" max="12032" width="9" style="1357"/>
    <col min="12033" max="12033" width="4.875" style="1357" customWidth="1"/>
    <col min="12034" max="12034" width="13.1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625" style="1357" customWidth="1"/>
    <col min="12046" max="12288" width="9" style="1357"/>
    <col min="12289" max="12289" width="4.875" style="1357" customWidth="1"/>
    <col min="12290" max="12290" width="13.1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625" style="1357" customWidth="1"/>
    <col min="12302" max="12544" width="9" style="1357"/>
    <col min="12545" max="12545" width="4.875" style="1357" customWidth="1"/>
    <col min="12546" max="12546" width="13.1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625" style="1357" customWidth="1"/>
    <col min="12558" max="12800" width="9" style="1357"/>
    <col min="12801" max="12801" width="4.875" style="1357" customWidth="1"/>
    <col min="12802" max="12802" width="13.1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625" style="1357" customWidth="1"/>
    <col min="12814" max="13056" width="9" style="1357"/>
    <col min="13057" max="13057" width="4.875" style="1357" customWidth="1"/>
    <col min="13058" max="13058" width="13.1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625" style="1357" customWidth="1"/>
    <col min="13070" max="13312" width="9" style="1357"/>
    <col min="13313" max="13313" width="4.875" style="1357" customWidth="1"/>
    <col min="13314" max="13314" width="13.1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625" style="1357" customWidth="1"/>
    <col min="13326" max="13568" width="9" style="1357"/>
    <col min="13569" max="13569" width="4.875" style="1357" customWidth="1"/>
    <col min="13570" max="13570" width="13.1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625" style="1357" customWidth="1"/>
    <col min="13582" max="13824" width="9" style="1357"/>
    <col min="13825" max="13825" width="4.875" style="1357" customWidth="1"/>
    <col min="13826" max="13826" width="13.1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625" style="1357" customWidth="1"/>
    <col min="13838" max="14080" width="9" style="1357"/>
    <col min="14081" max="14081" width="4.875" style="1357" customWidth="1"/>
    <col min="14082" max="14082" width="13.1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625" style="1357" customWidth="1"/>
    <col min="14094" max="14336" width="9" style="1357"/>
    <col min="14337" max="14337" width="4.875" style="1357" customWidth="1"/>
    <col min="14338" max="14338" width="13.1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625" style="1357" customWidth="1"/>
    <col min="14350" max="14592" width="9" style="1357"/>
    <col min="14593" max="14593" width="4.875" style="1357" customWidth="1"/>
    <col min="14594" max="14594" width="13.1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625" style="1357" customWidth="1"/>
    <col min="14606" max="14848" width="9" style="1357"/>
    <col min="14849" max="14849" width="4.875" style="1357" customWidth="1"/>
    <col min="14850" max="14850" width="13.1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625" style="1357" customWidth="1"/>
    <col min="14862" max="15104" width="9" style="1357"/>
    <col min="15105" max="15105" width="4.875" style="1357" customWidth="1"/>
    <col min="15106" max="15106" width="13.1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625" style="1357" customWidth="1"/>
    <col min="15118" max="15360" width="9" style="1357"/>
    <col min="15361" max="15361" width="4.875" style="1357" customWidth="1"/>
    <col min="15362" max="15362" width="13.1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625" style="1357" customWidth="1"/>
    <col min="15374" max="15616" width="9" style="1357"/>
    <col min="15617" max="15617" width="4.875" style="1357" customWidth="1"/>
    <col min="15618" max="15618" width="13.1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625" style="1357" customWidth="1"/>
    <col min="15630" max="15872" width="9" style="1357"/>
    <col min="15873" max="15873" width="4.875" style="1357" customWidth="1"/>
    <col min="15874" max="15874" width="13.1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625" style="1357" customWidth="1"/>
    <col min="15886" max="16128" width="9" style="1357"/>
    <col min="16129" max="16129" width="4.875" style="1357" customWidth="1"/>
    <col min="16130" max="16130" width="13.1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625" style="1357" customWidth="1"/>
    <col min="16142" max="16384" width="9" style="1357"/>
  </cols>
  <sheetData>
    <row r="1" spans="1:257" s="1419" customFormat="1" ht="14.25" thickBot="1">
      <c r="A1" s="1413"/>
      <c r="B1" s="1420" t="s">
        <v>1027</v>
      </c>
      <c r="C1" s="1414">
        <f>项目基本情况!D3</f>
        <v>44698</v>
      </c>
      <c r="D1" s="1420" t="s">
        <v>1028</v>
      </c>
      <c r="E1" s="1415">
        <f>'数据-取费表'!B22</f>
        <v>1.5</v>
      </c>
      <c r="F1" s="1420" t="s">
        <v>1029</v>
      </c>
      <c r="G1" s="1416">
        <f ca="1">INDIRECT("d"&amp;$K$1)/100</f>
        <v>3.7000000000000005E-2</v>
      </c>
      <c r="H1" s="1420" t="s">
        <v>1059</v>
      </c>
      <c r="I1" s="1416">
        <f ca="1">F4/100</f>
        <v>1.4999999999999999E-2</v>
      </c>
      <c r="J1" s="1421">
        <f>IF(C1&gt;C13,0,MATCH(C1,C$13:C$107,-1))+IF(SUMIF(C13:C107,C1,D13:D107)=0,13,12)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4.5999999999999996</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6">
        <v>44581</v>
      </c>
      <c r="D13" s="2997">
        <v>3.7</v>
      </c>
      <c r="E13" s="2997">
        <f>D13</f>
        <v>3.7</v>
      </c>
      <c r="F13" s="2997">
        <f>D13</f>
        <v>3.7</v>
      </c>
      <c r="G13" s="2997">
        <f>D13</f>
        <v>3.7</v>
      </c>
      <c r="H13" s="2997">
        <v>4.5999999999999996</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2"/>
      <c r="C14" s="2993">
        <v>44550</v>
      </c>
      <c r="D14" s="2992">
        <v>3.8</v>
      </c>
      <c r="E14" s="2992">
        <f>D14</f>
        <v>3.8</v>
      </c>
      <c r="F14" s="2992">
        <f>D14</f>
        <v>3.8</v>
      </c>
      <c r="G14" s="2992">
        <f>D14</f>
        <v>3.8</v>
      </c>
      <c r="H14" s="2992">
        <v>4.6500000000000004</v>
      </c>
      <c r="I14" s="2992"/>
      <c r="J14" s="2997"/>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2"/>
      <c r="C15" s="2993">
        <v>43941</v>
      </c>
      <c r="D15" s="2992">
        <v>3.85</v>
      </c>
      <c r="E15" s="2992">
        <v>3.85</v>
      </c>
      <c r="F15" s="2992">
        <v>3.85</v>
      </c>
      <c r="G15" s="2992">
        <v>3.85</v>
      </c>
      <c r="H15" s="2992">
        <v>4.6500000000000004</v>
      </c>
      <c r="I15" s="2992"/>
      <c r="J15" s="299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2"/>
      <c r="C16" s="2993">
        <v>43881</v>
      </c>
      <c r="D16" s="2992">
        <v>4.05</v>
      </c>
      <c r="E16" s="2992">
        <v>4.05</v>
      </c>
      <c r="F16" s="2992">
        <v>4.05</v>
      </c>
      <c r="G16" s="2992">
        <v>4.05</v>
      </c>
      <c r="H16" s="2992">
        <v>4.75</v>
      </c>
      <c r="I16" s="2992"/>
      <c r="J16" s="2992"/>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2"/>
      <c r="C17" s="2993">
        <v>43789</v>
      </c>
      <c r="D17" s="2992">
        <v>4.1500000000000004</v>
      </c>
      <c r="E17" s="2992">
        <v>4.1500000000000004</v>
      </c>
      <c r="F17" s="2992">
        <v>4.1500000000000004</v>
      </c>
      <c r="G17" s="2992">
        <v>4.1500000000000004</v>
      </c>
      <c r="H17" s="2992">
        <v>4.8</v>
      </c>
      <c r="I17" s="2992"/>
      <c r="J17" s="2992"/>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2"/>
      <c r="C18" s="2993">
        <v>43728</v>
      </c>
      <c r="D18" s="2992">
        <v>4.2</v>
      </c>
      <c r="E18" s="2992">
        <v>4.2</v>
      </c>
      <c r="F18" s="2992">
        <v>4.2</v>
      </c>
      <c r="G18" s="2992">
        <v>4.2</v>
      </c>
      <c r="H18" s="2992">
        <v>4.8499999999999996</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2"/>
      <c r="B19" s="2991" t="s">
        <v>2810</v>
      </c>
      <c r="C19" s="2994">
        <v>43697</v>
      </c>
      <c r="D19" s="2995">
        <v>4.25</v>
      </c>
      <c r="E19" s="2995">
        <v>4.25</v>
      </c>
      <c r="F19" s="2995">
        <v>4.25</v>
      </c>
      <c r="G19" s="2995">
        <v>4.25</v>
      </c>
      <c r="H19" s="2995">
        <v>4.8499999999999996</v>
      </c>
      <c r="I19" s="2995"/>
      <c r="J19" s="2995"/>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2998"/>
      <c r="B20" s="2999"/>
      <c r="C20" s="3000">
        <v>42301</v>
      </c>
      <c r="D20" s="3001">
        <v>4.3499999999999996</v>
      </c>
      <c r="E20" s="3001">
        <v>4.3499999999999996</v>
      </c>
      <c r="F20" s="3001">
        <v>4.75</v>
      </c>
      <c r="G20" s="3001">
        <v>4.75</v>
      </c>
      <c r="H20" s="3001">
        <v>4.9000000000000004</v>
      </c>
      <c r="I20" s="3001"/>
      <c r="J20" s="3001"/>
      <c r="K20" s="1396"/>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c r="B21" s="1408"/>
      <c r="C21" s="1409">
        <v>42242</v>
      </c>
      <c r="D21" s="1408">
        <v>4.5999999999999996</v>
      </c>
      <c r="E21" s="1408">
        <v>4.5999999999999996</v>
      </c>
      <c r="F21" s="1408">
        <v>5</v>
      </c>
      <c r="G21" s="1408">
        <v>5</v>
      </c>
      <c r="H21" s="1408">
        <v>5.15</v>
      </c>
      <c r="I21" s="1408">
        <v>2.75</v>
      </c>
      <c r="J21" s="1408">
        <v>3.25</v>
      </c>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42183</v>
      </c>
      <c r="D22" s="1408">
        <v>4.8499999999999996</v>
      </c>
      <c r="E22" s="1408">
        <v>4.8499999999999996</v>
      </c>
      <c r="F22" s="1408">
        <v>5.25</v>
      </c>
      <c r="G22" s="1408">
        <v>5.25</v>
      </c>
      <c r="H22" s="1408">
        <v>5.4</v>
      </c>
      <c r="I22" s="1408">
        <v>3</v>
      </c>
      <c r="J22" s="1408">
        <v>3.5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42135</v>
      </c>
      <c r="D23" s="1408">
        <v>5.0999999999999996</v>
      </c>
      <c r="E23" s="1408">
        <v>5.0999999999999996</v>
      </c>
      <c r="F23" s="1408">
        <v>5.5</v>
      </c>
      <c r="G23" s="1408">
        <v>5.5</v>
      </c>
      <c r="H23" s="1408">
        <v>5.65</v>
      </c>
      <c r="I23" s="1408">
        <v>3.25</v>
      </c>
      <c r="J23" s="1408">
        <v>3.75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42064</v>
      </c>
      <c r="D24" s="1408">
        <v>5.35</v>
      </c>
      <c r="E24" s="1408">
        <v>5.35</v>
      </c>
      <c r="F24" s="1408">
        <v>5.75</v>
      </c>
      <c r="G24" s="1408">
        <v>5.75</v>
      </c>
      <c r="H24" s="1408">
        <v>5.9</v>
      </c>
      <c r="I24" s="1408"/>
      <c r="J24" s="1408"/>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41965</v>
      </c>
      <c r="D25" s="1408">
        <v>5.6</v>
      </c>
      <c r="E25" s="1408">
        <v>5.6</v>
      </c>
      <c r="F25" s="1408">
        <v>6</v>
      </c>
      <c r="G25" s="1408">
        <v>6</v>
      </c>
      <c r="H25" s="1408">
        <v>6.15</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41096</v>
      </c>
      <c r="D26" s="1408">
        <v>5.6</v>
      </c>
      <c r="E26" s="1408">
        <v>6</v>
      </c>
      <c r="F26" s="1408">
        <v>6.15</v>
      </c>
      <c r="G26" s="1408">
        <v>6.4</v>
      </c>
      <c r="H26" s="1408">
        <v>6.55</v>
      </c>
      <c r="I26" s="1408">
        <v>4</v>
      </c>
      <c r="J26" s="1408">
        <v>4.5</v>
      </c>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41068</v>
      </c>
      <c r="D27" s="1408">
        <v>5.85</v>
      </c>
      <c r="E27" s="1408">
        <v>6.31</v>
      </c>
      <c r="F27" s="1408">
        <v>6.4</v>
      </c>
      <c r="G27" s="1408">
        <v>6.65</v>
      </c>
      <c r="H27" s="1408">
        <v>6.8</v>
      </c>
      <c r="I27" s="1408">
        <v>4.2</v>
      </c>
      <c r="J27" s="1408">
        <v>4.7</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40731</v>
      </c>
      <c r="D28" s="1408">
        <v>6.1</v>
      </c>
      <c r="E28" s="1408">
        <v>6.56</v>
      </c>
      <c r="F28" s="1408">
        <v>6.65</v>
      </c>
      <c r="G28" s="1408">
        <v>6.9</v>
      </c>
      <c r="H28" s="1408">
        <v>7.05</v>
      </c>
      <c r="I28" s="1408">
        <v>4.45</v>
      </c>
      <c r="J28" s="1408">
        <v>4.9000000000000004</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40639</v>
      </c>
      <c r="D29" s="1408">
        <v>5.85</v>
      </c>
      <c r="E29" s="1408">
        <v>6.31</v>
      </c>
      <c r="F29" s="1408">
        <v>6.4</v>
      </c>
      <c r="G29" s="1408">
        <v>6.65</v>
      </c>
      <c r="H29" s="1408">
        <v>6.8</v>
      </c>
      <c r="I29" s="1408">
        <v>4.2</v>
      </c>
      <c r="J29" s="1408">
        <v>4.7</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40583</v>
      </c>
      <c r="D30" s="1408">
        <v>5.6</v>
      </c>
      <c r="E30" s="1408">
        <v>6.06</v>
      </c>
      <c r="F30" s="1408">
        <v>6.1</v>
      </c>
      <c r="G30" s="1408">
        <v>6.45</v>
      </c>
      <c r="H30" s="1408">
        <v>6.6</v>
      </c>
      <c r="I30" s="1408">
        <v>4</v>
      </c>
      <c r="J30" s="1408">
        <v>4.5</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40538</v>
      </c>
      <c r="D31" s="1408">
        <v>5.35</v>
      </c>
      <c r="E31" s="1408">
        <v>5.81</v>
      </c>
      <c r="F31" s="1408">
        <v>5.85</v>
      </c>
      <c r="G31" s="1408">
        <v>6.22</v>
      </c>
      <c r="H31" s="1408">
        <v>6.4</v>
      </c>
      <c r="I31" s="1408">
        <v>3.75</v>
      </c>
      <c r="J31" s="1408">
        <v>4.3</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40471</v>
      </c>
      <c r="D32" s="1408">
        <v>5.0999999999999996</v>
      </c>
      <c r="E32" s="1408">
        <v>5.56</v>
      </c>
      <c r="F32" s="1408">
        <v>5.6</v>
      </c>
      <c r="G32" s="1408">
        <v>5.96</v>
      </c>
      <c r="H32" s="1408">
        <v>6.14</v>
      </c>
      <c r="I32" s="1408">
        <v>3.5</v>
      </c>
      <c r="J32" s="1408">
        <v>4.05</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39805</v>
      </c>
      <c r="D33" s="1408">
        <v>4.8600000000000003</v>
      </c>
      <c r="E33" s="1408">
        <v>5.31</v>
      </c>
      <c r="F33" s="1408">
        <v>5.4</v>
      </c>
      <c r="G33" s="1408">
        <v>5.76</v>
      </c>
      <c r="H33" s="1408">
        <v>5.94</v>
      </c>
      <c r="I33" s="1408">
        <v>3.33</v>
      </c>
      <c r="J33" s="1408">
        <v>3.87</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39779</v>
      </c>
      <c r="D34" s="1408">
        <v>5.04</v>
      </c>
      <c r="E34" s="1408">
        <v>5.58</v>
      </c>
      <c r="F34" s="1408">
        <v>5.67</v>
      </c>
      <c r="G34" s="1408">
        <v>5.94</v>
      </c>
      <c r="H34" s="1408">
        <v>6.12</v>
      </c>
      <c r="I34" s="1408">
        <v>3.51</v>
      </c>
      <c r="J34" s="1408">
        <v>4.05</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39751</v>
      </c>
      <c r="D35" s="1408">
        <v>6.03</v>
      </c>
      <c r="E35" s="1408">
        <v>6.66</v>
      </c>
      <c r="F35" s="1408">
        <v>6.75</v>
      </c>
      <c r="G35" s="1408">
        <v>7.02</v>
      </c>
      <c r="H35" s="1408">
        <v>7.2</v>
      </c>
      <c r="I35" s="1408">
        <v>4.05</v>
      </c>
      <c r="J35" s="1408">
        <v>4.59</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10">
        <v>39748</v>
      </c>
      <c r="D36" s="1408">
        <v>6.12</v>
      </c>
      <c r="E36" s="1408">
        <v>6.93</v>
      </c>
      <c r="F36" s="1408">
        <v>7.02</v>
      </c>
      <c r="G36" s="1408">
        <v>7.29</v>
      </c>
      <c r="H36" s="1408">
        <v>7.47</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09">
        <v>39730</v>
      </c>
      <c r="D37" s="1408">
        <v>6.12</v>
      </c>
      <c r="E37" s="1408">
        <v>6.93</v>
      </c>
      <c r="F37" s="1408">
        <v>7.02</v>
      </c>
      <c r="G37" s="1408">
        <v>7.29</v>
      </c>
      <c r="H37" s="1408">
        <v>7.47</v>
      </c>
      <c r="I37" s="1408">
        <v>4.32</v>
      </c>
      <c r="J37" s="1408">
        <v>4.8600000000000003</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39707</v>
      </c>
      <c r="D38" s="1408">
        <v>6.21</v>
      </c>
      <c r="E38" s="1408">
        <v>7.2</v>
      </c>
      <c r="F38" s="1408">
        <v>7.29</v>
      </c>
      <c r="G38" s="1408">
        <v>7.56</v>
      </c>
      <c r="H38" s="1408">
        <v>7.74</v>
      </c>
      <c r="I38" s="1408">
        <v>4.59</v>
      </c>
      <c r="J38" s="1408">
        <v>5.13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39437</v>
      </c>
      <c r="D39" s="1408">
        <v>6.57</v>
      </c>
      <c r="E39" s="1408">
        <v>7.47</v>
      </c>
      <c r="F39" s="1408">
        <v>7.56</v>
      </c>
      <c r="G39" s="1408">
        <v>7.74</v>
      </c>
      <c r="H39" s="1408">
        <v>7.83</v>
      </c>
      <c r="I39" s="1408">
        <v>4.7699999999999996</v>
      </c>
      <c r="J39" s="1408">
        <v>5.22</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39340</v>
      </c>
      <c r="D40" s="1408">
        <v>6.48</v>
      </c>
      <c r="E40" s="1408">
        <v>7.29</v>
      </c>
      <c r="F40" s="1408">
        <v>7.47</v>
      </c>
      <c r="G40" s="1408">
        <v>7.65</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39316</v>
      </c>
      <c r="D41" s="1408">
        <v>6.21</v>
      </c>
      <c r="E41" s="1408">
        <v>7.02</v>
      </c>
      <c r="F41" s="1408">
        <v>7.2</v>
      </c>
      <c r="G41" s="1408">
        <v>7.38</v>
      </c>
      <c r="H41" s="1408">
        <v>7.56</v>
      </c>
      <c r="I41" s="1408">
        <v>4.59</v>
      </c>
      <c r="J41" s="1408">
        <v>5.04</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39284</v>
      </c>
      <c r="D42" s="1408">
        <v>6.03</v>
      </c>
      <c r="E42" s="1408">
        <v>6.84</v>
      </c>
      <c r="F42" s="1408">
        <v>7.02</v>
      </c>
      <c r="G42" s="1408">
        <v>7.2</v>
      </c>
      <c r="H42" s="1408">
        <v>7.38</v>
      </c>
      <c r="I42" s="1408">
        <v>4.5</v>
      </c>
      <c r="J42" s="1408">
        <v>4.95</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39221</v>
      </c>
      <c r="D43" s="1408">
        <v>5.85</v>
      </c>
      <c r="E43" s="1408">
        <v>6.57</v>
      </c>
      <c r="F43" s="1408">
        <v>6.75</v>
      </c>
      <c r="G43" s="1408">
        <v>6.93</v>
      </c>
      <c r="H43" s="1408">
        <v>7.2</v>
      </c>
      <c r="I43" s="1408">
        <v>4.41</v>
      </c>
      <c r="J43" s="1408">
        <v>4.8600000000000003</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39159</v>
      </c>
      <c r="D44" s="1408">
        <v>5.67</v>
      </c>
      <c r="E44" s="1408">
        <v>6.39</v>
      </c>
      <c r="F44" s="1408">
        <v>6.57</v>
      </c>
      <c r="G44" s="1408">
        <v>6.75</v>
      </c>
      <c r="H44" s="1408">
        <v>7.11</v>
      </c>
      <c r="I44" s="1408">
        <v>4.32</v>
      </c>
      <c r="J44" s="1408">
        <v>4.7699999999999996</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38948</v>
      </c>
      <c r="D45" s="1408">
        <v>5.58</v>
      </c>
      <c r="E45" s="1408">
        <v>6.12</v>
      </c>
      <c r="F45" s="1408">
        <v>6.3</v>
      </c>
      <c r="G45" s="1408">
        <v>6.48</v>
      </c>
      <c r="H45" s="1408">
        <v>6.84</v>
      </c>
      <c r="I45" s="1408">
        <v>4.1399999999999997</v>
      </c>
      <c r="J45" s="1408">
        <v>4.59</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38835</v>
      </c>
      <c r="D46" s="1408">
        <v>5.4</v>
      </c>
      <c r="E46" s="1408">
        <v>5.85</v>
      </c>
      <c r="F46" s="1408">
        <v>6.03</v>
      </c>
      <c r="G46" s="1408">
        <v>6.12</v>
      </c>
      <c r="H46" s="1408">
        <v>6.39</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38428</v>
      </c>
      <c r="D47" s="1408">
        <v>5.22</v>
      </c>
      <c r="E47" s="1408">
        <v>5.58</v>
      </c>
      <c r="F47" s="1408">
        <v>5.76</v>
      </c>
      <c r="G47" s="1408">
        <v>5.85</v>
      </c>
      <c r="H47" s="1408">
        <v>6.12</v>
      </c>
      <c r="I47" s="1408">
        <v>3.96</v>
      </c>
      <c r="J47" s="1408">
        <v>4.41</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38289</v>
      </c>
      <c r="D48" s="1408">
        <v>5.22</v>
      </c>
      <c r="E48" s="1408">
        <v>5.58</v>
      </c>
      <c r="F48" s="1408">
        <v>5.76</v>
      </c>
      <c r="G48" s="1408">
        <v>5.85</v>
      </c>
      <c r="H48" s="1408">
        <v>6.12</v>
      </c>
      <c r="I48" s="1408">
        <v>3.78</v>
      </c>
      <c r="J48" s="1408">
        <v>4.2300000000000004</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37308</v>
      </c>
      <c r="D49" s="1408">
        <v>5.04</v>
      </c>
      <c r="E49" s="1408">
        <v>5.31</v>
      </c>
      <c r="F49" s="1408">
        <v>5.49</v>
      </c>
      <c r="G49" s="1408">
        <v>5.58</v>
      </c>
      <c r="H49" s="1408">
        <v>5.76</v>
      </c>
      <c r="I49" s="1408">
        <v>3.6</v>
      </c>
      <c r="J49" s="1408">
        <v>4.05</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36321</v>
      </c>
      <c r="D50" s="1408">
        <v>5.58</v>
      </c>
      <c r="E50" s="1408">
        <v>5.85</v>
      </c>
      <c r="F50" s="1408">
        <v>5.94</v>
      </c>
      <c r="G50" s="1408">
        <v>6.03</v>
      </c>
      <c r="H50" s="1408">
        <v>6.21</v>
      </c>
      <c r="I50" s="1408">
        <v>4.1399999999999997</v>
      </c>
      <c r="J50" s="1408">
        <v>4.59</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36136</v>
      </c>
      <c r="D51" s="1408">
        <v>6.12</v>
      </c>
      <c r="E51" s="1408">
        <v>6.39</v>
      </c>
      <c r="F51" s="1408">
        <v>6.66</v>
      </c>
      <c r="G51" s="1408">
        <v>7.2</v>
      </c>
      <c r="H51" s="1408">
        <v>7.56</v>
      </c>
      <c r="I51" s="1408">
        <v>0</v>
      </c>
      <c r="J51" s="1408">
        <v>0</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35977</v>
      </c>
      <c r="D52" s="1408">
        <v>6.57</v>
      </c>
      <c r="E52" s="1408">
        <v>6.93</v>
      </c>
      <c r="F52" s="1408">
        <v>7.11</v>
      </c>
      <c r="G52" s="1408">
        <v>7.65</v>
      </c>
      <c r="H52" s="1408">
        <v>8.01</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35879</v>
      </c>
      <c r="D53" s="1408">
        <v>7.02</v>
      </c>
      <c r="E53" s="1408">
        <v>7.92</v>
      </c>
      <c r="F53" s="1408">
        <v>9</v>
      </c>
      <c r="G53" s="1408">
        <v>9.7200000000000006</v>
      </c>
      <c r="H53" s="1408">
        <v>10.35</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35726</v>
      </c>
      <c r="D54" s="1408">
        <v>7.65</v>
      </c>
      <c r="E54" s="1408">
        <v>8.64</v>
      </c>
      <c r="F54" s="1408">
        <v>9.36</v>
      </c>
      <c r="G54" s="1408">
        <v>9.9</v>
      </c>
      <c r="H54" s="1408">
        <v>10.53</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35300</v>
      </c>
      <c r="D55" s="1408">
        <v>9.18</v>
      </c>
      <c r="E55" s="1408">
        <v>10.08</v>
      </c>
      <c r="F55" s="1408">
        <v>10.98</v>
      </c>
      <c r="G55" s="1408">
        <v>11.7</v>
      </c>
      <c r="H55" s="1408">
        <v>12.42</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35186</v>
      </c>
      <c r="D56" s="1408">
        <v>9.7200000000000006</v>
      </c>
      <c r="E56" s="1408">
        <v>10.98</v>
      </c>
      <c r="F56" s="1408">
        <v>13.14</v>
      </c>
      <c r="G56" s="1408">
        <v>14.94</v>
      </c>
      <c r="H56" s="1408">
        <v>15.12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34881</v>
      </c>
      <c r="D57" s="1408">
        <v>10.08</v>
      </c>
      <c r="E57" s="1408">
        <v>12.06</v>
      </c>
      <c r="F57" s="1408">
        <v>13.5</v>
      </c>
      <c r="G57" s="1408">
        <v>15.12</v>
      </c>
      <c r="H57" s="1408">
        <v>15.3</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34700</v>
      </c>
      <c r="D58" s="1408">
        <v>9</v>
      </c>
      <c r="E58" s="1408">
        <v>10.98</v>
      </c>
      <c r="F58" s="1408">
        <v>12.96</v>
      </c>
      <c r="G58" s="1408">
        <v>14.58</v>
      </c>
      <c r="H58" s="1408">
        <v>14.76</v>
      </c>
      <c r="I58" s="1408">
        <v>0</v>
      </c>
      <c r="J58" s="1408">
        <v>0</v>
      </c>
    </row>
    <row r="59" spans="2:26">
      <c r="B59" s="1408"/>
      <c r="C59" s="1409">
        <v>34161</v>
      </c>
      <c r="D59" s="1408">
        <v>9</v>
      </c>
      <c r="E59" s="1408">
        <v>10.98</v>
      </c>
      <c r="F59" s="1408">
        <v>12.24</v>
      </c>
      <c r="G59" s="1408">
        <v>13.86</v>
      </c>
      <c r="H59" s="1408">
        <v>14.04</v>
      </c>
      <c r="I59" s="1408">
        <v>0</v>
      </c>
      <c r="J59" s="1408">
        <v>0</v>
      </c>
    </row>
    <row r="60" spans="2:26">
      <c r="B60" s="1408"/>
      <c r="C60" s="1409">
        <v>34104</v>
      </c>
      <c r="D60" s="1408">
        <v>8.82</v>
      </c>
      <c r="E60" s="1408">
        <v>9.36</v>
      </c>
      <c r="F60" s="1408">
        <v>10.8</v>
      </c>
      <c r="G60" s="1408">
        <v>12.06</v>
      </c>
      <c r="H60" s="1408">
        <v>12.24</v>
      </c>
      <c r="I60" s="1408">
        <v>0</v>
      </c>
      <c r="J60" s="1408">
        <v>0</v>
      </c>
    </row>
    <row r="61" spans="2:26">
      <c r="B61" s="1408"/>
      <c r="C61" s="1409">
        <v>33349</v>
      </c>
      <c r="D61" s="1408">
        <v>8.1</v>
      </c>
      <c r="E61" s="1408">
        <v>8.64</v>
      </c>
      <c r="F61" s="1408">
        <v>9</v>
      </c>
      <c r="G61" s="1408">
        <v>9.5399999999999991</v>
      </c>
      <c r="H61" s="1408">
        <v>9.7200000000000006</v>
      </c>
      <c r="I61" s="1408">
        <v>0</v>
      </c>
      <c r="J61" s="1408">
        <v>0</v>
      </c>
    </row>
    <row r="62" spans="2:26">
      <c r="B62" s="1408"/>
      <c r="C62" s="1409">
        <v>33318</v>
      </c>
      <c r="D62" s="1408">
        <v>9</v>
      </c>
      <c r="E62" s="1408">
        <v>10.08</v>
      </c>
      <c r="F62" s="1408">
        <v>10.8</v>
      </c>
      <c r="G62" s="1408">
        <v>11.52</v>
      </c>
      <c r="H62" s="1408">
        <v>11.88</v>
      </c>
      <c r="I62" s="1408" t="s">
        <v>1058</v>
      </c>
      <c r="J62" s="1408" t="s">
        <v>1058</v>
      </c>
    </row>
    <row r="63" spans="2:26">
      <c r="B63" s="1408"/>
      <c r="C63" s="1409">
        <v>33106</v>
      </c>
      <c r="D63" s="1408">
        <v>8.64</v>
      </c>
      <c r="E63" s="1408">
        <v>9.36</v>
      </c>
      <c r="F63" s="1408">
        <v>10.08</v>
      </c>
      <c r="G63" s="1408">
        <v>10.8</v>
      </c>
      <c r="H63" s="1408">
        <v>11.16</v>
      </c>
      <c r="I63" s="1408">
        <v>0</v>
      </c>
      <c r="J63" s="1408">
        <v>0</v>
      </c>
    </row>
    <row r="64" spans="2:26">
      <c r="B64" s="1408"/>
      <c r="C64" s="1409">
        <v>32540</v>
      </c>
      <c r="D64" s="1408">
        <v>11.34</v>
      </c>
      <c r="E64" s="1408">
        <v>11.34</v>
      </c>
      <c r="F64" s="1408">
        <v>12.78</v>
      </c>
      <c r="G64" s="1408">
        <v>14.4</v>
      </c>
      <c r="H64" s="1408">
        <v>19.260000000000002</v>
      </c>
      <c r="I64" s="1408">
        <v>0</v>
      </c>
      <c r="J64" s="1408">
        <v>0</v>
      </c>
    </row>
    <row r="65" spans="2:10">
      <c r="B65" s="1408"/>
      <c r="C65" s="1409"/>
      <c r="D65" s="1408"/>
      <c r="E65" s="1408"/>
      <c r="F65" s="1408"/>
      <c r="G65" s="1408"/>
      <c r="H65" s="1408"/>
      <c r="I65" s="1408"/>
      <c r="J65" s="1408"/>
    </row>
    <row r="66" spans="2:10">
      <c r="B66" s="1411"/>
      <c r="C66" s="1412"/>
      <c r="D66" s="1411"/>
      <c r="E66" s="1411"/>
      <c r="F66" s="1411"/>
      <c r="G66" s="1411"/>
      <c r="H66" s="1411"/>
      <c r="I66" s="1411"/>
      <c r="J66" s="1411"/>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360"/>
      <c r="C69" s="1360"/>
      <c r="D69" s="1360"/>
      <c r="E69" s="1360"/>
      <c r="F69" s="1360"/>
      <c r="G69" s="1360"/>
      <c r="H69" s="1360"/>
      <c r="I69" s="1360"/>
      <c r="J69" s="1360"/>
    </row>
    <row r="70" spans="2:10">
      <c r="B70" s="1360"/>
      <c r="C70" s="1360"/>
      <c r="D70" s="1360"/>
      <c r="E70" s="1360"/>
      <c r="F70" s="1360"/>
      <c r="G70" s="1360"/>
      <c r="H70" s="1360"/>
      <c r="I70" s="1360"/>
      <c r="J70" s="1360"/>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ColWidth="8.875"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266" t="str">
        <f>IF(项目基本情况!B9="房地产市场价值","估价结果一览表","结果表-2")</f>
        <v>结果表-2</v>
      </c>
      <c r="B1" s="3266"/>
      <c r="C1" s="3266"/>
      <c r="D1" s="3266"/>
      <c r="E1" s="3266"/>
      <c r="F1" s="3266"/>
      <c r="G1" s="3266"/>
      <c r="H1" s="3266"/>
      <c r="I1" s="3266"/>
    </row>
    <row r="2" spans="1:9" ht="30" customHeight="1" thickTop="1">
      <c r="A2" s="3267" t="s">
        <v>1365</v>
      </c>
      <c r="B2" s="3267" t="s">
        <v>1366</v>
      </c>
      <c r="C2" s="3267" t="s">
        <v>1367</v>
      </c>
      <c r="D2" s="3267" t="str">
        <f>结果表!D116</f>
        <v>出让国有建设用地使用权价值</v>
      </c>
      <c r="E2" s="3267"/>
      <c r="F2" s="3267" t="str">
        <f>结果表!F116</f>
        <v>在建建筑物价值</v>
      </c>
      <c r="G2" s="3267"/>
      <c r="H2" s="3267" t="str">
        <f>IF(项目基本情况!B9="房地产市场价值","房地产市场价值","房地产价值")</f>
        <v>房地产价值</v>
      </c>
      <c r="I2" s="3267"/>
    </row>
    <row r="3" spans="1:9" ht="15">
      <c r="A3" s="3268"/>
      <c r="B3" s="3268"/>
      <c r="C3" s="3268"/>
      <c r="D3" s="941" t="s">
        <v>1362</v>
      </c>
      <c r="E3" s="941" t="s">
        <v>1368</v>
      </c>
      <c r="F3" s="941" t="s">
        <v>1362</v>
      </c>
      <c r="G3" s="941" t="s">
        <v>1363</v>
      </c>
      <c r="H3" s="941" t="s">
        <v>1362</v>
      </c>
      <c r="I3" s="941" t="s">
        <v>1363</v>
      </c>
    </row>
    <row r="4" spans="1:9" ht="15">
      <c r="A4" s="1638" t="str">
        <f>项目基本情况!S2</f>
        <v>湖北省黄石市房地产</v>
      </c>
      <c r="B4" s="941">
        <f>项目基本情况!C17</f>
        <v>254.29000000000002</v>
      </c>
      <c r="C4" s="941">
        <f>项目基本情况!C18</f>
        <v>0</v>
      </c>
      <c r="D4" s="941" t="e">
        <f ca="1">结果表!D118</f>
        <v>#REF!</v>
      </c>
      <c r="E4" s="941" t="e">
        <f ca="1">结果表!E118</f>
        <v>#REF!</v>
      </c>
      <c r="F4" s="941" t="e">
        <f ca="1">结果表!F118</f>
        <v>#REF!</v>
      </c>
      <c r="G4" s="941" t="e">
        <f ca="1">结果表!G118</f>
        <v>#REF!</v>
      </c>
      <c r="H4" s="941">
        <f ca="1">结果表!H118</f>
        <v>228</v>
      </c>
      <c r="I4" s="941">
        <f ca="1">结果表!I118</f>
        <v>8966</v>
      </c>
    </row>
    <row r="5" spans="1:9" ht="30" customHeight="1">
      <c r="A5" s="3268" t="s">
        <v>1364</v>
      </c>
      <c r="B5" s="3268"/>
      <c r="C5" s="3268"/>
      <c r="D5" s="3269" t="e">
        <f ca="1">结果表!D119</f>
        <v>#REF!</v>
      </c>
      <c r="E5" s="3269"/>
      <c r="F5" s="3269" t="e">
        <f ca="1">结果表!F119</f>
        <v>#REF!</v>
      </c>
      <c r="G5" s="3269"/>
      <c r="H5" s="3269" t="str">
        <f ca="1">结果表!H119</f>
        <v>贰佰贰拾捌万元整</v>
      </c>
      <c r="I5" s="3269"/>
    </row>
    <row r="6" spans="1:9" ht="15.75">
      <c r="A6" s="3270" t="str">
        <f>结果表!A120</f>
        <v>估价师知悉的法定优先受偿款</v>
      </c>
      <c r="B6" s="3270"/>
      <c r="C6" s="3270"/>
      <c r="D6" s="3270">
        <f>结果表!D120</f>
        <v>0</v>
      </c>
      <c r="E6" s="3270"/>
      <c r="F6" s="3270"/>
      <c r="G6" s="3270"/>
      <c r="H6" s="3270"/>
      <c r="I6" s="3270"/>
    </row>
    <row r="7" spans="1:9" ht="15">
      <c r="A7" s="3268" t="s">
        <v>1364</v>
      </c>
      <c r="B7" s="3268"/>
      <c r="C7" s="3268"/>
      <c r="D7" s="3271" t="str">
        <f>结果表!D121</f>
        <v>零元整</v>
      </c>
      <c r="E7" s="3272"/>
      <c r="F7" s="3272"/>
      <c r="G7" s="3272"/>
      <c r="H7" s="3272"/>
      <c r="I7" s="3273"/>
    </row>
    <row r="8" spans="1:9" ht="15.75">
      <c r="A8" s="3270" t="str">
        <f>结果表!A122</f>
        <v>房地产抵押价值</v>
      </c>
      <c r="B8" s="3270"/>
      <c r="C8" s="3270"/>
      <c r="D8" s="3270">
        <f ca="1">结果表!D122</f>
        <v>228</v>
      </c>
      <c r="E8" s="3270"/>
      <c r="F8" s="3270"/>
      <c r="G8" s="3270"/>
      <c r="H8" s="3270"/>
      <c r="I8" s="3270"/>
    </row>
    <row r="9" spans="1:9" ht="15">
      <c r="A9" s="3268" t="s">
        <v>1364</v>
      </c>
      <c r="B9" s="3268"/>
      <c r="C9" s="3268"/>
      <c r="D9" s="3269" t="str">
        <f ca="1">结果表!D123</f>
        <v>贰佰贰拾捌万元整</v>
      </c>
      <c r="E9" s="3269"/>
      <c r="F9" s="3269"/>
      <c r="G9" s="3269"/>
      <c r="H9" s="3269"/>
      <c r="I9" s="3269"/>
    </row>
    <row r="10" spans="1:9" ht="15.75">
      <c r="A10" s="3270" t="str">
        <f>结果表!A124</f>
        <v/>
      </c>
      <c r="B10" s="3270"/>
      <c r="C10" s="3270"/>
      <c r="D10" s="3270" t="str">
        <f>结果表!D124</f>
        <v>——</v>
      </c>
      <c r="E10" s="3270"/>
      <c r="F10" s="3270"/>
      <c r="G10" s="3270"/>
      <c r="H10" s="3270"/>
      <c r="I10" s="3270"/>
    </row>
    <row r="11" spans="1:9" ht="15">
      <c r="A11" s="3268" t="s">
        <v>1364</v>
      </c>
      <c r="B11" s="3268"/>
      <c r="C11" s="3268"/>
      <c r="D11" s="3269" t="e">
        <f>结果表!D125</f>
        <v>#VALUE!</v>
      </c>
      <c r="E11" s="3269"/>
      <c r="F11" s="3269"/>
      <c r="G11" s="3269"/>
      <c r="H11" s="3269"/>
      <c r="I11" s="3269"/>
    </row>
    <row r="12" spans="1:9" ht="15.75">
      <c r="A12" s="3270" t="str">
        <f>结果表!A126</f>
        <v/>
      </c>
      <c r="B12" s="3270"/>
      <c r="C12" s="3270"/>
      <c r="D12" s="3270" t="str">
        <f>结果表!D126</f>
        <v>——</v>
      </c>
      <c r="E12" s="3270"/>
      <c r="F12" s="3270"/>
      <c r="G12" s="3270"/>
      <c r="H12" s="3270"/>
      <c r="I12" s="3270"/>
    </row>
    <row r="13" spans="1:9" ht="15.75" thickBot="1">
      <c r="A13" s="3274" t="s">
        <v>1364</v>
      </c>
      <c r="B13" s="3274"/>
      <c r="C13" s="3274"/>
      <c r="D13" s="3275" t="e">
        <f>结果表!D127</f>
        <v>#VALUE!</v>
      </c>
      <c r="E13" s="3275"/>
      <c r="F13" s="3275"/>
      <c r="G13" s="3275"/>
      <c r="H13" s="3275"/>
      <c r="I13" s="3275"/>
    </row>
    <row r="14" spans="1:9" ht="15" thickTop="1">
      <c r="A14" s="3276" t="s">
        <v>1369</v>
      </c>
      <c r="B14" s="3276"/>
      <c r="C14" s="3276"/>
      <c r="D14" s="3276"/>
      <c r="E14" s="3276"/>
      <c r="F14" s="3276"/>
      <c r="G14" s="3276"/>
      <c r="H14" s="3276"/>
      <c r="I14" s="3276"/>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277" t="s">
        <v>1386</v>
      </c>
      <c r="B1" s="3277"/>
      <c r="C1" s="3277"/>
      <c r="D1" s="3277"/>
    </row>
    <row r="2" spans="1:4" ht="18">
      <c r="A2" s="3278" t="s">
        <v>1370</v>
      </c>
      <c r="B2" s="3278"/>
      <c r="C2" s="3278"/>
      <c r="D2" s="3278"/>
    </row>
    <row r="3" spans="1:4" ht="18.75">
      <c r="A3" s="1642" t="s">
        <v>1371</v>
      </c>
      <c r="B3" s="1642" t="s">
        <v>1372</v>
      </c>
      <c r="C3" s="1642" t="s">
        <v>1373</v>
      </c>
      <c r="D3" s="1642" t="s">
        <v>1374</v>
      </c>
    </row>
    <row r="4" spans="1:4" ht="56.25" customHeight="1">
      <c r="A4" s="1643" t="str">
        <f>项目基本情况!B4</f>
        <v>王鹏</v>
      </c>
      <c r="B4" s="1644">
        <f ca="1">项目基本情况!C4</f>
        <v>1120050019</v>
      </c>
      <c r="C4" s="1645"/>
      <c r="D4" s="1646" t="s">
        <v>1375</v>
      </c>
    </row>
    <row r="5" spans="1:4" ht="56.25" customHeight="1">
      <c r="A5" s="1643" t="str">
        <f>项目基本情况!D4</f>
        <v>郑燚</v>
      </c>
      <c r="B5" s="1644">
        <f ca="1">项目基本情况!E4</f>
        <v>1120070131</v>
      </c>
      <c r="C5" s="1647"/>
      <c r="D5" s="1646" t="s">
        <v>1375</v>
      </c>
    </row>
    <row r="6" spans="1:4" ht="18">
      <c r="A6" s="3278" t="s">
        <v>1376</v>
      </c>
      <c r="B6" s="3278"/>
      <c r="C6" s="3278"/>
      <c r="D6" s="3278"/>
    </row>
    <row r="7" spans="1:4" ht="18.75">
      <c r="A7" s="1642" t="s">
        <v>1371</v>
      </c>
      <c r="B7" s="1644" t="s">
        <v>1377</v>
      </c>
      <c r="C7" s="1642" t="s">
        <v>1373</v>
      </c>
      <c r="D7" s="1642" t="s">
        <v>1374</v>
      </c>
    </row>
    <row r="8" spans="1:4" ht="56.25" customHeight="1">
      <c r="A8" s="1648" t="s">
        <v>656</v>
      </c>
      <c r="B8" s="1648" t="s">
        <v>1</v>
      </c>
      <c r="C8" s="1645"/>
      <c r="D8" s="1646" t="s">
        <v>1375</v>
      </c>
    </row>
    <row r="9" spans="1:4">
      <c r="A9" s="681"/>
      <c r="B9" s="681"/>
      <c r="C9" s="681"/>
      <c r="D9" s="681"/>
    </row>
    <row r="10" spans="1:4" ht="18.75">
      <c r="A10" s="1649" t="s">
        <v>1378</v>
      </c>
      <c r="B10" s="681"/>
      <c r="C10" s="681"/>
      <c r="D10" s="681"/>
    </row>
    <row r="11" spans="1:4" ht="30" customHeight="1">
      <c r="A11" s="3279" t="s">
        <v>1379</v>
      </c>
      <c r="B11" s="3280"/>
      <c r="C11" s="3280"/>
      <c r="D11" s="3280"/>
    </row>
    <row r="12" spans="1:4" ht="15.75">
      <c r="A12" s="3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1"/>
      <c r="C12" s="3281"/>
      <c r="D12" s="3281"/>
    </row>
    <row r="13" spans="1:4" ht="30" customHeight="1">
      <c r="A13" s="32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1"/>
      <c r="C13" s="3281"/>
      <c r="D13" s="3281"/>
    </row>
    <row r="14" spans="1:4" ht="15.75" customHeight="1">
      <c r="A14" s="3280" t="str">
        <f>IF(项目基本情况!B8="抵押","4.本次评估估价师所知悉的法定优先受偿款情况说明如下：","——")</f>
        <v>4.本次评估估价师所知悉的法定优先受偿款情况说明如下：</v>
      </c>
      <c r="B14" s="3281"/>
      <c r="C14" s="3281"/>
      <c r="D14" s="3281"/>
    </row>
    <row r="15" spans="1:4" ht="42" customHeight="1">
      <c r="A15" s="3280" t="str">
        <f>IF(项目基本情况!B8="抵押","（1）"&amp;CONCATENATE(项目基本情况!L20,项目基本情况!L21,项目基本情况!L22),"——")</f>
        <v>（1）根据估价对象《不动产权证书》原件、《不动产权证书》复印件，截至价值时点，估价对象抵押权未见登记。</v>
      </c>
      <c r="B15" s="3280"/>
      <c r="C15" s="3280"/>
      <c r="D15" s="3280"/>
    </row>
    <row r="16" spans="1:4" ht="30" customHeight="1">
      <c r="A16" s="3283" t="s">
        <v>1380</v>
      </c>
      <c r="B16" s="3283"/>
      <c r="C16" s="3283"/>
      <c r="D16" s="3283"/>
    </row>
    <row r="17" spans="1:4" ht="144" customHeight="1">
      <c r="A17" s="3283" t="s">
        <v>1381</v>
      </c>
      <c r="B17" s="3283"/>
      <c r="C17" s="3283"/>
      <c r="D17" s="3283"/>
    </row>
    <row r="18" spans="1:4" ht="15.75" customHeight="1">
      <c r="A18" s="3280" t="str">
        <f>IF(项目基本情况!B8="抵押",结果表!K120,"——")</f>
        <v>故，本次评估不存在估价师知悉的法定优先受偿款</v>
      </c>
      <c r="B18" s="3280"/>
      <c r="C18" s="3280"/>
      <c r="D18" s="3280"/>
    </row>
    <row r="19" spans="1:4" ht="46.5" customHeight="1">
      <c r="A19" s="3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0"/>
      <c r="C19" s="3280"/>
      <c r="D19" s="3280"/>
    </row>
    <row r="20" spans="1:4" ht="57.75" customHeight="1">
      <c r="A20" s="3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0"/>
      <c r="C20" s="3280"/>
      <c r="D20" s="3280"/>
    </row>
    <row r="21" spans="1:4" ht="57.75" customHeight="1">
      <c r="A21" s="32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4"/>
      <c r="C21" s="3284"/>
      <c r="D21" s="3284"/>
    </row>
    <row r="22" spans="1:4" ht="18.75" customHeight="1">
      <c r="A22" s="3285" t="s">
        <v>1382</v>
      </c>
      <c r="B22" s="3285"/>
      <c r="C22" s="3285"/>
      <c r="D22" s="3285"/>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282">
        <v>42551</v>
      </c>
      <c r="D31" s="32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291" t="s">
        <v>1393</v>
      </c>
      <c r="B15" s="3286" t="s">
        <v>136</v>
      </c>
      <c r="C15" s="3287"/>
    </row>
    <row r="16" spans="1:7" ht="13.5">
      <c r="A16" s="3292"/>
      <c r="B16" s="3286" t="s">
        <v>69</v>
      </c>
      <c r="C16" s="3287"/>
    </row>
    <row r="17" spans="1:3" ht="13.5">
      <c r="A17" s="3292"/>
      <c r="B17" s="3289" t="s">
        <v>1394</v>
      </c>
      <c r="C17" s="1665" t="s">
        <v>1393</v>
      </c>
    </row>
    <row r="18" spans="1:3" ht="13.5">
      <c r="A18" s="3292"/>
      <c r="B18" s="3289"/>
      <c r="C18" s="1665" t="s">
        <v>1395</v>
      </c>
    </row>
    <row r="19" spans="1:3" ht="13.5">
      <c r="A19" s="3292"/>
      <c r="B19" s="3289"/>
      <c r="C19" s="1665" t="s">
        <v>1396</v>
      </c>
    </row>
    <row r="20" spans="1:3" ht="13.5">
      <c r="A20" s="3293"/>
      <c r="B20" s="3288" t="s">
        <v>1397</v>
      </c>
      <c r="C20" s="3287"/>
    </row>
    <row r="21" spans="1:3" ht="13.5">
      <c r="A21" s="1666" t="s">
        <v>1398</v>
      </c>
      <c r="B21" s="1667"/>
      <c r="C21" s="1668"/>
    </row>
    <row r="22" spans="1:3" ht="13.5">
      <c r="A22" s="3290" t="s">
        <v>1399</v>
      </c>
      <c r="B22" s="3288" t="s">
        <v>1400</v>
      </c>
      <c r="C22" s="3287"/>
    </row>
    <row r="23" spans="1:3" ht="13.5">
      <c r="A23" s="3290"/>
      <c r="B23" s="3288" t="s">
        <v>1401</v>
      </c>
      <c r="C23" s="3287"/>
    </row>
    <row r="24" spans="1:3" ht="13.5">
      <c r="A24" s="3290"/>
      <c r="B24" s="3288" t="s">
        <v>1402</v>
      </c>
      <c r="C24" s="3287"/>
    </row>
    <row r="25" spans="1:3" ht="13.5">
      <c r="A25" s="3290"/>
      <c r="B25" s="3289" t="s">
        <v>1403</v>
      </c>
      <c r="C25" s="1665" t="s">
        <v>1404</v>
      </c>
    </row>
    <row r="26" spans="1:3" ht="13.5">
      <c r="A26" s="3290"/>
      <c r="B26" s="3289"/>
      <c r="C26" s="1665" t="s">
        <v>1405</v>
      </c>
    </row>
    <row r="27" spans="1:3" ht="13.5">
      <c r="A27" s="3290"/>
      <c r="B27" s="3289"/>
      <c r="C27" s="1665" t="s">
        <v>1406</v>
      </c>
    </row>
    <row r="28" spans="1:3" ht="13.5">
      <c r="A28" s="3290"/>
      <c r="B28" s="3289"/>
      <c r="C28" s="1665" t="s">
        <v>1407</v>
      </c>
    </row>
    <row r="29" spans="1:3" ht="13.5">
      <c r="A29" s="3290"/>
      <c r="B29" s="3289"/>
      <c r="C29" s="1665" t="s">
        <v>1408</v>
      </c>
    </row>
    <row r="30" spans="1:3" ht="13.5">
      <c r="A30" s="3290"/>
      <c r="B30" s="3289"/>
      <c r="C30" s="1665" t="s">
        <v>1409</v>
      </c>
    </row>
    <row r="31" spans="1:3" ht="13.5">
      <c r="A31" s="3290"/>
      <c r="B31" s="3289"/>
      <c r="C31" s="1665" t="s">
        <v>1410</v>
      </c>
    </row>
    <row r="32" spans="1:3" ht="13.5">
      <c r="A32" s="3290"/>
      <c r="B32" s="3289"/>
      <c r="C32" s="1665" t="s">
        <v>1411</v>
      </c>
    </row>
    <row r="33" spans="1:3" ht="13.5">
      <c r="A33" s="3290"/>
      <c r="B33" s="3289"/>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8" customWidth="1"/>
    <col min="2" max="2" width="38.625" style="2508" customWidth="1"/>
    <col min="3" max="3" width="26" style="2508" customWidth="1"/>
    <col min="4" max="4" width="35" style="2508" hidden="1" customWidth="1"/>
    <col min="5" max="5" width="30.125" style="2508" customWidth="1"/>
    <col min="6" max="6" width="35.5" style="2508" customWidth="1"/>
    <col min="7" max="7" width="31" style="2508" customWidth="1"/>
    <col min="8" max="8" width="37.5" style="2508" hidden="1" customWidth="1"/>
    <col min="9" max="16384" width="22.625" style="2508"/>
  </cols>
  <sheetData>
    <row r="1" spans="1:8" ht="24" customHeight="1">
      <c r="A1" s="2507"/>
      <c r="B1" s="2507"/>
      <c r="C1" s="2507"/>
      <c r="D1" s="2507"/>
      <c r="E1" s="2507"/>
      <c r="F1" s="2507"/>
      <c r="G1" s="2507"/>
      <c r="H1" s="2507"/>
    </row>
    <row r="2" spans="1:8" ht="24" customHeight="1">
      <c r="A2" s="2509" t="s">
        <v>2638</v>
      </c>
      <c r="B2" s="2510">
        <f ca="1">TODAY()</f>
        <v>44699</v>
      </c>
      <c r="C2" s="2511" t="s">
        <v>2639</v>
      </c>
      <c r="D2" s="2511"/>
      <c r="E2" s="2511"/>
      <c r="F2" s="2507"/>
      <c r="G2" s="2507"/>
      <c r="H2" s="2507"/>
    </row>
    <row r="3" spans="1:8" ht="24" customHeight="1">
      <c r="A3" s="2512" t="s">
        <v>2640</v>
      </c>
      <c r="B3" s="2513" t="s">
        <v>2641</v>
      </c>
      <c r="C3" s="2513" t="s">
        <v>2642</v>
      </c>
      <c r="D3" s="2514" t="s">
        <v>2643</v>
      </c>
      <c r="E3" s="2515" t="s">
        <v>2644</v>
      </c>
      <c r="F3" s="1422" t="s">
        <v>2645</v>
      </c>
      <c r="G3" s="2513" t="s">
        <v>2642</v>
      </c>
      <c r="H3" s="2514" t="s">
        <v>2646</v>
      </c>
    </row>
    <row r="4" spans="1:8" ht="24" customHeight="1">
      <c r="A4" s="1422" t="s">
        <v>2647</v>
      </c>
      <c r="B4" s="1422">
        <f ca="1">IF(C4&lt;B2,"已过期",1119970066)</f>
        <v>1119970066</v>
      </c>
      <c r="C4" s="2516">
        <v>44876</v>
      </c>
      <c r="D4" s="2517" t="str">
        <f ca="1">A4&amp;"（注册号："&amp;B4&amp;"）"</f>
        <v>梁津（注册号：1119970066）</v>
      </c>
      <c r="E4" s="2518" t="s">
        <v>2647</v>
      </c>
      <c r="F4" s="1422">
        <f ca="1">IF(G4&lt;B2,"已过期",96010014)</f>
        <v>96010014</v>
      </c>
      <c r="G4" s="2519">
        <v>47118</v>
      </c>
      <c r="H4" s="2520" t="str">
        <f ca="1">E4&amp;"（注册号："&amp;F4&amp;"）"</f>
        <v>梁津（注册号：96010014）</v>
      </c>
    </row>
    <row r="5" spans="1:8" ht="24" customHeight="1">
      <c r="A5" s="1422" t="s">
        <v>2648</v>
      </c>
      <c r="B5" s="1422">
        <f ca="1">IF(C5&lt;B2,"已过期",1119970111)</f>
        <v>1119970111</v>
      </c>
      <c r="C5" s="2516">
        <v>44876</v>
      </c>
      <c r="D5" s="2517" t="str">
        <f t="shared" ref="D5:D15" ca="1" si="0">A5&amp;"（注册号："&amp;B5&amp;"）"</f>
        <v>叶凌（注册号：1119970111）</v>
      </c>
      <c r="E5" s="2518" t="s">
        <v>2648</v>
      </c>
      <c r="F5" s="1422">
        <f ca="1">IF(G5&lt;B2,"已过期",94010078)</f>
        <v>94010078</v>
      </c>
      <c r="G5" s="2519">
        <v>46387</v>
      </c>
      <c r="H5" s="2520" t="str">
        <f t="shared" ref="H5:H16" ca="1" si="1">E5&amp;"（注册号："&amp;F5&amp;"）"</f>
        <v>叶凌（注册号：94010078）</v>
      </c>
    </row>
    <row r="6" spans="1:8" ht="24" customHeight="1">
      <c r="A6" s="1422" t="s">
        <v>2649</v>
      </c>
      <c r="B6" s="1422">
        <f ca="1">IF(C6&lt;B2,"已过期",1120050019)</f>
        <v>1120050019</v>
      </c>
      <c r="C6" s="2516">
        <v>45410</v>
      </c>
      <c r="D6" s="2517" t="str">
        <f t="shared" ca="1" si="0"/>
        <v>王鹏（注册号：1120050019）</v>
      </c>
      <c r="E6" s="2518" t="s">
        <v>2649</v>
      </c>
      <c r="F6" s="1422">
        <f ca="1">IF(G6&lt;B2,"已过期",2002110030)</f>
        <v>2002110030</v>
      </c>
      <c r="G6" s="2519">
        <v>46387</v>
      </c>
      <c r="H6" s="2520" t="str">
        <f t="shared" ca="1" si="1"/>
        <v>王鹏（注册号：2002110030）</v>
      </c>
    </row>
    <row r="7" spans="1:8" ht="24" customHeight="1">
      <c r="A7" s="1422" t="s">
        <v>2650</v>
      </c>
      <c r="B7" s="1422">
        <f ca="1">IF(C7&lt;B2,"已过期",1120000080)</f>
        <v>1120000080</v>
      </c>
      <c r="C7" s="2516">
        <v>44876</v>
      </c>
      <c r="D7" s="2517" t="str">
        <f t="shared" ca="1" si="0"/>
        <v>欧红伟（注册号：1120000080）</v>
      </c>
      <c r="E7" s="2518" t="s">
        <v>2650</v>
      </c>
      <c r="F7" s="1422">
        <f ca="1">IF(G7&lt;B2,"已过期",2000110082)</f>
        <v>2000110082</v>
      </c>
      <c r="G7" s="2519">
        <v>46387</v>
      </c>
      <c r="H7" s="2520" t="str">
        <f t="shared" ca="1" si="1"/>
        <v>欧红伟（注册号：2000110082）</v>
      </c>
    </row>
    <row r="8" spans="1:8" ht="24" customHeight="1">
      <c r="A8" s="1422" t="s">
        <v>2651</v>
      </c>
      <c r="B8" s="1422">
        <f ca="1">IF(C8&lt;B2,"已过期",1419970001)</f>
        <v>1419970001</v>
      </c>
      <c r="C8" s="2516">
        <v>44899</v>
      </c>
      <c r="D8" s="2517" t="str">
        <f t="shared" ca="1" si="0"/>
        <v>吴薇（注册号：1419970001）</v>
      </c>
      <c r="E8" s="2518" t="s">
        <v>2651</v>
      </c>
      <c r="F8" s="1422">
        <f ca="1">IF(G8&lt;B2,"已过期",2002110125)</f>
        <v>2002110125</v>
      </c>
      <c r="G8" s="2519">
        <v>47118</v>
      </c>
      <c r="H8" s="2520" t="str">
        <f t="shared" ca="1" si="1"/>
        <v>吴薇（注册号：2002110125）</v>
      </c>
    </row>
    <row r="9" spans="1:8" ht="24" customHeight="1">
      <c r="A9" s="1422" t="s">
        <v>2652</v>
      </c>
      <c r="B9" s="1422">
        <f ca="1">IF(C9&lt;B2,"已过期",1120060040)</f>
        <v>1120060040</v>
      </c>
      <c r="C9" s="2521">
        <v>45592</v>
      </c>
      <c r="D9" s="2517" t="str">
        <f t="shared" ca="1" si="0"/>
        <v>陈颖（注册号：1120060040）</v>
      </c>
      <c r="E9" s="2518" t="s">
        <v>2652</v>
      </c>
      <c r="F9" s="1422">
        <f ca="1">IF(G9&lt;B2,"已过期",2004110096)</f>
        <v>2004110096</v>
      </c>
      <c r="G9" s="2519">
        <v>47118</v>
      </c>
      <c r="H9" s="2520" t="str">
        <f t="shared" ca="1" si="1"/>
        <v>陈颖（注册号：2004110096）</v>
      </c>
    </row>
    <row r="10" spans="1:8" ht="24" customHeight="1">
      <c r="A10" s="1422" t="s">
        <v>2653</v>
      </c>
      <c r="B10" s="1422" t="str">
        <f ca="1">IF(C10&lt;B2,"已过期",1120100036)</f>
        <v>已过期</v>
      </c>
      <c r="C10" s="2521">
        <v>44675</v>
      </c>
      <c r="D10" s="2517" t="str">
        <f t="shared" ca="1" si="0"/>
        <v>崔锴（注册号：已过期）</v>
      </c>
      <c r="E10" s="2518" t="s">
        <v>2653</v>
      </c>
      <c r="F10" s="1422">
        <f ca="1">IF(G10&lt;B2,"已过期",2010110070)</f>
        <v>2010110070</v>
      </c>
      <c r="G10" s="2519">
        <v>47907</v>
      </c>
      <c r="H10" s="2520" t="str">
        <f t="shared" ca="1" si="1"/>
        <v>崔锴（注册号：2010110070）</v>
      </c>
    </row>
    <row r="11" spans="1:8" ht="24" customHeight="1">
      <c r="A11" s="1422" t="s">
        <v>2654</v>
      </c>
      <c r="B11" s="1422">
        <f ca="1">IF(C11&lt;B2,"已过期",1120070131)</f>
        <v>1120070131</v>
      </c>
      <c r="C11" s="2516">
        <v>44849</v>
      </c>
      <c r="D11" s="2517" t="str">
        <f t="shared" ca="1" si="0"/>
        <v>郑燚（注册号：1120070131）</v>
      </c>
      <c r="E11" s="2518" t="s">
        <v>2654</v>
      </c>
      <c r="F11" s="1422">
        <f ca="1">IF(G11&lt;B2,"已过期",2014110011)</f>
        <v>2014110011</v>
      </c>
      <c r="G11" s="2519">
        <v>49302</v>
      </c>
      <c r="H11" s="2520" t="str">
        <f t="shared" ca="1" si="1"/>
        <v>郑燚（注册号：2014110011）</v>
      </c>
    </row>
    <row r="12" spans="1:8" ht="24" customHeight="1">
      <c r="A12" s="1422" t="s">
        <v>2655</v>
      </c>
      <c r="B12" s="1422">
        <f ca="1">IF(C12&lt;B2,"已过期",1120040230)</f>
        <v>1120040230</v>
      </c>
      <c r="C12" s="2521">
        <v>44864</v>
      </c>
      <c r="D12" s="2517" t="str">
        <f t="shared" ca="1" si="0"/>
        <v>苏海（注册号：1120040230）</v>
      </c>
      <c r="E12" s="2518" t="s">
        <v>2655</v>
      </c>
      <c r="F12" s="1422">
        <f ca="1">IF(G12&lt;B2,"已过期",98030020)</f>
        <v>98030020</v>
      </c>
      <c r="G12" s="2519">
        <v>47118</v>
      </c>
      <c r="H12" s="2520" t="str">
        <f t="shared" ca="1" si="1"/>
        <v>苏海（注册号：98030020）</v>
      </c>
    </row>
    <row r="13" spans="1:8" ht="24" customHeight="1">
      <c r="A13" s="1422" t="s">
        <v>2656</v>
      </c>
      <c r="B13" s="1422" t="str">
        <f ca="1">IF(C13&lt;B2,"已过期",1120020033)</f>
        <v>已过期</v>
      </c>
      <c r="C13" s="2516">
        <v>44339</v>
      </c>
      <c r="D13" s="2517" t="str">
        <f t="shared" ca="1" si="0"/>
        <v>刘敬东（注册号：已过期）</v>
      </c>
      <c r="E13" s="2518" t="s">
        <v>2656</v>
      </c>
      <c r="F13" s="1422">
        <f ca="1">IF(G13&lt;B2,"已过期",2000110137)</f>
        <v>2000110137</v>
      </c>
      <c r="G13" s="2519">
        <v>46387</v>
      </c>
      <c r="H13" s="2520" t="str">
        <f t="shared" ca="1" si="1"/>
        <v>刘敬东（注册号：2000110137）</v>
      </c>
    </row>
    <row r="14" spans="1:8" ht="24" customHeight="1">
      <c r="A14" s="1422" t="s">
        <v>2657</v>
      </c>
      <c r="B14" s="1422">
        <f ca="1">IF(C14&lt;B2,"已过期",1119980106)</f>
        <v>1119980106</v>
      </c>
      <c r="C14" s="2521">
        <v>44969</v>
      </c>
      <c r="D14" s="2517" t="str">
        <f t="shared" ca="1" si="0"/>
        <v>刘俊财（注册号：1119980106）</v>
      </c>
      <c r="E14" s="2518" t="s">
        <v>2657</v>
      </c>
      <c r="F14" s="1422">
        <f ca="1">IF(G14&lt;B2,"已过期",96010063)</f>
        <v>96010063</v>
      </c>
      <c r="G14" s="2519">
        <v>47483</v>
      </c>
      <c r="H14" s="2520" t="str">
        <f t="shared" ca="1" si="1"/>
        <v>刘俊财（注册号：96010063）</v>
      </c>
    </row>
    <row r="15" spans="1:8" ht="24" customHeight="1">
      <c r="A15" s="1422" t="s">
        <v>2939</v>
      </c>
      <c r="B15" s="1422">
        <v>1120210056</v>
      </c>
      <c r="C15" s="2521">
        <v>45410</v>
      </c>
      <c r="D15" s="2517" t="str">
        <f t="shared" si="0"/>
        <v>宁小鳗（注册号：1120210056）</v>
      </c>
      <c r="E15" s="2518" t="s">
        <v>2658</v>
      </c>
      <c r="F15" s="1422">
        <f ca="1">IF(G15&lt;B2,"已过期",2011110090)</f>
        <v>2011110090</v>
      </c>
      <c r="G15" s="2519">
        <v>48302</v>
      </c>
      <c r="H15" s="2520" t="str">
        <f t="shared" ca="1" si="1"/>
        <v>赵雯（注册号：2011110090）</v>
      </c>
    </row>
    <row r="16" spans="1:8" s="2523" customFormat="1" ht="24" customHeight="1">
      <c r="A16" s="1422"/>
      <c r="B16" s="1422"/>
      <c r="C16" s="1422"/>
      <c r="D16" s="2517" t="str">
        <f>A16&amp;"（注册号："&amp;B16&amp;"）"</f>
        <v>（注册号：）</v>
      </c>
      <c r="E16" s="2518"/>
      <c r="F16" s="1422"/>
      <c r="G16" s="1422"/>
      <c r="H16" s="2522" t="str">
        <f t="shared" si="1"/>
        <v>（注册号：）</v>
      </c>
    </row>
    <row r="17" spans="1:8" ht="24" customHeight="1">
      <c r="A17" s="3294" t="s">
        <v>2659</v>
      </c>
      <c r="B17" s="3294"/>
      <c r="C17" s="3294"/>
      <c r="D17" s="3294"/>
      <c r="E17" s="3294"/>
      <c r="F17" s="3294"/>
      <c r="G17" s="3294"/>
      <c r="H17" s="3294"/>
    </row>
    <row r="18" spans="1:8" ht="24" customHeight="1">
      <c r="A18" s="3295" t="s">
        <v>2660</v>
      </c>
      <c r="B18" s="3295"/>
      <c r="C18" s="3295"/>
      <c r="D18" s="2514"/>
      <c r="E18" s="3296" t="s">
        <v>2661</v>
      </c>
      <c r="F18" s="3295"/>
      <c r="G18" s="3295"/>
    </row>
    <row r="19" spans="1:8" s="2525" customFormat="1" ht="24" customHeight="1">
      <c r="A19" s="2524" t="s">
        <v>2662</v>
      </c>
      <c r="B19" s="2513" t="s">
        <v>2663</v>
      </c>
      <c r="C19" s="2513" t="s">
        <v>2642</v>
      </c>
      <c r="D19" s="2514"/>
      <c r="E19" s="2518" t="s">
        <v>2662</v>
      </c>
      <c r="F19" s="2513" t="s">
        <v>2663</v>
      </c>
      <c r="G19" s="2513" t="s">
        <v>2642</v>
      </c>
    </row>
    <row r="20" spans="1:8" s="2525" customFormat="1" ht="24" customHeight="1">
      <c r="A20" s="2526" t="s">
        <v>2664</v>
      </c>
      <c r="B20" s="2526" t="s">
        <v>2665</v>
      </c>
      <c r="C20" s="2519">
        <v>44820</v>
      </c>
      <c r="D20" s="2527"/>
      <c r="E20" s="2528" t="s">
        <v>2666</v>
      </c>
      <c r="F20" s="2531" t="s">
        <v>2940</v>
      </c>
      <c r="G20" s="2532">
        <v>44926</v>
      </c>
    </row>
    <row r="21" spans="1:8" s="2525" customFormat="1" ht="24" customHeight="1">
      <c r="A21" s="2526"/>
      <c r="B21" s="2526"/>
      <c r="C21" s="2529"/>
      <c r="D21" s="2530"/>
      <c r="E21" s="2528"/>
      <c r="F21" s="2531"/>
      <c r="G21" s="2532"/>
    </row>
    <row r="22" spans="1:8" ht="24" customHeight="1">
      <c r="C22" s="2533"/>
      <c r="D22" s="2533"/>
      <c r="E22" s="2534"/>
      <c r="F22" s="2535"/>
      <c r="G22" s="253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Sheet3</vt:lpstr>
      <vt:lpstr>数据-汇总表</vt:lpstr>
      <vt:lpstr>数据-取费表</vt:lpstr>
      <vt:lpstr>Sheet1</vt:lpstr>
      <vt:lpstr>估价对象房地状况</vt:lpstr>
      <vt:lpstr>系统读取表</vt:lpstr>
      <vt:lpstr>结果表</vt:lpstr>
      <vt:lpstr>成本法</vt:lpstr>
      <vt:lpstr>成本法 (元)</vt:lpstr>
      <vt:lpstr>假设开发法</vt:lpstr>
      <vt:lpstr>土地比较法-住宅、综合</vt:lpstr>
      <vt:lpstr>土地案例</vt:lpstr>
      <vt:lpstr>比较法-商业</vt:lpstr>
      <vt:lpstr>收益法</vt:lpstr>
      <vt:lpstr>收益法 (元)</vt:lpstr>
      <vt:lpstr>典型户型修正</vt:lpstr>
      <vt:lpstr>商铺</vt:lpstr>
      <vt:lpstr>住宅</vt:lpstr>
      <vt:lpstr>收益法-酒店模型</vt:lpstr>
      <vt:lpstr>收益法（汇总）</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2022-05-18T09:16:23Z</dcterms:modified>
</cp:coreProperties>
</file>