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4610" windowHeight="1176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3" sheetId="83"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基准地价修正" sheetId="43" state="hidden" r:id="rId27"/>
    <sheet name="比较法-住宅" sheetId="21" r:id="rId28"/>
    <sheet name="Sheet4" sheetId="84" r:id="rId29"/>
    <sheet name="Sheet5" sheetId="85"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21" l="1"/>
  <c r="G5" i="21"/>
  <c r="E5" i="21"/>
  <c r="N59" i="21"/>
  <c r="M59" i="21"/>
  <c r="L59" i="21"/>
  <c r="K59" i="21"/>
  <c r="J59" i="21"/>
  <c r="I7" i="21"/>
  <c r="G7" i="21"/>
  <c r="E7" i="21"/>
  <c r="I47" i="21"/>
  <c r="G47" i="21"/>
  <c r="E47" i="21"/>
  <c r="G33" i="21"/>
  <c r="E33" i="21"/>
  <c r="I37" i="21"/>
  <c r="G37" i="21"/>
  <c r="E37" i="21"/>
  <c r="B7" i="78"/>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8" i="67"/>
  <c r="F7" i="73"/>
  <c r="F13" i="67"/>
  <c r="F20" i="31"/>
  <c r="B11" i="76"/>
  <c r="F7" i="15"/>
  <c r="F26" i="67"/>
  <c r="E2" i="69"/>
  <c r="M26" i="67"/>
  <c r="E12" i="76"/>
  <c r="E9" i="76"/>
  <c r="M23" i="67"/>
  <c r="D34" i="9"/>
  <c r="E11" i="76"/>
  <c r="E13" i="76"/>
  <c r="E8" i="76"/>
  <c r="B7" i="76"/>
  <c r="AO13" i="1"/>
  <c r="B10" i="76"/>
  <c r="F6" i="73"/>
  <c r="B9" i="76"/>
  <c r="L48" i="67"/>
  <c r="B13" i="76"/>
  <c r="E10" i="76"/>
  <c r="B12" i="76"/>
  <c r="F4" i="73"/>
  <c r="E2" i="68"/>
  <c r="E7" i="76"/>
  <c r="D35" i="9"/>
  <c r="L47" i="67"/>
  <c r="B8" i="76"/>
  <c r="F36" i="15"/>
  <c r="F5" i="73"/>
  <c r="F3" i="73"/>
  <c r="J50" i="40" l="1"/>
  <c r="J51" i="15"/>
  <c r="J34" i="21"/>
  <c r="H34" i="21"/>
  <c r="AB34" i="21" s="1"/>
  <c r="J26" i="21"/>
  <c r="W26" i="21" s="1"/>
  <c r="F26" i="21"/>
  <c r="S26" i="21" s="1"/>
  <c r="H26" i="21"/>
  <c r="AB26" i="21" s="1"/>
  <c r="U27" i="21"/>
  <c r="AA25" i="21"/>
  <c r="AB25" i="21"/>
  <c r="F34" i="15"/>
  <c r="F62" i="15" s="1"/>
  <c r="AZ504" i="3"/>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M8" i="15"/>
  <c r="M6" i="67"/>
  <c r="F9" i="15"/>
  <c r="F37" i="67"/>
  <c r="F13" i="15"/>
  <c r="F8" i="15"/>
  <c r="F9" i="67"/>
  <c r="F43" i="67"/>
  <c r="F42" i="67"/>
  <c r="F38" i="67"/>
  <c r="F6" i="15"/>
  <c r="M8" i="67"/>
  <c r="F43" i="15"/>
  <c r="C76" i="15"/>
  <c r="M28" i="67"/>
  <c r="M9" i="15"/>
  <c r="L48" i="15"/>
  <c r="F16" i="67"/>
  <c r="F40" i="15"/>
  <c r="F26" i="15"/>
  <c r="L47" i="15"/>
  <c r="J15" i="15"/>
  <c r="F7" i="67"/>
  <c r="M29" i="15"/>
  <c r="F42" i="15"/>
  <c r="M9" i="67"/>
  <c r="M28" i="15"/>
  <c r="F36" i="67"/>
  <c r="F6" i="67"/>
  <c r="M22" i="67"/>
  <c r="D3" i="73"/>
  <c r="M23" i="15"/>
  <c r="M29" i="67"/>
  <c r="F16" i="15"/>
  <c r="M24" i="15"/>
  <c r="J15" i="67"/>
  <c r="D6" i="73"/>
  <c r="F37" i="15"/>
  <c r="M26" i="15"/>
  <c r="C36" i="69"/>
  <c r="D9" i="69"/>
  <c r="D5" i="73"/>
  <c r="D4" i="73"/>
  <c r="C76" i="67"/>
  <c r="F40" i="67"/>
  <c r="M24" i="67"/>
  <c r="M22" i="15"/>
  <c r="M6" i="15"/>
  <c r="F38" i="15"/>
  <c r="D7" i="73"/>
  <c r="U26" i="21" l="1"/>
  <c r="AC26" i="21"/>
  <c r="U34" i="2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68" s="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C16" i="15"/>
  <c r="F27" i="69"/>
  <c r="C16" i="67"/>
  <c r="G1" i="73"/>
  <c r="H10" i="40" l="1"/>
  <c r="AB10" i="40" s="1"/>
  <c r="S10" i="39"/>
  <c r="J10" i="39"/>
  <c r="W10" i="39" s="1"/>
  <c r="J10" i="40"/>
  <c r="AC10" i="40" s="1"/>
  <c r="F10" i="40"/>
  <c r="S10" i="40" s="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AE6" i="1"/>
  <c r="M27" i="15"/>
  <c r="M27" i="67"/>
  <c r="C47" i="11" l="1"/>
  <c r="D45" i="11" s="1"/>
  <c r="W10" i="40"/>
  <c r="C48" i="67"/>
  <c r="C66" i="67" s="1"/>
  <c r="D14" i="12"/>
  <c r="D17" i="12" s="1"/>
  <c r="C17" i="12" s="1"/>
  <c r="C17" i="4"/>
  <c r="B14" i="74" s="1"/>
  <c r="B1" i="74" s="1"/>
  <c r="D19" i="11"/>
  <c r="C19" i="11" s="1"/>
  <c r="C20" i="11" s="1"/>
  <c r="C28" i="11" s="1"/>
  <c r="C27"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15"/>
  <c r="D10" i="69"/>
  <c r="C17" i="67"/>
  <c r="F41" i="67"/>
  <c r="C17" i="15"/>
  <c r="C34" i="69"/>
  <c r="C14" i="67"/>
  <c r="F69" i="15" l="1"/>
  <c r="F69" i="67"/>
  <c r="B4" i="52"/>
  <c r="B43" i="72" s="1"/>
  <c r="C33" i="21"/>
  <c r="F33" i="21" s="1"/>
  <c r="H22" i="6"/>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H33" i="21" l="1"/>
  <c r="U33" i="21" s="1"/>
  <c r="C22" i="11"/>
  <c r="C31" i="11" s="1"/>
  <c r="AC33" i="21"/>
  <c r="W33" i="21"/>
  <c r="AB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6"/>
  <c r="D2" i="35"/>
  <c r="D2" i="37"/>
  <c r="L51" i="15"/>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7" i="1"/>
  <c r="AO11"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c r="C27" i="69" s="1"/>
  <c r="C31" i="69" l="1"/>
  <c r="C52" i="69" s="1"/>
  <c r="B2" i="69" s="1"/>
  <c r="B3" i="69"/>
  <c r="C20" i="9" s="1"/>
  <c r="C19" i="9"/>
  <c r="C57" i="69" l="1"/>
  <c r="C56" i="69" s="1"/>
  <c r="D22" i="9"/>
  <c r="C102" i="9"/>
  <c r="G19" i="9"/>
  <c r="C21" i="9"/>
  <c r="C103" i="9"/>
  <c r="G20" i="9"/>
  <c r="G21" i="9" l="1"/>
  <c r="D14" i="74"/>
  <c r="S9" i="84"/>
  <c r="T9" i="84" s="1"/>
  <c r="G22" i="9"/>
  <c r="C32" i="9"/>
  <c r="C35" i="9" s="1"/>
  <c r="C34" i="9" s="1"/>
  <c r="F14" i="74" l="1"/>
  <c r="B5" i="74"/>
  <c r="D5" i="74" s="1"/>
  <c r="E14" i="74"/>
  <c r="I4" i="52" l="1"/>
  <c r="C105" i="9"/>
  <c r="B48" i="72"/>
  <c r="D53" i="9"/>
  <c r="D52" i="9"/>
  <c r="C6" i="74"/>
  <c r="P57" i="9"/>
  <c r="N58" i="9"/>
  <c r="E4" i="52"/>
  <c r="H5" i="52"/>
  <c r="B20" i="72"/>
  <c r="C5" i="74"/>
  <c r="D15" i="53"/>
  <c r="B31" i="72"/>
  <c r="B30" i="72"/>
  <c r="M55" i="9"/>
  <c r="M48" i="9"/>
  <c r="H108" i="9"/>
  <c r="F4" i="52"/>
  <c r="B51" i="72"/>
  <c r="E97" i="9"/>
  <c r="H4" i="52"/>
  <c r="H119" i="9"/>
  <c r="C104" i="9"/>
  <c r="N61" i="9"/>
  <c r="N59" i="9"/>
  <c r="N60" i="9"/>
  <c r="D59" i="9"/>
  <c r="E81" i="9"/>
  <c r="C81" i="9"/>
  <c r="D8" i="52"/>
  <c r="B47" i="72"/>
  <c r="C78" i="9"/>
  <c r="C73" i="9"/>
  <c r="C80" i="9"/>
  <c r="E80" i="9"/>
  <c r="D122" i="9"/>
  <c r="D123" i="9"/>
  <c r="D9" i="52"/>
  <c r="C96" i="9"/>
  <c r="E96" i="9"/>
  <c r="D5" i="53"/>
  <c r="D6" i="53"/>
  <c r="B22" i="72"/>
  <c r="D5" i="52"/>
  <c r="B49" i="72"/>
  <c r="G4" i="52"/>
  <c r="B52" i="72"/>
  <c r="G118" i="9"/>
  <c r="F118" i="9"/>
  <c r="F119" i="9"/>
  <c r="F5" i="52"/>
  <c r="B53" i="72"/>
  <c r="H102" i="9"/>
  <c r="D7" i="53"/>
  <c r="B21" i="72"/>
  <c r="C72" i="9"/>
  <c r="C79" i="9"/>
  <c r="C93" i="9"/>
  <c r="C86" i="9"/>
  <c r="H107" i="9"/>
  <c r="D13" i="53"/>
  <c r="D14" i="53"/>
  <c r="B32" i="72"/>
  <c r="D4" i="52"/>
  <c r="E118" i="9"/>
  <c r="D118" i="9"/>
  <c r="D119" i="9"/>
  <c r="C85" i="9"/>
  <c r="C95" i="9"/>
  <c r="C97" i="9"/>
  <c r="D58" i="9"/>
  <c r="D56" i="9"/>
  <c r="M54" i="9"/>
  <c r="D55" i="9"/>
  <c r="M53" i="9"/>
  <c r="N57"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vampire</author>
  </authors>
  <commentList>
    <comment ref="AG2" author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<sst xmlns="http://schemas.openxmlformats.org/spreadsheetml/2006/main" count="8106" uniqueCount="3577">
  <si>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</si>
  <si>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</si>
  <si>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</si>
  <si>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</si>
  <si>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</si>
  <si>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</si>
  <si>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</si>
  <si>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</si>
  <si>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</si>
  <si>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</si>
  <si>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</si>
  <si>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</si>
  <si>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</si>
  <si>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</si>
  <si>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</si>
  <si>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</si>
  <si>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</si>
  <si>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</si>
  <si>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</si>
  <si>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</si>
  <si>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</si>
  <si>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</si>
  <si>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</si>
  <si>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</si>
  <si>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</si>
  <si>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</si>
  <si>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</si>
  <si>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</si>
  <si>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</si>
  <si>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</si>
  <si>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</si>
  <si>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</si>
  <si>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</si>
  <si>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</si>
  <si>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</si>
  <si>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</si>
  <si>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</si>
  <si>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</si>
  <si>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</si>
  <si>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</si>
  <si>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</si>
  <si>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</si>
  <si>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</si>
  <si>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</si>
  <si>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</si>
  <si>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</si>
  <si>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</si>
  <si>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</si>
  <si>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</si>
  <si>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</si>
  <si>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</si>
  <si>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</si>
  <si>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</si>
  <si>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</si>
  <si>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</si>
  <si>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</si>
  <si>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</si>
  <si>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</si>
  <si>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</si>
  <si>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</si>
  <si>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</si>
  <si>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</si>
  <si>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</si>
  <si>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</si>
  <si>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</si>
  <si>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</si>
  <si>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</si>
  <si>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</si>
  <si>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</si>
  <si>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</si>
  <si>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</si>
  <si>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</si>
  <si>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</si>
  <si>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</si>
  <si>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</si>
  <si>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</si>
  <si>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</si>
  <si>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</si>
  <si>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</si>
  <si>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</si>
  <si>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</si>
  <si>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</si>
  <si>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</si>
  <si>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</si>
  <si>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</si>
  <si>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</si>
  <si>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</si>
  <si>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</si>
  <si>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</si>
  <si>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</si>
  <si>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</si>
  <si>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</si>
  <si>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</si>
  <si>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</si>
  <si>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</si>
  <si>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</si>
  <si>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</si>
  <si>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</si>
  <si>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</si>
  <si>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</si>
  <si>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</si>
  <si>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</si>
  <si>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</si>
  <si>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</si>
  <si>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</si>
  <si>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</si>
  <si>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</si>
  <si>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</si>
  <si>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</si>
  <si>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</si>
  <si>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</si>
  <si>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</si>
  <si>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</si>
  <si>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</si>
  <si>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</si>
  <si>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</si>
  <si>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</si>
  <si>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</si>
  <si>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</si>
  <si>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</si>
  <si>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</si>
  <si>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</si>
  <si>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</si>
  <si>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</si>
  <si>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</si>
  <si>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</si>
  <si>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</si>
  <si>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</si>
  <si>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</si>
  <si>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</si>
  <si>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</si>
  <si>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</si>
  <si>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</si>
  <si>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</si>
  <si>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</si>
  <si>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</si>
  <si>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</si>
  <si>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</si>
  <si>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</si>
  <si>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</si>
  <si>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</si>
  <si>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</si>
  <si>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</si>
  <si>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</si>
  <si>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</si>
  <si>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</si>
  <si>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</si>
  <si>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</si>
  <si>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</si>
  <si>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</si>
  <si>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</si>
  <si>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</si>
  <si>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</si>
  <si>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</si>
  <si>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</si>
  <si>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</si>
  <si>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</si>
  <si>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</si>
  <si>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</si>
  <si>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</si>
  <si>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</si>
  <si>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</si>
  <si>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</si>
  <si>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</si>
  <si>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</si>
  <si>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</si>
  <si>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</si>
  <si>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</si>
  <si>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</si>
  <si>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</si>
  <si>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</si>
  <si>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</si>
  <si>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</si>
  <si>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</si>
  <si>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</si>
  <si>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</si>
  <si>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</si>
  <si>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</si>
  <si>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</si>
  <si>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</si>
  <si>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</si>
  <si>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</si>
  <si>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</si>
  <si>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</si>
  <si>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</si>
  <si>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</si>
  <si>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</si>
  <si>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</si>
  <si>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</si>
  <si>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</si>
  <si>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</si>
  <si>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</si>
  <si>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</si>
  <si>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</si>
  <si>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</si>
  <si>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</si>
  <si>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</si>
  <si>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</si>
  <si>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</si>
  <si>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</si>
  <si>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</si>
  <si>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</si>
  <si>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</si>
  <si>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</si>
  <si>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</si>
  <si>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</si>
  <si>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</si>
  <si>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</si>
  <si>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</si>
  <si>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</si>
  <si>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</si>
  <si>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</si>
  <si>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</si>
  <si>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</si>
  <si>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</si>
  <si>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</si>
  <si>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</si>
  <si>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</si>
  <si>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</si>
  <si>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</si>
  <si>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</si>
  <si>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</si>
  <si>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</si>
  <si>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</si>
  <si>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</si>
  <si>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</si>
  <si>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</si>
  <si>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</si>
  <si>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</si>
  <si>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</si>
  <si>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</si>
  <si>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</si>
  <si>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</si>
  <si>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</si>
  <si>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</si>
  <si>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</si>
  <si>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</si>
  <si>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</si>
  <si>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</si>
  <si>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</si>
  <si>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</si>
  <si>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</si>
  <si>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</si>
  <si>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</si>
  <si>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</si>
  <si>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</si>
  <si>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</si>
  <si>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</si>
  <si>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</si>
  <si>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</si>
  <si>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</si>
  <si>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</si>
  <si>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</si>
  <si>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</si>
  <si>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</si>
  <si>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</si>
  <si>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</si>
  <si>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</si>
  <si>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</si>
  <si>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</si>
  <si>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</si>
  <si>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</si>
  <si>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</si>
  <si>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</si>
  <si>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</si>
  <si>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</si>
  <si>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</si>
  <si>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</si>
  <si>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</si>
  <si>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</si>
  <si>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</si>
  <si>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</si>
  <si>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</si>
  <si>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</si>
  <si>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</si>
  <si>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</si>
  <si>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</si>
  <si>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</si>
  <si>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</si>
  <si>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</si>
  <si>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</si>
  <si>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</si>
  <si>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</si>
  <si>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</si>
  <si>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</si>
  <si>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</si>
  <si>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</si>
  <si>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</si>
  <si>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</si>
  <si>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</si>
  <si>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</si>
  <si>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</si>
  <si>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</si>
  <si>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</si>
  <si>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</si>
  <si>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</si>
  <si>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</si>
  <si>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</si>
  <si>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</si>
  <si>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</si>
  <si>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</si>
  <si>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</si>
  <si>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</si>
  <si>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</si>
  <si>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</si>
  <si>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</si>
  <si>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</si>
  <si>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</si>
  <si>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</si>
  <si>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</si>
  <si>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</si>
  <si>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</si>
  <si>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</si>
  <si>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</si>
  <si>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</si>
  <si>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</si>
  <si>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</si>
  <si>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</si>
  <si>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</si>
  <si>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</si>
  <si>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</si>
  <si>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</si>
  <si>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</si>
  <si>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</si>
  <si>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</si>
  <si>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</si>
  <si>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</si>
  <si>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</si>
  <si>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</si>
  <si>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</si>
  <si>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</si>
  <si>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</si>
  <si>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</si>
  <si>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</si>
  <si>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</si>
  <si>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</si>
  <si>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</si>
  <si>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</si>
  <si>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</si>
  <si>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</si>
  <si>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</si>
  <si>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</si>
  <si>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</si>
  <si>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</si>
  <si>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</si>
  <si>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</si>
  <si>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</si>
  <si>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</si>
  <si>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</si>
  <si>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</si>
  <si>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</si>
  <si>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</si>
  <si>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</si>
  <si>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</si>
  <si>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</si>
  <si>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</si>
  <si>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</si>
  <si>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</si>
  <si>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</si>
  <si>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</si>
  <si>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</si>
  <si>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</si>
  <si>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</si>
  <si>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</si>
  <si>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</si>
  <si>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</si>
  <si>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</si>
  <si>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</si>
  <si>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</si>
  <si>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</si>
  <si>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</si>
  <si>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</si>
  <si>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</si>
  <si>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</si>
  <si>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</si>
  <si>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</si>
  <si>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</si>
  <si>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</si>
  <si>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</si>
  <si>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</si>
  <si>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</si>
  <si>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</si>
  <si>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</si>
  <si>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</si>
  <si>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</si>
  <si>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</si>
  <si>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</si>
  <si>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</si>
  <si>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</si>
  <si>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</si>
  <si>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</si>
  <si>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</si>
  <si>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</si>
  <si>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</si>
  <si>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</si>
  <si>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</si>
  <si>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</si>
  <si>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</si>
  <si>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</si>
  <si>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</si>
  <si>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</si>
  <si>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</si>
  <si>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</si>
  <si>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</si>
  <si>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</si>
  <si>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</si>
  <si>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</si>
  <si>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</si>
  <si>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</si>
  <si>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</si>
  <si>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</si>
  <si>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</si>
  <si>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</si>
  <si>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</si>
  <si>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</si>
  <si>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</si>
  <si>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</si>
  <si>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</si>
  <si>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</si>
  <si>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</si>
  <si>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</si>
  <si>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</si>
  <si>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</si>
  <si>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</si>
  <si>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</si>
  <si>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</si>
  <si>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</si>
  <si>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</si>
  <si>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</si>
  <si>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</si>
  <si>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</si>
  <si>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</si>
  <si>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</si>
  <si>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</si>
  <si>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</si>
  <si>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</si>
  <si>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</si>
  <si>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</si>
  <si>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</si>
  <si>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</si>
  <si>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</si>
  <si>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</si>
  <si>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</si>
  <si>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</si>
  <si>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</si>
  <si>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</si>
  <si>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</si>
  <si>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</si>
  <si>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</si>
  <si>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</si>
  <si>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</si>
  <si>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</si>
  <si>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</si>
  <si>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</si>
  <si>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</si>
  <si>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</si>
  <si>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</si>
  <si>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</si>
  <si>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</si>
  <si>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</si>
  <si>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</si>
  <si>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</si>
  <si>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</si>
  <si>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</si>
  <si>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</si>
  <si>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</si>
  <si>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</si>
  <si>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</si>
  <si>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</si>
  <si>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</si>
  <si>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</si>
  <si>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</si>
  <si>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</si>
  <si>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</si>
  <si>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</si>
  <si>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</si>
  <si>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</si>
  <si>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</si>
  <si>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</si>
  <si>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</si>
  <si>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</si>
  <si>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</si>
  <si>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</si>
  <si>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</si>
  <si>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</si>
  <si>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</si>
  <si>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</si>
  <si>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</si>
  <si>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</si>
  <si>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</si>
  <si>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</si>
  <si>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</si>
  <si>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</si>
  <si>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</si>
  <si>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</si>
  <si>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</si>
  <si>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</si>
  <si>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</si>
  <si>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</si>
  <si>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</si>
  <si>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</si>
  <si>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</si>
  <si>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</si>
  <si>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</si>
  <si>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</si>
  <si>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</si>
  <si>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</si>
  <si>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</si>
  <si>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</si>
  <si>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</si>
  <si>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</si>
  <si>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</si>
  <si>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</si>
  <si>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</si>
  <si>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</si>
  <si>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</si>
  <si>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</si>
  <si>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</si>
  <si>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</si>
  <si>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</si>
  <si>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</si>
  <si>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</si>
  <si>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</si>
  <si>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</si>
  <si>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</si>
  <si>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</si>
  <si>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</si>
  <si>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</si>
  <si>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</si>
  <si>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</si>
  <si>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</si>
  <si>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</si>
  <si>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</si>
  <si>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</si>
  <si>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</si>
  <si>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</si>
  <si>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</si>
  <si>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</si>
  <si>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</si>
  <si>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</si>
  <si>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</si>
  <si>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</si>
  <si>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</si>
  <si>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</si>
  <si>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</si>
  <si>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</si>
  <si>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</si>
  <si>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</si>
  <si>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</si>
  <si>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</si>
  <si>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</si>
  <si>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</si>
  <si>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</si>
  <si>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</si>
  <si>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</si>
  <si>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</si>
  <si>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</si>
  <si>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</si>
  <si>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</si>
  <si>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</si>
  <si>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</si>
  <si>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</si>
  <si>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</si>
  <si>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</si>
  <si>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</si>
  <si>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</si>
  <si>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</si>
  <si>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</si>
  <si>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</si>
  <si>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</si>
  <si>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</si>
  <si>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</si>
  <si>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</si>
  <si>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</si>
  <si>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</si>
  <si>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</si>
  <si>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</si>
  <si>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</si>
  <si>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</si>
  <si>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</si>
  <si>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</si>
  <si>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</si>
  <si>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</si>
  <si>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</si>
  <si>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</si>
  <si>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</si>
  <si>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</si>
  <si>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</si>
  <si>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</si>
  <si>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</si>
  <si>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</si>
  <si>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</si>
  <si>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</si>
  <si>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</si>
  <si>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</si>
  <si>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</si>
  <si>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</si>
  <si>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</si>
  <si>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</si>
  <si>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</si>
  <si>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</si>
  <si>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</si>
  <si>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</si>
  <si>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</si>
  <si>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</si>
  <si>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</si>
  <si>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</si>
  <si>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</si>
  <si>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</si>
  <si>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</si>
  <si>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</si>
  <si>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</si>
  <si>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</si>
  <si>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</si>
  <si>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</si>
  <si>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</si>
  <si>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</si>
  <si>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</si>
  <si>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</si>
  <si>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</si>
  <si>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</si>
  <si>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</si>
  <si>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</si>
  <si>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</si>
  <si>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</si>
  <si>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</si>
  <si>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</si>
  <si>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</si>
  <si>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</si>
  <si>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</si>
  <si>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</si>
  <si>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</si>
  <si>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</si>
  <si>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</si>
  <si>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</si>
  <si>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</si>
  <si>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</si>
  <si>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</si>
  <si>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</si>
  <si>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</si>
  <si>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</si>
  <si>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</si>
  <si>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</si>
  <si>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</si>
  <si>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</si>
  <si>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</si>
  <si>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</si>
  <si>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</si>
  <si>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</si>
  <si>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</si>
  <si>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</si>
  <si>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</si>
  <si>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</si>
  <si>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</si>
  <si>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</si>
  <si>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</si>
  <si>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</si>
  <si>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</si>
  <si>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</si>
  <si>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</si>
  <si>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</si>
  <si>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</si>
  <si>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</si>
  <si>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</si>
  <si>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</si>
  <si>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</si>
  <si>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</si>
  <si>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</si>
  <si>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</si>
  <si>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</si>
  <si>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</si>
  <si>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</si>
  <si>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</si>
  <si>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</si>
  <si>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</si>
  <si>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</si>
  <si>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</si>
  <si>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</si>
  <si>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</si>
  <si>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</si>
  <si>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</si>
  <si>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</si>
  <si>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</si>
  <si>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</si>
  <si>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</si>
  <si>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</si>
  <si>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</si>
  <si>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</si>
  <si>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</si>
  <si>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</si>
  <si>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</si>
  <si>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</si>
  <si>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</si>
  <si>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</si>
  <si>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</si>
  <si>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</si>
  <si>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</si>
  <si>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</si>
  <si>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</si>
  <si>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</si>
  <si>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</si>
  <si>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</si>
  <si>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</si>
  <si>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</si>
  <si>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</si>
  <si>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</si>
  <si>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</si>
  <si>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</si>
  <si>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</si>
  <si>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</si>
  <si>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</si>
  <si>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</si>
  <si>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</si>
  <si>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</si>
  <si>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</si>
  <si>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</si>
  <si>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</si>
  <si>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</si>
  <si>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</si>
  <si>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</si>
  <si>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</si>
  <si>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</si>
  <si>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</si>
  <si>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</si>
  <si>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</si>
  <si>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</si>
  <si>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</si>
  <si>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</si>
  <si>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</si>
  <si>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</si>
  <si>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</si>
  <si>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</si>
  <si>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</si>
  <si>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</si>
  <si>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</si>
  <si>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</si>
  <si>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</si>
  <si>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</si>
  <si>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</si>
  <si>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</si>
  <si>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</si>
  <si>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</si>
  <si>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</si>
  <si>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</si>
  <si>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</si>
  <si>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</si>
  <si>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</si>
  <si>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</si>
  <si>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</si>
  <si>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</si>
  <si>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</si>
  <si>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</si>
  <si>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</si>
  <si>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</si>
  <si>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</si>
  <si>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</si>
  <si>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</si>
  <si>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</si>
  <si>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</si>
  <si>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</si>
  <si>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</si>
  <si>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</si>
  <si>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</si>
  <si>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</si>
  <si>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</si>
  <si>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</si>
  <si>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</si>
  <si>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</si>
  <si>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</si>
  <si>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</si>
  <si>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</si>
  <si>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</si>
  <si>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</si>
  <si>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</si>
  <si>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</si>
  <si>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</si>
  <si>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</si>
  <si>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</si>
  <si>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</si>
  <si>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</si>
  <si>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</si>
  <si>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</si>
  <si>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</si>
  <si>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</si>
  <si>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</si>
  <si>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</si>
  <si>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</si>
  <si>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</si>
  <si>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</si>
  <si>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</si>
  <si>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</si>
  <si>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</si>
  <si>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</si>
  <si>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</si>
  <si>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</si>
  <si>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</si>
  <si>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</si>
  <si>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</si>
  <si>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</si>
  <si>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</si>
  <si>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</si>
  <si>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</si>
  <si>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</si>
  <si>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</si>
  <si>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</si>
  <si>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</si>
  <si>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</si>
  <si>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</si>
  <si>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</si>
  <si>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</si>
  <si>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</si>
  <si>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</si>
  <si>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</si>
  <si>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</si>
  <si>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</si>
  <si>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</si>
  <si>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</si>
  <si>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</si>
  <si>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</si>
  <si>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</si>
  <si>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</si>
  <si>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</si>
  <si>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</si>
  <si>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</si>
  <si>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</si>
  <si>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</si>
  <si>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</si>
  <si>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</si>
  <si>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</si>
  <si>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</si>
  <si>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</si>
  <si>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</si>
  <si>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</si>
  <si>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</si>
  <si>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</si>
  <si>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</si>
  <si>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</si>
  <si>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</si>
  <si>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</si>
  <si>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</si>
  <si>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</si>
  <si>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</si>
  <si>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</si>
  <si>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</si>
  <si>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</si>
  <si>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</si>
  <si>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</si>
  <si>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</si>
  <si>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</si>
  <si>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</si>
  <si>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</si>
  <si>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</si>
  <si>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</si>
  <si>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</si>
  <si>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</si>
  <si>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</si>
  <si>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</si>
  <si>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</si>
  <si>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</si>
  <si>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</si>
  <si>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</si>
  <si>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</si>
  <si>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</si>
  <si>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</si>
  <si>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</si>
  <si>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</si>
  <si>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</si>
  <si>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</si>
  <si>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</si>
  <si>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</si>
  <si>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</si>
  <si>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</si>
  <si>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</si>
  <si>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</si>
  <si>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</si>
  <si>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</si>
  <si>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</si>
  <si>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</si>
  <si>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</si>
  <si>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</si>
  <si>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</si>
  <si>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</si>
  <si>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</si>
  <si>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</si>
  <si>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</si>
  <si>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</si>
  <si>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</si>
  <si>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</si>
  <si>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</si>
  <si>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</si>
  <si>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</si>
  <si>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</si>
  <si>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</si>
  <si>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</si>
  <si>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</si>
  <si>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</si>
  <si>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</si>
  <si>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</si>
  <si>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</si>
  <si>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</si>
  <si>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</si>
  <si>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</si>
  <si>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</si>
  <si>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</si>
  <si>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</si>
  <si>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</si>
  <si>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</si>
  <si>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</si>
  <si>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</si>
  <si>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</si>
  <si>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</si>
  <si>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</si>
  <si>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</si>
  <si>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</si>
  <si>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</si>
  <si>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</si>
  <si>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</si>
  <si>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</si>
  <si>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</si>
  <si>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</si>
  <si>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</si>
  <si>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</si>
  <si>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</si>
  <si>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</si>
  <si>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</si>
  <si>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</si>
  <si>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</si>
  <si>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</si>
  <si>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</si>
  <si>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</si>
  <si>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</si>
  <si>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</si>
  <si>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</si>
  <si>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</si>
  <si>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</si>
  <si>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</si>
  <si>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</si>
  <si>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</si>
  <si>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</si>
  <si>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</si>
  <si>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</si>
  <si>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</si>
  <si>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</si>
  <si>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</si>
  <si>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</si>
  <si>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</si>
  <si>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</si>
  <si>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</si>
  <si>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</si>
  <si>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</si>
  <si>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</si>
  <si>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</si>
  <si>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</si>
  <si>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</si>
  <si>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</si>
  <si>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</si>
  <si>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</si>
  <si>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</si>
  <si>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</si>
  <si>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</si>
  <si>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</si>
  <si>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</si>
  <si>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</si>
  <si>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</si>
  <si>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</si>
  <si>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</si>
  <si>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</si>
  <si>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</si>
  <si>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</si>
  <si>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</si>
  <si>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</si>
  <si>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</si>
  <si>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</si>
  <si>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</si>
  <si>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</si>
  <si>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</si>
  <si>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</si>
  <si>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</si>
  <si>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</si>
  <si>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</si>
  <si>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</si>
  <si>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</si>
  <si>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</si>
  <si>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</si>
  <si>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</si>
  <si>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</si>
  <si>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</si>
  <si>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</si>
  <si>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</si>
  <si>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</si>
  <si>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</si>
  <si>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</si>
  <si>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</si>
  <si>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</si>
  <si>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</si>
  <si>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</si>
  <si>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</si>
  <si>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</si>
  <si>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</si>
  <si>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</si>
  <si>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</si>
  <si>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</si>
  <si>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</si>
  <si>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</si>
  <si>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</si>
  <si>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</si>
  <si>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</si>
  <si>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</si>
  <si>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</si>
  <si>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</si>
  <si>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</si>
  <si>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</si>
  <si>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</si>
  <si>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</si>
  <si>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</si>
  <si>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</si>
  <si>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</si>
  <si>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</si>
  <si>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</si>
  <si>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</si>
  <si>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</si>
  <si>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</si>
  <si>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</si>
  <si>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</si>
  <si>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</si>
  <si>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</si>
  <si>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</si>
  <si>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</si>
  <si>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</si>
  <si>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</si>
  <si>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</si>
  <si>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</si>
  <si>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</si>
  <si>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</si>
  <si>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</si>
  <si>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</si>
  <si>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</si>
  <si>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</si>
  <si>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</si>
  <si>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</si>
  <si>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</si>
  <si>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</si>
  <si>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</si>
  <si>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</si>
  <si>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</si>
  <si>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</si>
  <si>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</si>
  <si>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</si>
  <si>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</si>
  <si>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</si>
  <si>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</si>
  <si>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</si>
  <si>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</si>
  <si>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</si>
  <si>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</si>
  <si>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</si>
  <si>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</si>
  <si>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</si>
  <si>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</si>
  <si>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</si>
  <si>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</si>
  <si>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</si>
  <si>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</si>
  <si>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</si>
  <si>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</si>
  <si>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</si>
  <si>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</si>
  <si>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</si>
  <si>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</si>
  <si>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</si>
  <si>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</si>
  <si>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</si>
  <si>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</si>
  <si>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</si>
  <si>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</si>
  <si>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</si>
  <si>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</si>
  <si>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</si>
  <si>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</si>
  <si>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</si>
  <si>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</si>
  <si>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</si>
  <si>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</si>
  <si>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</si>
  <si>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</si>
  <si>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</si>
  <si>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</si>
  <si>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</si>
  <si>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</si>
  <si>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</si>
  <si>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</si>
  <si>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</si>
  <si>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</si>
  <si>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</si>
  <si>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</si>
  <si>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</si>
  <si>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</si>
  <si>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</si>
  <si>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</si>
  <si>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</si>
  <si>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</si>
  <si>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</si>
  <si>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</si>
  <si>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</si>
  <si>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</si>
  <si>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</si>
  <si>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</si>
  <si>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</si>
  <si>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</si>
  <si>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</si>
  <si>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</si>
  <si>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</si>
  <si>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</si>
  <si>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</si>
  <si>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</si>
  <si>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</si>
  <si>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</si>
  <si>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</si>
  <si>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</si>
  <si>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</si>
  <si>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</si>
  <si>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</si>
  <si>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</si>
  <si>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</si>
  <si>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</si>
  <si>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</si>
  <si>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</si>
  <si>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</si>
  <si>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</si>
  <si>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</si>
  <si>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</si>
  <si>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</si>
  <si>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</si>
  <si>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</si>
  <si>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</si>
  <si>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</si>
  <si>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</si>
  <si>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</si>
  <si>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</si>
  <si>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</si>
  <si>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</si>
  <si>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</si>
  <si>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</si>
  <si>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</si>
  <si>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</si>
  <si>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</si>
  <si>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</si>
  <si>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</si>
  <si>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</si>
  <si>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</si>
  <si>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</si>
  <si>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</si>
  <si>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</si>
  <si>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</si>
  <si>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</si>
  <si>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</si>
  <si>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</si>
  <si>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</si>
  <si>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</si>
  <si>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</si>
  <si>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</si>
  <si>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</si>
  <si>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</si>
  <si>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</si>
  <si>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</si>
  <si>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</si>
  <si>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</si>
  <si>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</si>
  <si>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</si>
  <si>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</si>
  <si>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</si>
  <si>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</si>
  <si>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</si>
  <si>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</si>
  <si>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</si>
  <si>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</si>
  <si>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</si>
  <si>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</si>
  <si>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</si>
  <si>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</si>
  <si>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</si>
  <si>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</si>
  <si>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</si>
  <si>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</si>
  <si>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</si>
  <si>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</si>
  <si>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</si>
  <si>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</si>
  <si>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</si>
  <si>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</si>
  <si>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</si>
  <si>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</si>
  <si>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</si>
  <si>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</si>
  <si>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</si>
  <si>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</si>
  <si>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</si>
  <si>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</si>
  <si>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</si>
  <si>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</si>
  <si>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</si>
  <si>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</si>
  <si>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</si>
  <si>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</si>
  <si>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</si>
  <si>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</si>
  <si>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</si>
  <si>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</si>
  <si>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</si>
  <si>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</si>
  <si>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</si>
  <si>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</si>
  <si>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</si>
  <si>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</si>
  <si>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</si>
  <si>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</si>
  <si>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</si>
  <si>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</si>
  <si>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</si>
  <si>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</si>
  <si>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</si>
  <si>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</si>
  <si>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</si>
  <si>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</si>
  <si>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</si>
  <si>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</si>
  <si>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</si>
  <si>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</si>
  <si>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</si>
  <si>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</si>
  <si>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</si>
  <si>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</si>
  <si>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</si>
  <si>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</si>
  <si>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</si>
  <si>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</si>
  <si>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</si>
  <si>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</si>
  <si>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</si>
  <si>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</si>
  <si>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</si>
  <si>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</si>
  <si>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</si>
  <si>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</si>
  <si>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</si>
  <si>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</si>
  <si>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</si>
  <si>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</si>
  <si>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</si>
  <si>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</si>
  <si>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</si>
  <si>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</si>
  <si>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</si>
  <si>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</si>
  <si>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</si>
  <si>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</si>
  <si>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</si>
  <si>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</si>
  <si>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</si>
  <si>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</si>
  <si>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</si>
  <si>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</si>
  <si>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</si>
  <si>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</si>
  <si>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</si>
  <si>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</si>
  <si>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</si>
  <si>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</si>
  <si>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</si>
  <si>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</si>
  <si>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</si>
  <si>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</si>
  <si>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</si>
  <si>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</si>
  <si>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</si>
  <si>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</si>
  <si>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</si>
  <si>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</si>
  <si>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</si>
  <si>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</si>
  <si>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</si>
  <si>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</si>
  <si>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</si>
  <si>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</si>
  <si>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</si>
  <si>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</si>
  <si>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</si>
  <si>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</si>
  <si>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</si>
  <si>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</si>
  <si>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</si>
  <si>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</si>
  <si>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</si>
  <si>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</si>
  <si>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</si>
  <si>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</si>
  <si>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</si>
  <si>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</si>
  <si>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</si>
  <si>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</si>
  <si>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</si>
  <si>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</si>
  <si>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</si>
  <si>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</si>
  <si>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</si>
  <si>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</si>
  <si>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</si>
  <si>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</si>
  <si>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</si>
  <si>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</si>
  <si>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</si>
  <si>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</si>
  <si>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</si>
  <si>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</si>
  <si>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</si>
  <si>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</si>
  <si>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</si>
  <si>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</si>
  <si>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</si>
  <si>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</si>
  <si>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</si>
  <si>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</si>
  <si>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</si>
  <si>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</si>
  <si>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</si>
  <si>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</si>
  <si>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</si>
  <si>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</si>
  <si>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</si>
  <si>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</si>
  <si>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</si>
  <si>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</si>
  <si>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</si>
  <si>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</si>
  <si>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</si>
  <si>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</si>
  <si>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</si>
  <si>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</si>
  <si>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</si>
  <si>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</si>
  <si>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</si>
  <si>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</si>
  <si>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</si>
  <si>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</si>
  <si>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</si>
  <si>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</si>
  <si>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</si>
  <si>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</si>
  <si>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</si>
  <si>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</si>
  <si>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</si>
  <si>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</si>
  <si>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</si>
  <si>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</si>
  <si>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</si>
  <si>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</si>
  <si>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</si>
  <si>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</si>
  <si>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</si>
  <si>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</si>
  <si>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</si>
  <si>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</si>
  <si>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</si>
  <si>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</si>
  <si>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</si>
  <si>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</si>
  <si>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</si>
  <si>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</si>
  <si>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</si>
  <si>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</si>
  <si>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</si>
  <si>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</si>
  <si>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</si>
  <si>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</si>
  <si>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</si>
  <si>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</si>
  <si>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</si>
  <si>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</si>
  <si>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</si>
  <si>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</si>
  <si>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</si>
  <si>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</si>
  <si>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</si>
  <si>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</si>
  <si>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</si>
  <si>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</si>
  <si>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</si>
  <si>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</si>
  <si>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</si>
  <si>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</si>
  <si>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</si>
  <si>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</si>
  <si>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</si>
  <si>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</si>
  <si>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</si>
  <si>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</si>
  <si>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</si>
  <si>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</si>
  <si>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</si>
  <si>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</si>
  <si>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</si>
  <si>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</si>
  <si>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</si>
  <si>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</si>
  <si>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</si>
  <si>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</si>
  <si>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</si>
  <si>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</si>
  <si>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</si>
  <si>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</si>
  <si>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</si>
  <si>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</si>
  <si>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</si>
  <si>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</si>
  <si>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</si>
  <si>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</si>
  <si>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</si>
  <si>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</si>
  <si>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</si>
  <si>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</si>
  <si>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</si>
  <si>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</si>
  <si>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</si>
  <si>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</si>
  <si>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</si>
  <si>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</si>
  <si>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</si>
  <si>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</si>
  <si>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</si>
  <si>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</si>
  <si>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</si>
  <si>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</si>
  <si>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</si>
  <si>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</si>
  <si>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</si>
  <si>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</si>
  <si>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</si>
  <si>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</si>
  <si>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</si>
  <si>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</si>
  <si>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</si>
  <si>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</si>
  <si>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</si>
  <si>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</si>
  <si>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</si>
  <si>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</si>
  <si>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</si>
  <si>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</si>
  <si>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</si>
  <si>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</si>
  <si>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</si>
  <si>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</si>
  <si>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</si>
  <si>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</si>
  <si>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</si>
  <si>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</si>
  <si>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</si>
  <si>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</si>
  <si>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</si>
  <si>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</si>
  <si>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</si>
  <si>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</si>
  <si>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</si>
  <si>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</si>
  <si>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</si>
  <si>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</si>
  <si>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</si>
  <si>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</si>
  <si>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</si>
  <si>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</si>
  <si>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</si>
  <si>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</si>
  <si>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</si>
  <si>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</si>
  <si>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</si>
  <si>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</si>
  <si>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</si>
  <si>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</si>
  <si>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</si>
  <si>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</si>
  <si>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</si>
  <si>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</si>
  <si>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</si>
  <si>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</si>
  <si>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</si>
  <si>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</si>
  <si>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</si>
  <si>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</si>
  <si>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</si>
  <si>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</si>
  <si>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</si>
  <si>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</si>
  <si>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</si>
  <si>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</si>
  <si>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</si>
  <si>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</si>
  <si>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</si>
  <si>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</si>
  <si>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</si>
  <si>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</si>
  <si>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</si>
  <si>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</si>
  <si>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</si>
  <si>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</si>
  <si>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</si>
  <si>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</si>
  <si>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</si>
  <si>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</si>
  <si>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</si>
  <si>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</si>
  <si>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</si>
  <si>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</si>
  <si>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</si>
  <si>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</si>
  <si>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</si>
  <si>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</si>
  <si>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</si>
  <si>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</si>
  <si>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</si>
  <si>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</si>
  <si>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</si>
  <si>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</si>
  <si>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</si>
  <si>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</si>
  <si>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</si>
  <si>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</si>
  <si>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</si>
  <si>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</si>
  <si>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</si>
  <si>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</si>
  <si>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</si>
  <si>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</si>
  <si>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</si>
  <si>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</si>
  <si>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</si>
  <si>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</si>
  <si>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</si>
  <si>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</si>
  <si>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</si>
  <si>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</si>
  <si>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</si>
  <si>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</si>
  <si>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</si>
  <si>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</si>
  <si>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</si>
  <si>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</si>
  <si>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</si>
  <si>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</si>
  <si>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</si>
  <si>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</si>
  <si>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</si>
  <si>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</si>
  <si>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</si>
  <si>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</si>
  <si>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</si>
  <si>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</si>
  <si>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</si>
  <si>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</si>
  <si>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</si>
  <si>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</si>
  <si>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</si>
  <si>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</si>
  <si>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</si>
  <si>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</si>
  <si>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</si>
  <si>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</si>
  <si>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</si>
  <si>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</si>
  <si>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</si>
  <si>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</si>
  <si>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</si>
  <si>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</si>
  <si>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</si>
  <si>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</si>
  <si>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</si>
  <si>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</si>
  <si>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</si>
  <si>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</si>
  <si>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</si>
  <si>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</si>
  <si>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</si>
  <si>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</si>
  <si>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</si>
  <si>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</si>
  <si>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</si>
  <si>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</si>
  <si>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</si>
  <si>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</si>
  <si>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</si>
  <si>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</si>
  <si>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</si>
  <si>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</si>
  <si>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</si>
  <si>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</si>
  <si>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</si>
  <si>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</si>
  <si>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</si>
  <si>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</si>
  <si>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</si>
  <si>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</si>
  <si>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</si>
  <si>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</si>
  <si>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</si>
  <si>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</si>
  <si>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</si>
  <si>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</si>
  <si>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</si>
  <si>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</si>
  <si>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</si>
  <si>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</si>
  <si>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</si>
  <si>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</si>
  <si>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</si>
  <si>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</si>
  <si>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</si>
  <si>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</si>
  <si>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</si>
  <si>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</si>
  <si>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</si>
  <si>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</si>
  <si>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</si>
  <si>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</si>
  <si>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</si>
  <si>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</si>
  <si>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</si>
  <si>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</si>
  <si>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</si>
  <si>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</si>
  <si>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</si>
  <si>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</si>
  <si>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</si>
  <si>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</si>
  <si>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</si>
  <si>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</si>
  <si>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</si>
  <si>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</si>
  <si>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</si>
  <si>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</si>
  <si>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</si>
  <si>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</si>
  <si>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</si>
  <si>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</si>
  <si>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</si>
  <si>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</si>
  <si>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</si>
  <si>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</si>
  <si>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</si>
  <si>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</si>
  <si>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</si>
  <si>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</si>
  <si>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</si>
  <si>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</si>
  <si>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</si>
  <si>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</si>
  <si>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</si>
  <si>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</si>
  <si>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</si>
  <si>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</si>
  <si>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</si>
  <si>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</si>
  <si>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</si>
  <si>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</si>
  <si>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</si>
  <si>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</si>
  <si>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</si>
  <si>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</si>
  <si>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</si>
  <si>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</si>
  <si>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</si>
  <si>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</si>
  <si>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</si>
  <si>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</si>
  <si>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</si>
  <si>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</si>
  <si>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</si>
  <si>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</si>
  <si>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</si>
  <si>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</si>
  <si>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</si>
  <si>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</si>
  <si>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</si>
  <si>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</si>
  <si>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</si>
  <si>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</si>
  <si>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</si>
  <si>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</si>
  <si>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</si>
  <si>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</si>
  <si>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</si>
  <si>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</si>
  <si>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</si>
  <si>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</si>
  <si>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</si>
  <si>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</si>
  <si>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</si>
  <si>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</si>
  <si>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</si>
  <si>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</si>
  <si>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</si>
  <si>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</si>
  <si>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</si>
  <si>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</si>
  <si>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</si>
  <si>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</si>
  <si>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</si>
  <si>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</si>
  <si>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</si>
  <si>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</si>
  <si>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</si>
  <si>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</si>
  <si>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</si>
  <si>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</si>
  <si>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</si>
  <si>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</si>
  <si>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</si>
  <si>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</si>
  <si>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</si>
  <si>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</si>
  <si>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</si>
  <si>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</si>
  <si>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</si>
  <si>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</si>
  <si>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</si>
  <si>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</si>
  <si>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</si>
  <si>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</si>
  <si>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</si>
  <si>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</si>
  <si>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</si>
  <si>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</si>
  <si>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</si>
  <si>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</si>
  <si>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</si>
  <si>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</si>
  <si>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</si>
  <si>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</si>
  <si>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</si>
  <si>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</si>
  <si>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</si>
  <si>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</si>
  <si>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</si>
  <si>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</si>
  <si>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</si>
  <si>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</si>
  <si>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</si>
  <si>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</si>
  <si>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</si>
  <si>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</si>
  <si>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</si>
  <si>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</si>
  <si>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</si>
  <si>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</si>
  <si>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</si>
  <si>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</si>
  <si>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</si>
  <si>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</si>
  <si>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</si>
  <si>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</si>
  <si>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</si>
  <si>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</si>
  <si>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</si>
  <si>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</si>
  <si>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</si>
  <si>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</si>
  <si>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</si>
  <si>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</si>
  <si>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</si>
  <si>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</si>
  <si>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</si>
  <si>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</si>
  <si>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</si>
  <si>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</si>
  <si>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</si>
  <si>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</si>
  <si>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</si>
  <si>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</si>
  <si>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</si>
  <si>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</si>
  <si>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</si>
  <si>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</si>
  <si>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</si>
  <si>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</si>
  <si>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</si>
  <si>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</si>
  <si>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</si>
  <si>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</si>
  <si>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</si>
  <si>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</si>
  <si>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</si>
  <si>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</si>
  <si>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</si>
  <si>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</si>
  <si>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</si>
  <si>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</si>
  <si>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</si>
  <si>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</si>
  <si>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</si>
  <si>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</si>
  <si>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</si>
  <si>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</si>
  <si>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</si>
  <si>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</si>
  <si>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</si>
  <si>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</si>
  <si>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</si>
  <si>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</si>
  <si>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</si>
  <si>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</si>
  <si>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</si>
  <si>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</si>
  <si>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</si>
  <si>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</si>
  <si>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</si>
  <si>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</si>
  <si>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</si>
  <si>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</si>
  <si>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</si>
  <si>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</si>
  <si>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</si>
  <si>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</si>
  <si>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</si>
  <si>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</si>
  <si>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</si>
  <si>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</si>
  <si>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</si>
  <si>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</si>
  <si>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</si>
  <si>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</si>
  <si>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</si>
  <si>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</si>
  <si>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</si>
  <si>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</si>
  <si>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</si>
  <si>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</si>
  <si>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</si>
  <si>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</si>
  <si>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</si>
  <si>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</si>
  <si>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</si>
  <si>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</si>
  <si>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</si>
  <si>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</si>
  <si>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</si>
  <si>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</si>
  <si>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</si>
  <si>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</si>
  <si>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</si>
  <si>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</si>
  <si>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</si>
  <si>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</si>
  <si>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</si>
  <si>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</si>
  <si>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</si>
  <si>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</si>
  <si>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</si>
  <si>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</si>
  <si>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</si>
  <si>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</si>
  <si>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</si>
  <si>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</si>
  <si>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</si>
  <si>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</si>
  <si>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</si>
  <si>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</si>
  <si>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</si>
  <si>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</si>
  <si>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</si>
  <si>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</si>
  <si>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</si>
  <si>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</si>
  <si>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</si>
  <si>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</si>
  <si>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</si>
  <si>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</si>
  <si>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</si>
  <si>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</si>
  <si>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</si>
  <si>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</si>
  <si>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</si>
  <si>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</si>
  <si>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</si>
  <si>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</si>
  <si>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</si>
  <si>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</si>
  <si>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</si>
  <si>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</si>
  <si>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</si>
  <si>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</si>
  <si>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</si>
  <si>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</si>
  <si>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</si>
  <si>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</si>
  <si>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</si>
  <si>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</si>
  <si>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</si>
  <si>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</si>
  <si>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</si>
  <si>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</si>
  <si>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</si>
  <si>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</si>
  <si>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</si>
  <si>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</si>
  <si>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</si>
  <si>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</si>
  <si>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</si>
  <si>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</si>
  <si>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</si>
  <si>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</si>
  <si>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</si>
  <si>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</si>
  <si>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</si>
  <si>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</si>
  <si>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</si>
  <si>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</si>
  <si>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</si>
  <si>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</si>
  <si>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</si>
  <si>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</si>
  <si>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</si>
  <si>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</si>
  <si>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</si>
  <si>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</si>
  <si>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</si>
  <si>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</si>
  <si>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</si>
  <si>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</si>
  <si>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</si>
  <si>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</si>
  <si>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</si>
  <si>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</si>
  <si>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</si>
  <si>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</si>
  <si>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</si>
  <si>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</si>
  <si>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</si>
  <si>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</si>
  <si>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</si>
  <si>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</si>
  <si>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</si>
  <si>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</si>
  <si>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</si>
  <si>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</si>
  <si>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</si>
  <si>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</si>
  <si>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</si>
  <si>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</si>
  <si>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</si>
  <si>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</si>
  <si>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</si>
  <si>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</si>
  <si>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</si>
  <si>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</si>
  <si>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</si>
  <si>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</si>
  <si>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</si>
  <si>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</si>
  <si>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</si>
  <si>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</si>
  <si>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</si>
  <si>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</si>
  <si>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</si>
  <si>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</si>
  <si>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</si>
  <si>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</si>
  <si>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</si>
  <si>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</si>
  <si>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</si>
  <si>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</si>
  <si>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</si>
  <si>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</si>
  <si>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</si>
  <si>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</si>
  <si>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</si>
  <si>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</si>
  <si>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</si>
  <si>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</si>
  <si>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</si>
  <si>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</si>
  <si>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</si>
  <si>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</si>
  <si>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</si>
  <si>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</si>
  <si>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</si>
  <si>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</si>
  <si>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</si>
  <si>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</si>
  <si>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</si>
  <si>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</si>
  <si>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</si>
  <si>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</si>
  <si>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</si>
  <si>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</si>
  <si>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</si>
  <si>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</si>
  <si>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</si>
  <si>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</si>
  <si>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</si>
  <si>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</si>
  <si>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</si>
  <si>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</si>
  <si>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</si>
  <si>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</si>
  <si>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</si>
  <si>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</si>
  <si>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</si>
  <si>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</si>
  <si>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</si>
  <si>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</si>
  <si>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</si>
  <si>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</si>
  <si>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</si>
  <si>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</si>
  <si>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</si>
  <si>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</si>
  <si>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</si>
  <si>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</si>
  <si>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</si>
  <si>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</si>
  <si>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</si>
  <si>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</si>
  <si>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</si>
  <si>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</si>
  <si>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</si>
  <si>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</si>
  <si>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</si>
  <si>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</si>
  <si>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</si>
  <si>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</si>
  <si>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</si>
  <si>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</si>
  <si>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</si>
  <si>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</si>
  <si>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</si>
  <si>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</si>
  <si>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</si>
  <si>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</si>
  <si>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</si>
  <si>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</si>
  <si>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</si>
  <si>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</si>
  <si>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</si>
  <si>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</si>
  <si>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</si>
  <si>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</si>
  <si>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</si>
  <si>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</si>
  <si>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</si>
  <si>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</si>
  <si>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</si>
  <si>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</si>
  <si>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</si>
  <si>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</si>
  <si>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</si>
  <si>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</si>
  <si>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</si>
  <si>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</si>
  <si>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</si>
  <si>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</si>
  <si>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</si>
  <si>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</si>
  <si>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</si>
  <si>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</si>
  <si>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</si>
  <si>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</si>
  <si>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</si>
  <si>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</si>
  <si>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</si>
  <si>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</si>
  <si>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</si>
  <si>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</si>
  <si>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</si>
  <si>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</si>
  <si>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</si>
  <si>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</si>
  <si>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</si>
  <si>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</si>
  <si>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</si>
  <si>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</si>
  <si>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</si>
  <si>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</si>
  <si>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</si>
  <si>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</si>
  <si>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</si>
  <si>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</si>
  <si>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</si>
  <si>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</si>
  <si>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</si>
  <si>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</si>
  <si>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</si>
  <si>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</si>
  <si>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</si>
  <si>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</si>
  <si>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</si>
  <si>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</si>
  <si>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</si>
  <si>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</si>
  <si>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</si>
  <si>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</si>
  <si>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</si>
  <si>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</si>
  <si>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</si>
  <si>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</si>
  <si>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</si>
  <si>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</si>
  <si>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</si>
  <si>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</si>
  <si>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</si>
  <si>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</si>
  <si>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</si>
  <si>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</si>
  <si>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</si>
  <si>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</si>
  <si>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</si>
  <si>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</si>
  <si>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</si>
  <si>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</si>
  <si>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</si>
  <si>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</si>
  <si>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</si>
  <si>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</si>
  <si>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</si>
  <si>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</si>
  <si>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</si>
  <si>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</si>
  <si>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</si>
  <si>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</si>
  <si>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</si>
  <si>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</si>
  <si>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</si>
  <si>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</si>
  <si>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</si>
  <si>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</si>
  <si>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</si>
  <si>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</si>
  <si>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</si>
  <si>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</si>
  <si>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</si>
  <si>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</si>
  <si>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</si>
  <si>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</si>
  <si>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</si>
  <si>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</si>
  <si>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</si>
  <si>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</si>
  <si>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</si>
  <si>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</si>
  <si>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</si>
  <si>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</si>
  <si>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</si>
  <si>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</si>
  <si>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</si>
  <si>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</si>
  <si>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</si>
  <si>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</si>
  <si>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</si>
  <si>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</si>
  <si>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</si>
  <si>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</si>
  <si>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</si>
  <si>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</si>
  <si>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</si>
  <si>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</si>
  <si>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</si>
  <si>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</si>
  <si>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</si>
  <si>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</si>
  <si>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</si>
  <si>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</si>
  <si>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</si>
  <si>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</si>
  <si>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</si>
  <si>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</si>
  <si>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</si>
  <si>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</si>
  <si>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</si>
  <si>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</si>
  <si>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</si>
  <si>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</si>
  <si>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</si>
  <si>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</si>
  <si>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</si>
  <si>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</si>
  <si>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</si>
  <si>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</si>
  <si>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</si>
  <si>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</si>
  <si>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</si>
  <si>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</si>
  <si>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</si>
  <si>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</si>
  <si>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</si>
  <si>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</si>
  <si>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</si>
  <si>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</si>
  <si>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</si>
  <si>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</si>
  <si>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</si>
  <si>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</si>
  <si>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</si>
  <si>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</si>
  <si>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</si>
  <si>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</si>
  <si>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</si>
  <si>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</si>
  <si>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</si>
  <si>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</si>
  <si>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</si>
  <si>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</si>
  <si>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</si>
  <si>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</si>
  <si>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</si>
  <si>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</si>
  <si>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</si>
  <si>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</si>
  <si>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</si>
  <si>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</si>
  <si>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</si>
  <si>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</si>
  <si>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</si>
  <si>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</si>
  <si>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</si>
  <si>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</si>
  <si>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</si>
  <si>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</si>
  <si>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</si>
  <si>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</si>
  <si>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</si>
  <si>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</si>
  <si>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</si>
  <si>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</si>
  <si>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</si>
  <si>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</si>
  <si>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</si>
  <si>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</si>
  <si>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</si>
  <si>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</si>
  <si>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</si>
  <si>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</si>
  <si>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</si>
  <si>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</si>
  <si>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</si>
  <si>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</si>
  <si>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</si>
  <si>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</si>
  <si>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</si>
  <si>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</si>
  <si>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</si>
  <si>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</si>
  <si>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</si>
  <si>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</si>
  <si>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</si>
  <si>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</si>
  <si>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</si>
  <si>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</si>
  <si>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</si>
  <si>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</si>
  <si>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</si>
  <si>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</si>
  <si>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</si>
  <si>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</si>
  <si>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</si>
  <si>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</si>
  <si>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</si>
  <si>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</si>
  <si>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</si>
  <si>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</si>
  <si>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</si>
  <si>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</si>
  <si>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</si>
  <si>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</si>
  <si>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</si>
  <si>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</si>
  <si>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</si>
  <si>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</si>
  <si>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</si>
  <si>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</si>
  <si>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</si>
  <si>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</si>
  <si>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</si>
  <si>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</si>
  <si>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</si>
  <si>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</si>
  <si>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</si>
  <si>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</si>
  <si>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</si>
  <si>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</si>
  <si>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</si>
  <si>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</si>
  <si>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</si>
  <si>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</si>
  <si>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</si>
  <si>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</si>
  <si>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</si>
  <si>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</si>
  <si>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</si>
  <si>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</si>
  <si>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</si>
  <si>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</si>
  <si>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</si>
  <si>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</si>
  <si>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</si>
  <si>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</si>
  <si>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</si>
  <si>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</si>
  <si>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</si>
  <si>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</si>
  <si>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</si>
  <si>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</si>
  <si>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</si>
  <si>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</si>
  <si>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</si>
  <si>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</si>
  <si>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</si>
  <si>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</si>
  <si>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</si>
  <si>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</si>
  <si>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</si>
  <si>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</si>
  <si>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</si>
  <si>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</si>
  <si>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</si>
  <si>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</si>
  <si>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</si>
  <si>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</si>
  <si>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</si>
  <si>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</si>
  <si>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</si>
  <si>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</si>
  <si>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</si>
  <si>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</si>
  <si>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</si>
  <si>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</si>
  <si>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</si>
  <si>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</si>
  <si>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</si>
  <si>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</si>
  <si>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</si>
  <si>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</si>
  <si>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</si>
  <si>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</si>
  <si>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</si>
  <si>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</si>
  <si>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</si>
  <si>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</si>
  <si>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</si>
  <si>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</si>
  <si>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</si>
  <si>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</si>
  <si>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</si>
  <si>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</si>
  <si>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</si>
  <si>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</si>
  <si>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</si>
  <si>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</si>
  <si>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</si>
  <si>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</si>
  <si>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</si>
  <si>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</si>
  <si>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</si>
  <si>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</si>
  <si>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</si>
  <si>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</si>
  <si>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</si>
  <si>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</si>
  <si>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</si>
  <si>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</si>
  <si>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</si>
  <si>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</si>
  <si>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</si>
  <si>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</si>
  <si>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</si>
  <si>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</si>
  <si>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</si>
  <si>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</si>
  <si>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</si>
  <si>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</si>
  <si>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</si>
  <si>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</si>
  <si>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</si>
  <si>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</si>
  <si>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</si>
  <si>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</si>
  <si>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</si>
  <si>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</si>
  <si>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</si>
  <si>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</si>
  <si>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</si>
  <si>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</si>
  <si>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</si>
  <si>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</si>
  <si>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</si>
  <si>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</si>
  <si>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</si>
  <si>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</si>
  <si>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</si>
  <si>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</si>
  <si>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</si>
  <si>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</si>
  <si>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</si>
  <si>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</si>
  <si>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</si>
  <si>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</si>
  <si>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</si>
  <si>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</si>
  <si>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</si>
  <si>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</si>
  <si>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</si>
  <si>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</si>
  <si>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</si>
  <si>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</si>
  <si>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</si>
  <si>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</si>
  <si>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</si>
  <si>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</si>
  <si>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</si>
  <si>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</si>
  <si>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</si>
  <si>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</si>
  <si>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</si>
  <si>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</si>
  <si>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</si>
  <si>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</si>
  <si>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</si>
  <si>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</si>
  <si>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</si>
  <si>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</si>
  <si>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</si>
  <si>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</si>
  <si>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</si>
  <si>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</si>
  <si>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</si>
  <si>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</si>
  <si>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</si>
  <si>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</si>
  <si>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</si>
  <si>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</si>
  <si>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</si>
  <si>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</si>
  <si>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</si>
  <si>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</si>
  <si>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</si>
  <si>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</si>
  <si>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</si>
  <si>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</si>
  <si>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</si>
  <si>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</si>
  <si>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</si>
  <si>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</si>
  <si>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</si>
  <si>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</si>
  <si>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</si>
  <si>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</si>
  <si>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</si>
  <si>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</si>
  <si>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</si>
  <si>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</si>
  <si>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</si>
  <si>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</si>
  <si>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</si>
  <si>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</si>
  <si>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</si>
  <si>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</si>
  <si>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</si>
  <si>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</si>
  <si>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</si>
  <si>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</si>
  <si>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</si>
  <si>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</si>
  <si>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</si>
  <si>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</si>
  <si>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</si>
  <si>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</si>
  <si>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</si>
  <si>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</si>
  <si>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</si>
  <si>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</si>
  <si>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</si>
  <si>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</si>
  <si>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</si>
  <si>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</si>
  <si>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</si>
  <si>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</si>
  <si>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</si>
  <si>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</si>
  <si>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</si>
  <si>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</si>
  <si>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</si>
  <si>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</si>
  <si>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</si>
  <si>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</si>
  <si>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</si>
  <si>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</si>
  <si>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</si>
  <si>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</si>
  <si>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</si>
  <si>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</si>
  <si>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</si>
  <si>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</si>
  <si>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</si>
  <si>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</si>
  <si>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</si>
  <si>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</si>
  <si>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</si>
  <si>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</si>
  <si>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</si>
  <si>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</si>
  <si>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</si>
  <si>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</si>
  <si>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</si>
  <si>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</si>
  <si>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</si>
  <si>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</si>
  <si>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</si>
  <si>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</si>
  <si>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</si>
  <si>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</si>
  <si>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</si>
  <si>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</si>
  <si>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</si>
  <si>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</si>
  <si>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</si>
  <si>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</si>
  <si>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</si>
  <si>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</si>
  <si>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</si>
  <si>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</si>
  <si>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</si>
  <si>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</si>
  <si>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</si>
  <si>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</si>
  <si>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</si>
  <si>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</si>
  <si>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</si>
  <si>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</si>
  <si>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</si>
  <si>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</si>
  <si>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</si>
  <si>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</si>
  <si>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</si>
  <si>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</si>
  <si>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</si>
  <si>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</si>
  <si>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</si>
  <si>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</si>
  <si>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</si>
  <si>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</si>
  <si>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</si>
  <si>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</si>
  <si>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</si>
  <si>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</si>
  <si>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</si>
  <si>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</si>
  <si>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</si>
  <si>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</si>
  <si>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</si>
  <si>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</si>
  <si>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</si>
  <si>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</si>
  <si>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</si>
  <si>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</si>
  <si>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</si>
  <si>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</si>
  <si>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</si>
  <si>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</si>
  <si>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</si>
  <si>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</si>
  <si>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</si>
  <si>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</si>
  <si>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</si>
  <si>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</si>
  <si>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</si>
  <si>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</si>
  <si>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</si>
  <si>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</si>
  <si>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</si>
  <si>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</si>
  <si>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</si>
  <si>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</si>
  <si>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</si>
  <si>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</si>
  <si>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</si>
  <si>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</si>
  <si>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</si>
  <si>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</si>
  <si>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</si>
  <si>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</si>
  <si>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</si>
  <si>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</si>
  <si>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</si>
  <si>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</si>
  <si>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</si>
  <si>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</si>
  <si>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</si>
  <si>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</si>
  <si>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</si>
  <si>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</si>
  <si>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</si>
  <si>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</si>
  <si>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</si>
  <si>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</si>
  <si>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</si>
  <si>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</si>
  <si>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</si>
  <si>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</si>
  <si>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</si>
  <si>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</si>
  <si>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</si>
  <si>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</si>
  <si>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</si>
  <si>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</si>
  <si>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</si>
  <si>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</si>
  <si>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</si>
  <si>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</si>
  <si>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</si>
  <si>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</si>
  <si>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</si>
  <si>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</si>
  <si>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</si>
  <si>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</si>
  <si>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</si>
  <si>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</si>
  <si>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</si>
  <si>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</si>
  <si>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</si>
  <si>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</si>
  <si>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</si>
  <si>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</si>
  <si>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</si>
  <si>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</si>
  <si>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</si>
  <si>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</si>
  <si>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</si>
  <si>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</si>
  <si>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</si>
  <si>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</si>
  <si>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</si>
  <si>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</si>
  <si>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</si>
  <si>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</si>
  <si>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</si>
  <si>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</si>
  <si>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</si>
  <si>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</si>
  <si>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</si>
  <si>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</si>
  <si>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</si>
  <si>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</si>
  <si>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</si>
  <si>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</si>
  <si>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</si>
  <si>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</si>
  <si>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</si>
  <si>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</si>
  <si>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</si>
  <si>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</si>
  <si>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</si>
  <si>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</si>
  <si>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</si>
  <si>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</si>
  <si>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</si>
  <si>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</si>
  <si>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</si>
  <si>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</si>
  <si>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</si>
  <si>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</si>
  <si>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</si>
  <si>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</si>
  <si>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</si>
  <si>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</si>
  <si>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</si>
  <si>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</si>
  <si>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</si>
  <si>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</si>
  <si>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</si>
  <si>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</si>
  <si>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</si>
  <si>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</si>
  <si>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</si>
  <si>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</si>
  <si>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</si>
  <si>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</si>
  <si>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</si>
  <si>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</si>
  <si>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</si>
  <si>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</si>
  <si>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</si>
  <si>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</si>
  <si>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</si>
  <si>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</si>
  <si>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</si>
  <si>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</si>
  <si>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</si>
  <si>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</si>
  <si>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</si>
  <si>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</si>
  <si>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</si>
  <si>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</si>
  <si>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</si>
  <si>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</si>
  <si>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</si>
  <si>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</si>
  <si>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</si>
  <si>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</si>
  <si>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</si>
  <si>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</si>
  <si>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</si>
  <si>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</si>
  <si>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</si>
  <si>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</si>
  <si>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</si>
  <si>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</si>
  <si>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</si>
  <si>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</si>
  <si>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</si>
  <si>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</si>
  <si>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</si>
  <si>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</si>
  <si>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</si>
  <si>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</si>
  <si>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</si>
  <si>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</si>
  <si>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</si>
  <si>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</si>
  <si>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</si>
  <si>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</si>
  <si>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</si>
  <si>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</si>
  <si>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</si>
  <si>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</si>
  <si>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</si>
  <si>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</si>
  <si>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</si>
  <si>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</si>
  <si>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</si>
  <si>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</si>
  <si>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</si>
  <si>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</si>
  <si>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</si>
  <si>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</si>
  <si>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</si>
  <si>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</si>
  <si>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</si>
  <si>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</si>
  <si>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</si>
  <si>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</si>
  <si>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</si>
  <si>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</si>
  <si>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</si>
  <si>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</si>
  <si>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</si>
  <si>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</si>
  <si>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</si>
  <si>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</si>
  <si>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</si>
  <si>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</si>
  <si>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</si>
  <si>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</si>
  <si>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</si>
  <si>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</si>
  <si>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</si>
  <si>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</si>
  <si>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</si>
  <si>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</si>
  <si>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</si>
  <si>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</si>
  <si>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</si>
  <si>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</si>
  <si>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</si>
  <si>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</si>
  <si>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</si>
  <si>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</si>
  <si>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</si>
  <si>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</si>
  <si>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</si>
  <si>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</si>
  <si>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</si>
  <si>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</si>
  <si>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</si>
  <si>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</si>
  <si>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</si>
  <si>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</si>
  <si>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</si>
  <si>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</si>
  <si>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</si>
  <si>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</si>
  <si>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</si>
  <si>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</si>
  <si>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</si>
  <si>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</si>
  <si>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</si>
  <si>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</si>
  <si>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</si>
  <si>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</si>
  <si>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</si>
  <si>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</si>
  <si>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</si>
  <si>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</si>
  <si>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</si>
  <si>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</si>
  <si>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</si>
  <si>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</si>
  <si>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</si>
  <si>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</si>
  <si>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</si>
  <si>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</si>
  <si>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</si>
  <si>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</si>
  <si>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</si>
  <si>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</si>
  <si>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</si>
  <si>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</si>
  <si>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</si>
  <si>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</si>
  <si>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</si>
  <si>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</si>
  <si>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</si>
  <si>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</si>
  <si>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</si>
  <si>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</si>
  <si>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</si>
  <si>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</si>
  <si>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</si>
  <si>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</si>
  <si>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</si>
  <si>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</si>
  <si>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</si>
  <si>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</si>
  <si>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</si>
  <si>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</si>
  <si>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</si>
  <si>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</si>
  <si>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</si>
  <si>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</si>
  <si>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</si>
  <si>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</si>
  <si>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</si>
  <si>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</si>
  <si>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</si>
  <si>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</si>
  <si>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</si>
  <si>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</si>
  <si>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</si>
  <si>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</si>
  <si>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</si>
  <si>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</si>
  <si>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</si>
  <si>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</si>
  <si>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</si>
  <si>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</si>
  <si>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</si>
  <si>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</si>
  <si>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</si>
  <si>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</si>
  <si>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</si>
  <si>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</si>
  <si>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</si>
  <si>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</si>
  <si>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</si>
  <si>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</si>
  <si>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</si>
  <si>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</si>
  <si>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</si>
  <si>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</si>
  <si>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</si>
  <si>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</si>
  <si>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</si>
  <si>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</si>
  <si>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</si>
  <si>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</si>
  <si>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</si>
  <si>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</si>
  <si>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</si>
  <si>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</si>
  <si>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</si>
  <si>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</si>
  <si>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</si>
  <si>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</si>
  <si>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</si>
  <si>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</si>
  <si>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</si>
  <si>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</si>
  <si>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</si>
  <si>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</si>
  <si>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</si>
  <si>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</si>
  <si>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</si>
  <si>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</si>
  <si>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</si>
  <si>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</si>
  <si>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</si>
  <si>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</si>
  <si>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</si>
  <si>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</si>
  <si>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</si>
  <si>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</si>
  <si>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</si>
  <si>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</si>
  <si>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</si>
  <si>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</si>
  <si>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</si>
  <si>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</si>
  <si>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</si>
  <si>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</si>
  <si>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</si>
  <si>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</si>
  <si>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</si>
  <si>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</si>
  <si>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</si>
  <si>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</si>
  <si>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</si>
  <si>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</si>
  <si>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</si>
  <si>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</si>
  <si>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</si>
  <si>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</si>
  <si>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</si>
  <si>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</si>
  <si>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</si>
  <si>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</si>
  <si>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</si>
  <si>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</si>
  <si>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</si>
  <si>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</si>
  <si>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</si>
  <si>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</si>
  <si>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</si>
  <si>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</si>
  <si>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</si>
  <si>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</si>
  <si>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</si>
  <si>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</si>
  <si>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</si>
  <si>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</si>
  <si>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</si>
  <si>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</si>
  <si>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</si>
  <si>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</si>
  <si>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</si>
  <si>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</si>
  <si>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</si>
  <si>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</si>
  <si>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</si>
  <si>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</si>
  <si>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</si>
  <si>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</si>
  <si>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</si>
  <si>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</si>
  <si>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</si>
  <si>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</si>
  <si>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</si>
  <si>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</si>
  <si>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</si>
  <si>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</si>
  <si>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</si>
  <si>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</si>
  <si>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</si>
  <si>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</si>
  <si>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</si>
  <si>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</si>
  <si>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</si>
  <si>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</si>
  <si>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</si>
  <si>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</si>
  <si>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</si>
  <si>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</si>
  <si>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</si>
  <si>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</si>
  <si>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</si>
  <si>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</si>
  <si>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</si>
  <si>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</si>
  <si>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</si>
  <si>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</si>
  <si>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</si>
  <si>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</si>
  <si>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</si>
  <si>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</si>
  <si>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</si>
  <si>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</si>
  <si>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</si>
  <si>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</si>
  <si>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</si>
  <si>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</si>
  <si>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</si>
  <si>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</si>
  <si>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</si>
  <si>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</si>
  <si>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</si>
  <si>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</si>
  <si>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</si>
  <si>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</si>
  <si>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</si>
  <si>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</si>
  <si>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</si>
  <si>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</si>
  <si>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</si>
  <si>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</si>
  <si>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</si>
  <si>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</si>
  <si>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</si>
  <si>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</si>
  <si>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</si>
  <si>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</si>
  <si>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</si>
  <si>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</si>
  <si>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</si>
  <si>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</si>
  <si>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</si>
  <si>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</si>
  <si>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</si>
  <si>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</si>
  <si>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</si>
  <si>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</si>
  <si>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</si>
  <si>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</si>
  <si>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</si>
  <si>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</si>
  <si>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</si>
  <si>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</si>
  <si>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</si>
  <si>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</si>
  <si>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</si>
  <si>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</si>
  <si>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</si>
  <si>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</si>
  <si>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</si>
  <si>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</si>
  <si>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</si>
  <si>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</si>
  <si>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</si>
  <si>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</si>
  <si>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</si>
  <si>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</si>
  <si>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</si>
  <si>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</si>
  <si>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</si>
  <si>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</si>
  <si>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</si>
  <si>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</si>
  <si>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</si>
  <si>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</si>
  <si>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</si>
  <si>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</si>
  <si>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</si>
  <si>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</si>
  <si>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</si>
  <si>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</si>
  <si>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</si>
  <si>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</si>
  <si>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</si>
  <si>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</si>
  <si>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</si>
  <si>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</si>
  <si>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</si>
  <si>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</si>
  <si>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</si>
  <si>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</si>
  <si>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</si>
  <si>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</si>
  <si>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</si>
  <si>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</si>
  <si>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</si>
  <si>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</si>
  <si>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</si>
  <si>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</si>
  <si>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</si>
  <si>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</si>
  <si>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</si>
  <si>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</si>
  <si>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</si>
  <si>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</si>
  <si>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</si>
  <si>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</si>
  <si>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</si>
  <si>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</si>
  <si>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</si>
  <si>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</si>
  <si>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</si>
  <si>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</si>
  <si>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</si>
  <si>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</si>
  <si>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</si>
  <si>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</si>
  <si>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</si>
  <si>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</si>
  <si>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</si>
  <si>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</si>
  <si>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</si>
  <si>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</si>
  <si>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</si>
  <si>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</si>
  <si>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</si>
  <si>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</si>
  <si>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</si>
  <si>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</si>
  <si>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</si>
  <si>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</si>
  <si>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</si>
  <si>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</si>
  <si>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</si>
  <si>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</si>
  <si>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</si>
  <si>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</si>
  <si>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</si>
  <si>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</si>
  <si>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</si>
  <si>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</si>
  <si>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</si>
  <si>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</si>
  <si>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</si>
  <si>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</si>
  <si>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</si>
  <si>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</si>
  <si>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</si>
  <si>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</si>
  <si>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</si>
  <si>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</si>
  <si>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</si>
  <si>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</si>
  <si>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</si>
  <si>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</si>
  <si>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</si>
  <si>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</si>
  <si>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</si>
  <si>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</si>
  <si>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</si>
  <si>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</si>
  <si>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</si>
  <si>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</si>
  <si>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</si>
  <si>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</si>
  <si>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</si>
  <si>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</si>
  <si>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</si>
  <si>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</si>
  <si>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</si>
  <si>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</si>
  <si>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</si>
  <si>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</si>
  <si>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</si>
  <si>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</si>
  <si>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</si>
  <si>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</si>
  <si>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</si>
  <si>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</si>
  <si>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</si>
  <si>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</si>
  <si>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</si>
  <si>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</si>
  <si>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</si>
  <si>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</si>
  <si>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</si>
  <si>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</si>
  <si>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</si>
  <si>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</si>
  <si>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</si>
  <si>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</si>
  <si>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</si>
  <si>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</si>
  <si>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</si>
  <si>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</si>
  <si>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</si>
  <si>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</si>
  <si>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</si>
  <si>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</si>
  <si>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</si>
  <si>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</si>
  <si>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</si>
  <si>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</si>
  <si>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</si>
  <si>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</si>
  <si>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</si>
  <si>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</si>
  <si>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</si>
  <si>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</si>
  <si>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</si>
  <si>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</si>
  <si>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</si>
  <si>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</si>
  <si>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</si>
  <si>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</si>
  <si>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</si>
  <si>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</si>
  <si>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</si>
  <si>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</si>
  <si>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</si>
  <si>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</si>
  <si>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</si>
  <si>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</si>
  <si>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</si>
  <si>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</si>
  <si>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</si>
  <si>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</si>
  <si>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</si>
  <si>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</si>
  <si>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</si>
  <si>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</si>
  <si>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</si>
  <si>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</si>
  <si>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</si>
  <si>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</si>
  <si>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</si>
  <si>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</si>
  <si>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</si>
  <si>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</si>
  <si>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</si>
  <si>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</si>
  <si>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</si>
  <si>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</si>
  <si>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</si>
  <si>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</si>
  <si>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</si>
  <si>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</si>
  <si>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</si>
  <si>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</si>
  <si>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</si>
  <si>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</si>
  <si>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</si>
  <si>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</si>
  <si>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</si>
  <si>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</si>
  <si>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</si>
  <si>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</si>
  <si>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</si>
  <si>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</si>
  <si>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</si>
  <si>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</si>
  <si>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</si>
  <si>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</si>
  <si>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</si>
  <si>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</si>
  <si>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</si>
  <si>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</si>
  <si>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</si>
  <si>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</si>
  <si>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</si>
  <si>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</si>
  <si>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</si>
  <si>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</si>
  <si>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</si>
  <si>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</si>
  <si>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</si>
  <si>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</si>
  <si>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</si>
  <si>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</si>
  <si>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</si>
  <si>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</si>
  <si>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</si>
  <si>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</si>
  <si>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</si>
  <si>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</si>
  <si>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</si>
  <si>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</si>
  <si>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</si>
  <si>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</si>
  <si>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</si>
  <si>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</si>
  <si>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</si>
  <si>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</si>
  <si>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</si>
  <si>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</si>
  <si>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</si>
  <si>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</si>
  <si>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</si>
  <si>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</si>
  <si>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</si>
  <si>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</si>
  <si>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</si>
  <si>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</si>
  <si>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</si>
  <si>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</si>
  <si>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</si>
  <si>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</si>
  <si>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</si>
  <si>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</si>
  <si>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</si>
  <si>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</si>
  <si>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</si>
  <si>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</si>
  <si>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</si>
  <si>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</si>
  <si>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</si>
  <si>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</si>
  <si>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</si>
  <si>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</si>
  <si>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</si>
  <si>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</si>
  <si>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</si>
  <si>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</si>
  <si>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</si>
  <si>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</si>
  <si>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</si>
  <si>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</si>
  <si>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</si>
  <si>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</si>
  <si>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</si>
  <si>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</si>
  <si>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</si>
  <si>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</si>
  <si>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</si>
  <si>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</si>
  <si>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</si>
  <si>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</si>
  <si>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</si>
  <si>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</si>
  <si>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</si>
  <si>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</si>
  <si>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</si>
  <si>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</si>
  <si>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</si>
  <si>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</si>
  <si>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</si>
  <si>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</si>
  <si>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</si>
  <si>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</si>
  <si>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</si>
  <si>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</si>
  <si>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</si>
  <si>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</si>
  <si>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</si>
  <si>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</si>
  <si>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</si>
  <si>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</si>
  <si>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</si>
  <si>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</si>
  <si>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</si>
  <si>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</si>
  <si>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</si>
  <si>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</si>
  <si>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</si>
  <si>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</si>
  <si>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</si>
  <si>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</si>
  <si>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</si>
  <si>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</si>
  <si>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</si>
  <si>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</si>
  <si>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</si>
  <si>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</si>
  <si>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</si>
  <si>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</si>
  <si>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</si>
  <si>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</si>
  <si>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</si>
  <si>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</si>
  <si>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</si>
  <si>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</si>
  <si>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</si>
  <si>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</si>
  <si>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</si>
  <si>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</si>
  <si>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</si>
  <si>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</si>
  <si>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</si>
  <si>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</si>
  <si>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</si>
  <si>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</si>
  <si>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</si>
  <si>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</si>
  <si>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</si>
  <si>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</si>
  <si>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</si>
  <si>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</si>
  <si>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</si>
  <si>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</si>
  <si>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</si>
  <si>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</si>
  <si>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</si>
  <si>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</si>
  <si>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</si>
  <si>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</si>
  <si>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</si>
  <si>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</si>
  <si>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</si>
  <si>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</si>
  <si>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</si>
  <si>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</si>
  <si>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</si>
  <si>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</si>
  <si>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</si>
  <si>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</si>
  <si>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</si>
  <si>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</si>
  <si>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</si>
  <si>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</si>
  <si>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</si>
  <si>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</si>
  <si>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</si>
  <si>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</si>
  <si>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</si>
  <si>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</si>
  <si>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</si>
  <si>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</si>
  <si>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</si>
  <si>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</si>
  <si>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</si>
  <si>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</si>
  <si>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</si>
  <si>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</si>
  <si>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</si>
  <si>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</si>
  <si>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</si>
  <si>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</si>
  <si>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</si>
  <si>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</si>
  <si>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</si>
  <si>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</si>
  <si>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南北</t>
  </si>
  <si>
    <t>已包含在土地取得成本中</t>
  </si>
  <si>
    <t>未包含在土地购买价格中</t>
  </si>
  <si>
    <t>城镇住宅用地</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</si>
  <si>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</si>
  <si>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</si>
  <si>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</si>
  <si>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</si>
  <si>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</si>
  <si>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</si>
  <si>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</si>
  <si>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</si>
  <si>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</si>
  <si>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</si>
  <si>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</si>
  <si>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</si>
  <si>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</si>
  <si>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</si>
  <si>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</si>
  <si>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</si>
  <si>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</si>
  <si>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</si>
  <si>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6（0）</t>
  </si>
  <si>
    <t>所在区县</t>
  </si>
  <si>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</si>
  <si>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</si>
  <si>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</si>
  <si>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</si>
  <si>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4/6</t>
    </r>
    <r>
      <rPr>
        <sz val="11"/>
        <color indexed="8"/>
        <rFont val="宋体"/>
        <family val="3"/>
        <charset val="134"/>
      </rPr>
      <t>（中楼层）</t>
    </r>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</si>
  <si>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</si>
  <si>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</si>
  <si>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</si>
  <si>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</si>
  <si>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</si>
  <si>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</si>
  <si>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</si>
  <si>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</si>
  <si>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</si>
  <si>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</si>
  <si>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</si>
  <si>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</si>
  <si>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</si>
  <si>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</si>
  <si>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</si>
  <si>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</si>
  <si>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</si>
  <si>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</si>
  <si>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</si>
  <si>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</si>
  <si>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</si>
  <si>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成本法 (元)</t>
  </si>
  <si>
    <t>自定义容积率</t>
  </si>
  <si>
    <t>北京市海淀区</t>
  </si>
  <si>
    <t>王庄路27号7号楼6层2门261号</t>
  </si>
  <si>
    <t>王庄路27号院</t>
  </si>
  <si>
    <t>陈铁柱</t>
  </si>
  <si>
    <t>王庄路27号8号楼406号</t>
  </si>
  <si>
    <t>房改房（成本价）</t>
  </si>
  <si>
    <t>王庄路27号院2号楼5层4门502号</t>
  </si>
  <si>
    <t>王庄路27号6号楼4层3门342号</t>
  </si>
  <si>
    <t>王庄路27号6号楼4门422号</t>
  </si>
  <si>
    <t>王庄路27号5号楼3门351号</t>
  </si>
  <si>
    <t>王庄路27号院3号楼3门321号</t>
  </si>
  <si>
    <t>王庄路27号院4号楼1门201号</t>
  </si>
  <si>
    <t>王庄路27号1号楼2门262号</t>
  </si>
  <si>
    <t>杨一凡</t>
  </si>
  <si>
    <t>王庄路27号院8号楼1层105号</t>
  </si>
  <si>
    <t>王庄路27号7号楼1门161号</t>
  </si>
  <si>
    <t>王庄路27号9号楼309号</t>
  </si>
  <si>
    <t>田博洋</t>
  </si>
  <si>
    <t>王庄路27号9号楼501号</t>
  </si>
  <si>
    <t>王庄路27号9号楼403号</t>
  </si>
  <si>
    <t>张文静</t>
  </si>
  <si>
    <t>王庄路27号7号楼6层7门761号</t>
  </si>
  <si>
    <t>刘天明</t>
  </si>
  <si>
    <t>评估通知单   出具日期</t>
    <phoneticPr fontId="3" type="noConversion"/>
  </si>
  <si>
    <t>缺失备注</t>
    <phoneticPr fontId="3" type="noConversion"/>
  </si>
  <si>
    <t>释放清单出具日期</t>
    <phoneticPr fontId="3" type="noConversion"/>
  </si>
  <si>
    <t>销售方式</t>
    <phoneticPr fontId="3" type="noConversion"/>
  </si>
  <si>
    <t>海淀</t>
  </si>
  <si>
    <t>海淀区王庄路27号3号楼4层4门441</t>
  </si>
  <si>
    <t>3</t>
  </si>
  <si>
    <t>陈敏源</t>
  </si>
  <si>
    <t>60.00</t>
  </si>
  <si>
    <t>4</t>
  </si>
  <si>
    <t>2室1厅1卫1厨</t>
  </si>
  <si>
    <t>平层</t>
  </si>
  <si>
    <t>2310000</t>
  </si>
  <si>
    <t>410.83</t>
  </si>
  <si>
    <t>68473</t>
  </si>
  <si>
    <t>2019</t>
  </si>
  <si>
    <t>06</t>
  </si>
  <si>
    <t>05</t>
  </si>
  <si>
    <t>73500</t>
  </si>
  <si>
    <t>2019年02月20日</t>
  </si>
  <si>
    <t>2019年02月19日</t>
  </si>
  <si>
    <t>22</t>
  </si>
  <si>
    <t>76699</t>
  </si>
  <si>
    <t>35570</t>
  </si>
  <si>
    <t>孙雪松</t>
  </si>
  <si>
    <t>2019年03月20日</t>
  </si>
  <si>
    <t>海淀区</t>
  </si>
  <si>
    <t>9</t>
  </si>
  <si>
    <t>张平</t>
  </si>
  <si>
    <t>42.5</t>
  </si>
  <si>
    <t>5</t>
  </si>
  <si>
    <t>1室1厅1卫1厨</t>
  </si>
  <si>
    <t>3000000</t>
  </si>
  <si>
    <t>302.72</t>
  </si>
  <si>
    <t>71230</t>
  </si>
  <si>
    <t>07</t>
  </si>
  <si>
    <t>24</t>
  </si>
  <si>
    <t>78824</t>
  </si>
  <si>
    <t>2019年06月06日</t>
  </si>
  <si>
    <t>2019年06月05日</t>
  </si>
  <si>
    <t>17</t>
  </si>
  <si>
    <t>78895</t>
  </si>
  <si>
    <t>40570</t>
  </si>
  <si>
    <t>2019年07月08日</t>
  </si>
  <si>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</si>
  <si>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</si>
  <si>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</si>
  <si>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</si>
  <si>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</si>
  <si>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</si>
  <si>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</si>
  <si>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</si>
  <si>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</si>
  <si>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</si>
  <si>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</si>
  <si>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</si>
  <si>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录入时间</t>
    <phoneticPr fontId="3" type="noConversion"/>
  </si>
  <si>
    <t>实际成交单价</t>
    <phoneticPr fontId="3" type="noConversion"/>
  </si>
  <si>
    <t>价值时点</t>
    <phoneticPr fontId="3" type="noConversion"/>
  </si>
  <si>
    <t>房屋剩余年限</t>
    <phoneticPr fontId="3" type="noConversion"/>
  </si>
  <si>
    <t>商贷</t>
    <phoneticPr fontId="3" type="noConversion"/>
  </si>
  <si>
    <t>组团名</t>
    <phoneticPr fontId="3" type="noConversion"/>
  </si>
  <si>
    <t>单元</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</si>
  <si>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</si>
  <si>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</si>
  <si>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</si>
  <si>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</si>
  <si>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交付时间</t>
    <phoneticPr fontId="3" type="noConversion"/>
  </si>
  <si>
    <t>评估月份</t>
    <phoneticPr fontId="3" type="noConversion"/>
  </si>
  <si>
    <t>备用</t>
    <phoneticPr fontId="3" type="noConversion"/>
  </si>
  <si>
    <t>市场法单价</t>
    <phoneticPr fontId="3" type="noConversion"/>
  </si>
  <si>
    <t>成本法单价</t>
    <phoneticPr fontId="3" type="noConversion"/>
  </si>
  <si>
    <t>交易日期</t>
    <phoneticPr fontId="3" type="noConversion"/>
  </si>
  <si>
    <t>仅限于抵押物</t>
    <phoneticPr fontId="3" type="noConversion"/>
  </si>
  <si>
    <t>补充人</t>
    <phoneticPr fontId="3" type="noConversion"/>
  </si>
  <si>
    <t>海淀区王庄路27号9号楼511</t>
    <phoneticPr fontId="3" type="noConversion"/>
  </si>
  <si>
    <r>
      <t>2/6</t>
    </r>
    <r>
      <rPr>
        <sz val="11"/>
        <rFont val="宋体"/>
        <family val="3"/>
        <charset val="134"/>
      </rPr>
      <t>（低楼层）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</si>
  <si>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</si>
  <si>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</si>
  <si>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5/6</t>
    </r>
    <r>
      <rPr>
        <sz val="11"/>
        <rFont val="宋体"/>
        <family val="3"/>
        <charset val="134"/>
      </rPr>
      <t>（高楼层）</t>
    </r>
    <phoneticPr fontId="24" type="noConversion"/>
  </si>
  <si>
    <r>
      <t>6/6</t>
    </r>
    <r>
      <rPr>
        <sz val="11"/>
        <color indexed="8"/>
        <rFont val="宋体"/>
        <family val="3"/>
        <charset val="134"/>
      </rPr>
      <t>（顶层）</t>
    </r>
    <phoneticPr fontId="24" type="noConversion"/>
  </si>
  <si>
    <r>
      <t>5/6</t>
    </r>
    <r>
      <rPr>
        <sz val="11"/>
        <color indexed="8"/>
        <rFont val="宋体"/>
        <family val="3"/>
        <charset val="134"/>
      </rPr>
      <t>（高楼层）</t>
    </r>
    <phoneticPr fontId="24" type="noConversion"/>
  </si>
  <si>
    <r>
      <t>2/6</t>
    </r>
    <r>
      <rPr>
        <sz val="11"/>
        <color indexed="8"/>
        <rFont val="宋体"/>
        <family val="3"/>
        <charset val="134"/>
      </rPr>
      <t>（低楼层）</t>
    </r>
    <phoneticPr fontId="24" type="noConversion"/>
  </si>
  <si>
    <t>南北东</t>
    <phoneticPr fontId="134" type="noConversion"/>
  </si>
  <si>
    <t>南</t>
  </si>
  <si>
    <t>南</t>
    <phoneticPr fontId="134" type="noConversion"/>
  </si>
  <si>
    <t>顶层</t>
    <phoneticPr fontId="24" type="noConversion"/>
  </si>
  <si>
    <t>底层</t>
    <phoneticPr fontId="24" type="noConversion"/>
  </si>
  <si>
    <t>低楼层</t>
    <phoneticPr fontId="24" type="noConversion"/>
  </si>
  <si>
    <t>高楼层</t>
    <phoneticPr fontId="24" type="noConversion"/>
  </si>
  <si>
    <t>中楼层</t>
    <phoneticPr fontId="24" type="noConversion"/>
  </si>
  <si>
    <t>南北东</t>
  </si>
  <si>
    <t>南北东</t>
    <phoneticPr fontId="24"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</si>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</sst>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
      <sz val="12"/>
      <color indexed="8"/>
      <name val="Times New Roman"/>
      <family val="1"/>
    </font>
    <font>
      <sz val="11"/>
      <color rgb="FF000000"/>
      <name val="宋体"/>
      <family val="3"/>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DFDC0"/>
        <bgColor indexed="64"/>
      </patternFill>
    </fill>
    <fill>
      <patternFill patternType="solid">
        <fgColor indexed="43"/>
        <bgColor indexed="64"/>
      </patternFill>
    </fill>
    <fill>
      <patternFill patternType="solid">
        <fgColor rgb="FFF7F7F7"/>
        <bgColor indexed="64"/>
      </patternFill>
    </fill>
    <fill>
      <patternFill patternType="solid">
        <fgColor rgb="FFD9EBF5"/>
        <bgColor indexed="64"/>
      </patternFill>
    </fill>
    <fill>
      <patternFill patternType="solid">
        <fgColor indexed="11"/>
        <bgColor indexed="64"/>
      </patternFill>
    </fill>
    <fill>
      <patternFill patternType="solid">
        <fgColor indexed="44"/>
        <bgColor indexed="64"/>
      </patternFill>
    </fill>
    <fill>
      <patternFill patternType="solid">
        <fgColor rgb="FF00B05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0" fontId="269" fillId="23" borderId="176" xfId="0" applyFont="1" applyFill="1" applyBorder="1" applyAlignment="1">
      <alignment horizontal="center" vertical="center" wrapText="1"/>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17" borderId="177" xfId="0" applyFont="1" applyFill="1" applyBorder="1" applyAlignment="1">
      <alignment horizontal="center" vertical="center" wrapText="1"/>
    </xf>
    <xf numFmtId="31" fontId="270" fillId="17" borderId="177" xfId="0" applyNumberFormat="1" applyFont="1" applyFill="1" applyBorder="1" applyAlignment="1">
      <alignment horizontal="center" vertical="center" wrapText="1"/>
    </xf>
    <xf numFmtId="0" fontId="0" fillId="17" borderId="0" xfId="0" applyFill="1">
      <alignment vertical="center"/>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1" fillId="26" borderId="177" xfId="0" applyFont="1" applyFill="1" applyBorder="1" applyAlignment="1">
      <alignment horizontal="center" vertical="center" wrapText="1"/>
    </xf>
    <xf numFmtId="31" fontId="271" fillId="26" borderId="177" xfId="0" applyNumberFormat="1" applyFont="1" applyFill="1" applyBorder="1" applyAlignment="1">
      <alignment horizontal="center" vertical="center" wrapText="1"/>
    </xf>
    <xf numFmtId="49" fontId="275" fillId="24" borderId="1" xfId="0" applyNumberFormat="1" applyFont="1" applyFill="1" applyBorder="1" applyAlignment="1" applyProtection="1">
      <alignment horizontal="center" vertical="center"/>
      <protection locked="0"/>
    </xf>
    <xf numFmtId="0" fontId="275" fillId="24" borderId="1" xfId="0" applyFont="1" applyFill="1" applyBorder="1" applyAlignment="1" applyProtection="1">
      <alignment horizontal="center" vertical="center"/>
      <protection locked="0"/>
    </xf>
    <xf numFmtId="31" fontId="275" fillId="24" borderId="1" xfId="0" applyNumberFormat="1" applyFont="1" applyFill="1" applyBorder="1" applyAlignment="1" applyProtection="1">
      <alignment horizontal="center" vertical="center"/>
      <protection locked="0"/>
    </xf>
    <xf numFmtId="0" fontId="277" fillId="24" borderId="1" xfId="0" applyFont="1" applyFill="1" applyBorder="1" applyAlignment="1" applyProtection="1">
      <alignment horizontal="center"/>
      <protection locked="0"/>
    </xf>
    <xf numFmtId="49" fontId="274" fillId="24" borderId="13" xfId="0" applyNumberFormat="1" applyFont="1" applyFill="1" applyBorder="1" applyAlignment="1" applyProtection="1">
      <alignment horizontal="center" vertical="center"/>
      <protection locked="0"/>
    </xf>
    <xf numFmtId="0" fontId="274" fillId="24" borderId="13" xfId="0" applyFont="1" applyFill="1" applyBorder="1" applyAlignment="1" applyProtection="1">
      <alignment horizontal="center" vertical="center"/>
      <protection locked="0"/>
    </xf>
    <xf numFmtId="31" fontId="274" fillId="24" borderId="13" xfId="0" applyNumberFormat="1" applyFont="1" applyFill="1" applyBorder="1" applyAlignment="1" applyProtection="1">
      <alignment horizontal="center" vertical="center"/>
      <protection locked="0"/>
    </xf>
    <xf numFmtId="0" fontId="277" fillId="24" borderId="13" xfId="0" applyFont="1" applyFill="1" applyBorder="1" applyAlignment="1" applyProtection="1">
      <alignment horizontal="center"/>
      <protection locked="0"/>
    </xf>
    <xf numFmtId="0" fontId="274" fillId="27" borderId="13" xfId="0" applyFont="1" applyFill="1" applyBorder="1" applyAlignment="1" applyProtection="1">
      <alignment horizontal="center"/>
      <protection locked="0"/>
    </xf>
    <xf numFmtId="0" fontId="275" fillId="28" borderId="1" xfId="0" applyFont="1" applyFill="1" applyBorder="1" applyAlignment="1" applyProtection="1">
      <alignment horizontal="center" vertical="center"/>
      <protection locked="0"/>
    </xf>
    <xf numFmtId="183" fontId="277" fillId="24" borderId="1" xfId="0" applyNumberFormat="1" applyFont="1" applyFill="1" applyBorder="1" applyAlignment="1" applyProtection="1">
      <alignment horizontal="center"/>
      <protection locked="0"/>
    </xf>
    <xf numFmtId="0" fontId="275" fillId="24" borderId="1" xfId="0" applyFont="1" applyFill="1" applyBorder="1" applyAlignment="1" applyProtection="1">
      <protection locked="0"/>
    </xf>
    <xf numFmtId="31" fontId="274" fillId="28" borderId="13" xfId="0" applyNumberFormat="1" applyFont="1" applyFill="1" applyBorder="1" applyAlignment="1" applyProtection="1">
      <alignment horizontal="center" vertical="center"/>
      <protection locked="0"/>
    </xf>
    <xf numFmtId="183" fontId="277" fillId="24" borderId="13" xfId="0" applyNumberFormat="1" applyFont="1" applyFill="1" applyBorder="1" applyAlignment="1" applyProtection="1">
      <alignment horizontal="center"/>
      <protection locked="0"/>
    </xf>
    <xf numFmtId="0" fontId="274" fillId="24" borderId="13" xfId="0" applyFont="1" applyFill="1" applyBorder="1" applyAlignment="1">
      <alignment horizontal="center"/>
    </xf>
    <xf numFmtId="0" fontId="19" fillId="28" borderId="1" xfId="0" applyNumberFormat="1" applyFont="1" applyFill="1" applyBorder="1" applyAlignment="1"/>
    <xf numFmtId="0" fontId="19" fillId="28" borderId="1" xfId="0" applyFont="1" applyFill="1" applyBorder="1" applyAlignment="1"/>
    <xf numFmtId="0" fontId="19" fillId="17" borderId="1" xfId="0" applyFont="1" applyFill="1" applyBorder="1" applyAlignment="1"/>
    <xf numFmtId="196" fontId="19" fillId="28" borderId="1" xfId="0" applyNumberFormat="1" applyFont="1" applyFill="1" applyBorder="1" applyAlignment="1"/>
    <xf numFmtId="0" fontId="19" fillId="17" borderId="1" xfId="0" applyNumberFormat="1" applyFont="1" applyFill="1" applyBorder="1" applyAlignment="1"/>
    <xf numFmtId="183" fontId="19" fillId="28" borderId="1" xfId="0" applyNumberFormat="1" applyFont="1" applyFill="1" applyBorder="1" applyAlignment="1"/>
    <xf numFmtId="0" fontId="95" fillId="0" borderId="0" xfId="0" applyFont="1">
      <alignment vertical="center"/>
    </xf>
    <xf numFmtId="0" fontId="271" fillId="12" borderId="178" xfId="0" applyFont="1" applyFill="1" applyBorder="1" applyAlignment="1">
      <alignment horizontal="center" vertical="center" wrapText="1"/>
    </xf>
    <xf numFmtId="0" fontId="128" fillId="0"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4" fillId="24" borderId="13" xfId="0" applyFont="1" applyFill="1" applyBorder="1" applyAlignment="1" applyProtection="1">
      <alignment horizontal="center" vertical="center" wrapText="1"/>
      <protection locked="0"/>
    </xf>
    <xf numFmtId="0" fontId="274" fillId="24" borderId="15" xfId="0" applyFont="1" applyFill="1" applyBorder="1" applyAlignment="1" applyProtection="1">
      <alignment horizontal="center" vertical="center" wrapText="1"/>
      <protection locked="0"/>
    </xf>
    <xf numFmtId="49" fontId="274" fillId="24" borderId="13" xfId="0" applyNumberFormat="1" applyFont="1" applyFill="1" applyBorder="1" applyAlignment="1" applyProtection="1">
      <alignment horizontal="center" vertical="center"/>
      <protection locked="0"/>
    </xf>
    <xf numFmtId="49" fontId="274" fillId="24" borderId="15" xfId="0" applyNumberFormat="1" applyFont="1" applyFill="1" applyBorder="1" applyAlignment="1" applyProtection="1">
      <alignment horizontal="center" vertical="center"/>
      <protection locked="0"/>
    </xf>
    <xf numFmtId="196" fontId="274" fillId="24" borderId="13" xfId="0" applyNumberFormat="1" applyFont="1" applyFill="1" applyBorder="1" applyAlignment="1" applyProtection="1">
      <alignment horizontal="center" vertical="center"/>
      <protection locked="0"/>
    </xf>
    <xf numFmtId="196" fontId="274" fillId="24" borderId="15" xfId="0" applyNumberFormat="1" applyFont="1" applyFill="1" applyBorder="1" applyAlignment="1" applyProtection="1">
      <alignment horizontal="center" vertical="center"/>
      <protection locked="0"/>
    </xf>
    <xf numFmtId="0" fontId="274" fillId="24" borderId="5" xfId="0" applyFont="1" applyFill="1" applyBorder="1" applyAlignment="1" applyProtection="1">
      <alignment horizontal="center" vertical="center"/>
      <protection locked="0"/>
    </xf>
    <xf numFmtId="0" fontId="274" fillId="0" borderId="54" xfId="0" applyFont="1" applyBorder="1" applyAlignment="1">
      <alignment horizontal="center" vertical="center"/>
    </xf>
    <xf numFmtId="0" fontId="274" fillId="0" borderId="3" xfId="0" applyFont="1" applyBorder="1" applyAlignment="1">
      <alignment horizontal="center" vertical="center"/>
    </xf>
    <xf numFmtId="0" fontId="274" fillId="24" borderId="13" xfId="0" applyFont="1" applyFill="1" applyBorder="1" applyAlignment="1" applyProtection="1">
      <alignment horizontal="center" vertical="center"/>
      <protection locked="0"/>
    </xf>
    <xf numFmtId="0" fontId="274" fillId="24" borderId="15" xfId="0" applyFont="1" applyFill="1" applyBorder="1" applyAlignment="1" applyProtection="1">
      <alignment horizontal="center" vertical="center"/>
      <protection locked="0"/>
    </xf>
    <xf numFmtId="0" fontId="274" fillId="27" borderId="5" xfId="0" applyFont="1" applyFill="1" applyBorder="1" applyAlignment="1" applyProtection="1">
      <alignment horizontal="center"/>
      <protection locked="0"/>
    </xf>
    <xf numFmtId="0" fontId="274" fillId="27" borderId="3" xfId="0" applyFont="1" applyFill="1" applyBorder="1" applyAlignment="1" applyProtection="1">
      <alignment horizontal="center"/>
      <protection locked="0"/>
    </xf>
    <xf numFmtId="183" fontId="274" fillId="24" borderId="13" xfId="0" applyNumberFormat="1" applyFont="1" applyFill="1" applyBorder="1" applyAlignment="1" applyProtection="1">
      <alignment horizontal="center" vertical="center"/>
      <protection locked="0"/>
    </xf>
    <xf numFmtId="183" fontId="274" fillId="24" borderId="15" xfId="0" applyNumberFormat="1" applyFont="1" applyFill="1" applyBorder="1" applyAlignment="1" applyProtection="1">
      <alignment horizontal="center" vertical="center"/>
      <protection locked="0"/>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54" fillId="29" borderId="5" xfId="1" applyNumberFormat="1" applyFont="1" applyFill="1" applyBorder="1" applyAlignment="1" applyProtection="1">
      <alignment horizontal="center" vertical="center"/>
    </xf>
    <xf numFmtId="177" fontId="47" fillId="29"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88987</xdr:colOff>
      <xdr:row>41</xdr:row>
      <xdr:rowOff>69677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233987" cy="7099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9579;&#24196;&#36335;27&#21495;-&#26446;&#35799;&#38678;20241010-1529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2380355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2019年12月20日</v>
      </c>
    </row>
    <row r="13" spans="1:2" s="1203" customFormat="1">
      <c r="A13" s="1201" t="s">
        <v>529</v>
      </c>
      <c r="B13" s="1202" t="str">
        <f>'预评函-1'!A18</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6" sqref="I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42" t="s">
        <v>2581</v>
      </c>
      <c r="J2" s="3542"/>
      <c r="K2" s="3542"/>
      <c r="L2" s="3542"/>
      <c r="M2" s="3542"/>
      <c r="N2" s="3542"/>
      <c r="O2" s="3542"/>
      <c r="P2" s="3542"/>
      <c r="Q2" s="3542"/>
      <c r="R2" s="3542"/>
    </row>
    <row r="3" spans="1:18">
      <c r="A3" s="3019" t="s">
        <v>2502</v>
      </c>
      <c r="B3" s="3020">
        <v>43819</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c r="C5" s="3022">
        <f>ROUNDDOWN(MIN((B5-B3)/365,A5),2)</f>
        <v>-120.05</v>
      </c>
      <c r="D5" s="3024">
        <f>IF(ISERROR(ROUND(POWER(1+E5,A5-C5)*(POWER(1+E5,C5)-1)/(POWER(1+E5,A5)-1),3)),0,ROUND(POWER(1+E5,A5-C5)*(POWER(1+E5,C5)-1)/(POWER(1+E5,A5)-1),4))</f>
        <v>-138.7878</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c r="C6" s="3022">
        <f>ROUNDDOWN(MIN((B6-B3)/365,A6),2)</f>
        <v>-120.05</v>
      </c>
      <c r="D6" s="3024">
        <f>IF(ISERROR(ROUND(POWER(1+E6,A6-C6)*(POWER(1+E6,C6)-1)/(POWER(1+E6,A6)-1),3)),0,ROUND(POWER(1+E6,A6-C6)*(POWER(1+E6,C6)-1)/(POWER(1+E6,A6)-1),4))</f>
        <v>-127.8732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f>项目基本情况!C13</f>
        <v>70858</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E44" sqref="E44"/>
    </sheetView>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3" t="str">
        <f>IF(B10="北京市","北京市",C10)&amp;F10&amp;IF(结果表!G1="在建","出让国有建设用地使用权及在建建筑物",IF(结果表!G1="土地","出让国有建设用地使用权",))&amp;B9&amp;"预评估"</f>
        <v>北京市房地产市场价值预评估</v>
      </c>
      <c r="C1" s="3544"/>
      <c r="D1" s="3544"/>
      <c r="E1" s="3544"/>
      <c r="F1" s="3544"/>
      <c r="G1" s="3544"/>
      <c r="H1" s="3544"/>
      <c r="I1" s="354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45546</v>
      </c>
      <c r="C3" s="2374" t="s">
        <v>2171</v>
      </c>
      <c r="D3" s="2373">
        <v>43819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3384</v>
      </c>
      <c r="C8" s="2390"/>
      <c r="D8" s="3546" t="s">
        <v>2177</v>
      </c>
      <c r="E8" s="2391"/>
      <c r="F8" s="2392"/>
      <c r="G8" s="2662"/>
      <c r="H8" s="2662"/>
      <c r="I8" s="2662"/>
      <c r="J8" s="2438"/>
      <c r="K8" s="2613"/>
      <c r="L8" s="2612"/>
      <c r="M8" s="2612"/>
      <c r="N8" s="2438"/>
      <c r="O8" s="2449"/>
      <c r="P8" s="2438"/>
      <c r="Q8" s="2438"/>
      <c r="R8" s="2438"/>
    </row>
    <row r="9" spans="1:30" ht="13.5" thickBot="1">
      <c r="A9" s="2393" t="s">
        <v>2178</v>
      </c>
      <c r="B9" s="2394" t="s">
        <v>3385</v>
      </c>
      <c r="C9" s="2395"/>
      <c r="D9" s="3547"/>
      <c r="E9" s="2394"/>
      <c r="F9" s="2396"/>
      <c r="G9" s="2664"/>
      <c r="H9" s="2664"/>
      <c r="I9" s="2664"/>
      <c r="J9" s="2438"/>
      <c r="K9" s="2615"/>
      <c r="L9" s="2612"/>
      <c r="M9" s="2612"/>
      <c r="N9" s="2438"/>
      <c r="O9" s="2449"/>
      <c r="P9" s="2438"/>
      <c r="Q9" s="2438"/>
      <c r="R9" s="2438"/>
    </row>
    <row r="10" spans="1:30" ht="13.5" thickTop="1">
      <c r="A10" s="2397" t="s">
        <v>2179</v>
      </c>
      <c r="B10" s="2398" t="s">
        <v>3386</v>
      </c>
      <c r="C10" s="3454"/>
      <c r="D10" s="2382"/>
      <c r="E10" s="2399" t="s">
        <v>2180</v>
      </c>
      <c r="F10" s="2665"/>
      <c r="G10" s="2666"/>
      <c r="H10" s="2667"/>
      <c r="I10" s="2668"/>
      <c r="J10" s="2438"/>
      <c r="K10" s="2615"/>
      <c r="L10" s="2612"/>
      <c r="M10" s="2612"/>
      <c r="N10" s="2438"/>
      <c r="O10" s="2449"/>
      <c r="P10" s="2438"/>
      <c r="Q10" s="2438"/>
      <c r="R10" s="2438"/>
    </row>
    <row r="11" spans="1:30">
      <c r="A11" s="2400" t="s">
        <v>2181</v>
      </c>
      <c r="B11" s="2401" t="s">
        <v>3387</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2577</v>
      </c>
      <c r="J12" s="3061"/>
      <c r="K12" s="2612"/>
      <c r="L12" s="2612"/>
      <c r="M12" s="2438"/>
      <c r="N12" s="2449"/>
      <c r="O12" s="2438"/>
      <c r="P12" s="2438"/>
      <c r="Q12" s="2438"/>
      <c r="AD12" s="1745"/>
    </row>
    <row r="13" spans="1:30">
      <c r="A13" s="3422" t="s">
        <v>3333</v>
      </c>
      <c r="B13" s="2406" t="s">
        <v>2190</v>
      </c>
      <c r="C13" s="856">
        <v>70858</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53"/>
      <c r="C16" s="3554"/>
      <c r="D16" s="3555"/>
      <c r="E16" s="2412" t="s">
        <v>2194</v>
      </c>
      <c r="F16" s="3556"/>
      <c r="G16" s="3557"/>
      <c r="H16" s="3557"/>
      <c r="I16" s="3558"/>
      <c r="J16" s="2438"/>
      <c r="K16" s="2616"/>
      <c r="L16" s="2450"/>
      <c r="M16" s="2450"/>
      <c r="N16" s="2508"/>
      <c r="O16" s="2450"/>
      <c r="P16" s="2508"/>
      <c r="Q16" s="2438"/>
      <c r="R16" s="2438"/>
    </row>
    <row r="17" spans="1:28">
      <c r="A17" s="313" t="s">
        <v>2195</v>
      </c>
      <c r="B17" s="302" t="s">
        <v>2196</v>
      </c>
      <c r="C17" s="8">
        <f>'数据-汇总表'!E3</f>
        <v>62.1</v>
      </c>
      <c r="D17" s="2322" t="s">
        <v>2197</v>
      </c>
      <c r="E17" s="3559" t="s">
        <v>2198</v>
      </c>
      <c r="F17" s="3560"/>
      <c r="G17" s="3560"/>
      <c r="H17" s="3560"/>
      <c r="I17" s="356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62" t="s">
        <v>2202</v>
      </c>
      <c r="F18" s="3563"/>
      <c r="G18" s="3563"/>
      <c r="H18" s="3563"/>
      <c r="I18" s="3564"/>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49" t="s">
        <v>2206</v>
      </c>
      <c r="C20" s="3550"/>
      <c r="D20" s="3551" t="s">
        <v>2207</v>
      </c>
      <c r="E20" s="3552"/>
      <c r="F20" s="2646" t="s">
        <v>1056</v>
      </c>
      <c r="G20" s="2663"/>
      <c r="H20" s="2663"/>
      <c r="I20" s="2663"/>
      <c r="J20" s="2438"/>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7"/>
      <c r="B30" s="302" t="s">
        <v>2218</v>
      </c>
      <c r="C30" s="3568"/>
      <c r="D30" s="3569"/>
      <c r="E30" s="2663"/>
      <c r="F30" s="2663"/>
      <c r="G30" s="2663"/>
      <c r="H30" s="2663"/>
      <c r="I30" s="2663"/>
      <c r="J30" s="2438"/>
      <c r="K30" s="2615"/>
      <c r="L30" s="2612"/>
      <c r="M30" s="2612"/>
      <c r="N30" s="2438"/>
      <c r="O30" s="2449"/>
      <c r="P30" s="2438"/>
      <c r="Q30" s="2438"/>
      <c r="R30" s="2438"/>
      <c r="S30" s="2438"/>
      <c r="T30" s="2438"/>
      <c r="U30" s="2438"/>
      <c r="V30" s="2438"/>
    </row>
    <row r="31" spans="1:28">
      <c r="A31" s="3570"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7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7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65" t="s">
        <v>2228</v>
      </c>
      <c r="T34" s="2427" t="str">
        <f>NUMBERSTRING(7-K34,1)&amp;"通"</f>
        <v>七通</v>
      </c>
      <c r="U34" s="2438"/>
      <c r="V34" s="2438"/>
    </row>
    <row r="35" spans="1:30">
      <c r="A35" s="2428"/>
      <c r="B35" s="3572" t="s">
        <v>2229</v>
      </c>
      <c r="C35" s="3572"/>
      <c r="D35" s="3572"/>
      <c r="E35" s="357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2580</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296</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156</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62.1</v>
      </c>
      <c r="H5" s="13">
        <f t="shared" ref="H5:AT5" si="0">SUM(H13:H656)</f>
        <v>62.1</v>
      </c>
      <c r="I5" s="13">
        <f t="shared" si="0"/>
        <v>62.1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62.1</v>
      </c>
      <c r="BA5" s="15">
        <f t="shared" si="1"/>
        <v>62.1</v>
      </c>
      <c r="BB5" s="15">
        <f t="shared" si="1"/>
        <v>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0</v>
      </c>
      <c r="F13" s="29"/>
      <c r="G13" s="30">
        <f>H13+AC13+AT13</f>
        <v>62.1</v>
      </c>
      <c r="H13" s="17">
        <f>SUMIF(I$12:AB$12,"总值",I13:AB13)</f>
        <v>62.1</v>
      </c>
      <c r="I13" s="1626">
        <v>62.1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62.1</v>
      </c>
      <c r="BA13" s="13">
        <f>SUM(BB13:BK13)</f>
        <v>62.1</v>
      </c>
      <c r="BB13" s="13">
        <f>IF($D13="是",I13-J13,0)</f>
        <v>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5" sqref="K2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2" t="s">
        <v>1131</v>
      </c>
      <c r="B2" s="3582"/>
      <c r="C2" s="3582"/>
      <c r="D2" s="796" t="s">
        <v>1107</v>
      </c>
      <c r="E2" s="1639" t="s">
        <v>1108</v>
      </c>
      <c r="F2" s="2658"/>
      <c r="G2" s="2649"/>
      <c r="H2" s="2650"/>
      <c r="I2" s="2325" t="s">
        <v>1132</v>
      </c>
      <c r="J2" s="2658"/>
      <c r="K2" s="2658"/>
      <c r="L2" s="2658"/>
      <c r="M2" s="2658"/>
      <c r="N2" s="2660"/>
      <c r="O2" s="2658"/>
      <c r="P2" s="2658"/>
    </row>
    <row r="3" spans="1:16" ht="15.75" thickBot="1">
      <c r="A3" s="3583" t="s">
        <v>1105</v>
      </c>
      <c r="B3" s="3583"/>
      <c r="C3" s="3583"/>
      <c r="D3" s="43">
        <f>'数据-基础表'!AY6</f>
        <v>0</v>
      </c>
      <c r="E3" s="43">
        <f>'数据-基础表'!AZ5</f>
        <v>62.1</v>
      </c>
      <c r="F3" s="2658"/>
      <c r="G3" s="1145"/>
      <c r="H3" s="1026" t="s">
        <v>1106</v>
      </c>
      <c r="I3" s="855" t="e">
        <f>ROUND('数据-基础表'!B3/'数据-基础表'!A3,2)</f>
        <v>#DIV/0!</v>
      </c>
      <c r="J3" s="2658"/>
      <c r="K3" s="2658"/>
      <c r="L3" s="2658"/>
      <c r="M3" s="2658"/>
      <c r="N3" s="2660"/>
      <c r="O3" s="2658"/>
      <c r="P3" s="2658"/>
    </row>
    <row r="4" spans="1:16" ht="15">
      <c r="A4" s="3584"/>
      <c r="B4" s="3585"/>
      <c r="C4" s="358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87" t="s">
        <v>1110</v>
      </c>
      <c r="C5" s="3587"/>
      <c r="D5" s="45">
        <f>ROUND($D$3*E5/$E$3,2)</f>
        <v>0</v>
      </c>
      <c r="E5" s="46">
        <f>SUMIF('数据-基础表'!$11:$11,"住宅",'数据-基础表'!$5:$5)</f>
        <v>62.1</v>
      </c>
      <c r="F5" s="2658"/>
      <c r="G5" s="1145"/>
      <c r="H5" s="1026" t="s">
        <v>1106</v>
      </c>
      <c r="I5" s="855" t="e">
        <f>ROUND(E31/D31,2)</f>
        <v>#DIV/0!</v>
      </c>
      <c r="J5" s="2658"/>
      <c r="K5" s="2658"/>
      <c r="L5" s="2658"/>
      <c r="M5" s="2658"/>
      <c r="N5" s="2658"/>
      <c r="O5" s="2658"/>
      <c r="P5" s="2658"/>
    </row>
    <row r="6" spans="1:16" ht="15" thickBot="1">
      <c r="A6" s="1644"/>
      <c r="B6" s="3587" t="s">
        <v>1111</v>
      </c>
      <c r="C6" s="3587"/>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79"/>
      <c r="B7" s="3580"/>
      <c r="C7" s="3581"/>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62.1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62.1</v>
      </c>
      <c r="F16" s="2658"/>
      <c r="G16" s="2659"/>
      <c r="H16" s="1648" t="s">
        <v>1135</v>
      </c>
      <c r="I16" s="1649"/>
      <c r="J16" s="1139"/>
      <c r="K16" s="3576" t="s">
        <v>1135</v>
      </c>
      <c r="L16" s="3577"/>
      <c r="M16" s="3577"/>
      <c r="N16" s="3577"/>
      <c r="O16" s="3577"/>
      <c r="P16" s="3578"/>
    </row>
    <row r="17" spans="1:19" ht="15">
      <c r="A17" s="1650" t="s">
        <v>1136</v>
      </c>
      <c r="B17" s="1651" t="s">
        <v>1137</v>
      </c>
      <c r="C17" s="1652" t="s">
        <v>1138</v>
      </c>
      <c r="D17" s="1653" t="s">
        <v>1126</v>
      </c>
      <c r="E17" s="1654" t="s">
        <v>1127</v>
      </c>
      <c r="F17" s="1655"/>
      <c r="G17" s="1656"/>
      <c r="H17" s="1657" t="s">
        <v>1139</v>
      </c>
      <c r="I17" s="1658" t="s">
        <v>1124</v>
      </c>
      <c r="J17" s="1139"/>
      <c r="K17" s="3573" t="s">
        <v>1140</v>
      </c>
      <c r="L17" s="3574"/>
      <c r="M17" s="3575"/>
      <c r="N17" s="3573" t="s">
        <v>1141</v>
      </c>
      <c r="O17" s="3574"/>
      <c r="P17" s="357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3390</v>
      </c>
      <c r="D19" s="45">
        <f>ROUND($D$3*E19/$E$3,2)</f>
        <v>0</v>
      </c>
      <c r="E19" s="53">
        <f t="shared" ref="E19:E26" si="1">SUM(F19:G19)</f>
        <v>62.1</v>
      </c>
      <c r="F19" s="2794">
        <f>'数据-基础表'!I13</f>
        <v>62.1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62.1</v>
      </c>
      <c r="F27" s="1140">
        <f>IF(SUM(F19:F26)=E8,SUM(F19:F26),"地上面积有误")</f>
        <v>62.1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62.1</v>
      </c>
      <c r="F31" s="677">
        <f>F27+F30</f>
        <v>62.1</v>
      </c>
      <c r="G31" s="678">
        <f>G27+G30</f>
        <v>0</v>
      </c>
      <c r="H31" s="2658"/>
      <c r="I31" s="2658"/>
      <c r="J31" s="2658"/>
      <c r="K31" s="2658"/>
      <c r="L31" s="2658"/>
      <c r="M31" s="2658"/>
      <c r="N31" s="2658"/>
      <c r="O31" s="2658"/>
      <c r="P31" s="2658"/>
    </row>
    <row r="32" spans="1:19">
      <c r="A32" s="1643"/>
      <c r="B32" s="1643" t="s">
        <v>1159</v>
      </c>
      <c r="C32" s="1643"/>
      <c r="D32" s="1643"/>
      <c r="E32" s="1053">
        <f>SUMIF(C19:C26,"*住宅*",E19:E26)</f>
        <v>62.1</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43819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3389</v>
      </c>
      <c r="D6" s="858">
        <f>SUMIF(项目基本情况!C$12:I$12,C6,项目基本情况!C$14:I$14)</f>
        <v>70</v>
      </c>
      <c r="E6" s="857">
        <f>IF(B6="","",SUMIF(项目基本情况!C$12:I$12,C6,项目基本情况!C$13:I$13))</f>
        <v>70858</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62.1</v>
      </c>
      <c r="L6" s="3858">
        <v>3500</v>
      </c>
      <c r="M6" s="67">
        <f t="shared" ref="M6:M14" si="0">ROUND(K6*L6/10000,0)</f>
        <v>22</v>
      </c>
      <c r="N6" s="731">
        <v>0.6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1.4999999999999999E-2</v>
      </c>
      <c r="W6" s="70">
        <v>0.1</v>
      </c>
      <c r="X6" s="1040"/>
      <c r="Y6" s="71">
        <f>N6</f>
        <v>0.6</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3449</v>
      </c>
      <c r="AO6" s="52">
        <f ca="1">SUMIF(INDIRECT("'"&amp;AN6&amp;"'"&amp;"!A:A"),"总价",INDIRECT("'"&amp;AN6&amp;"'"&amp;"!B:B"))</f>
        <v>-27.658000000000001</v>
      </c>
      <c r="AP6" s="1716">
        <f>IF(C6="住宅",K6*L6,0)</f>
        <v>217350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62.1</v>
      </c>
      <c r="L16" s="93">
        <f>ROUND(M16*10000/SUM(K6:K14),0)</f>
        <v>3543</v>
      </c>
      <c r="M16" s="93">
        <f>SUM(M6:M14)</f>
        <v>22</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ROUND(1-(2019-1987)/60,2)</f>
        <v>0.47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3576</v>
      </c>
      <c r="B40" s="1078">
        <f ca="1">IF(A40="利息：取LPR",存贷款利率!G1,存贷款利率!G1+C40)</f>
        <v>4.7500000000000001E-2</v>
      </c>
      <c r="C40" s="2813">
        <v>6.0000000000000001E-3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88" t="s">
        <v>2286</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62.1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43819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417</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项目基本情况!C17</f>
        <v>62.1</v>
      </c>
      <c r="C14" s="2517"/>
      <c r="D14" s="2517">
        <f ca="1">结果表!G19</f>
        <v>417</v>
      </c>
      <c r="E14" s="2517">
        <f ca="1">ROUND(D14*10000/B14,0)</f>
        <v>67150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3389</v>
      </c>
      <c r="D1" s="1747"/>
      <c r="E1" s="1747"/>
      <c r="F1" s="1749" t="s">
        <v>1263</v>
      </c>
      <c r="G1" s="1561"/>
      <c r="H1" s="1750" t="str">
        <f>IF(G1="现房","——","估价对象范围")</f>
        <v>估价对象范围</v>
      </c>
      <c r="I1" s="1751"/>
    </row>
    <row r="2" spans="1:12" ht="21.75" customHeight="1" thickBot="1">
      <c r="A2" s="3657" t="str">
        <f>项目基本情况!S2</f>
        <v>北京市房地产</v>
      </c>
      <c r="B2" s="3658"/>
      <c r="C2" s="3658"/>
      <c r="D2" s="3658"/>
      <c r="E2" s="3658"/>
      <c r="F2" s="3658"/>
      <c r="G2" s="3658"/>
      <c r="H2" s="3658"/>
      <c r="I2" s="3659"/>
    </row>
    <row r="3" spans="1:12" ht="12.75">
      <c r="A3" s="3661" t="s">
        <v>1264</v>
      </c>
      <c r="B3" s="3662"/>
      <c r="C3" s="3662"/>
      <c r="D3" s="3662"/>
      <c r="E3" s="3662"/>
      <c r="F3" s="3662"/>
      <c r="G3" s="3662"/>
      <c r="H3" s="3662"/>
      <c r="I3" s="3662"/>
    </row>
    <row r="4" spans="1:12" ht="14.25">
      <c r="A4" s="1754" t="s">
        <v>1265</v>
      </c>
      <c r="B4" s="1755" t="s">
        <v>1266</v>
      </c>
      <c r="C4" s="1756" t="s">
        <v>3458</v>
      </c>
      <c r="D4" s="1756" t="s">
        <v>3396</v>
      </c>
      <c r="E4" s="3666" t="s">
        <v>1267</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hidden="1">
      <c r="A5" s="3605" t="s">
        <v>1268</v>
      </c>
      <c r="B5" s="3660">
        <v>25</v>
      </c>
      <c r="C5" s="3663">
        <v>5</v>
      </c>
      <c r="D5" s="3651">
        <f>10-C5</f>
        <v>5</v>
      </c>
      <c r="E5" s="131" t="s">
        <v>1269</v>
      </c>
      <c r="F5" s="1757"/>
      <c r="G5" s="1757"/>
      <c r="H5" s="1757"/>
      <c r="I5" s="1373"/>
    </row>
    <row r="6" spans="1:12" ht="12.75" hidden="1">
      <c r="A6" s="3605"/>
      <c r="B6" s="3660"/>
      <c r="C6" s="3665"/>
      <c r="D6" s="3651"/>
      <c r="E6" s="131" t="s">
        <v>1270</v>
      </c>
      <c r="F6" s="1757"/>
      <c r="G6" s="1757"/>
      <c r="H6" s="1757"/>
      <c r="I6" s="1373"/>
    </row>
    <row r="7" spans="1:12" ht="12.75" hidden="1">
      <c r="A7" s="3605"/>
      <c r="B7" s="3660"/>
      <c r="C7" s="3664"/>
      <c r="D7" s="3651"/>
      <c r="E7" s="131" t="s">
        <v>1271</v>
      </c>
      <c r="F7" s="1757"/>
      <c r="G7" s="1757"/>
      <c r="H7" s="1757"/>
      <c r="I7" s="1373"/>
    </row>
    <row r="8" spans="1:12" ht="12.75" hidden="1">
      <c r="A8" s="3605" t="s">
        <v>1272</v>
      </c>
      <c r="B8" s="3660">
        <v>15</v>
      </c>
      <c r="C8" s="3663"/>
      <c r="D8" s="3651"/>
      <c r="E8" s="131" t="s">
        <v>1273</v>
      </c>
      <c r="F8" s="1757"/>
      <c r="G8" s="1757"/>
      <c r="H8" s="1757"/>
      <c r="I8" s="1373"/>
    </row>
    <row r="9" spans="1:12" ht="12.75" hidden="1">
      <c r="A9" s="3605"/>
      <c r="B9" s="3660"/>
      <c r="C9" s="3664"/>
      <c r="D9" s="3651"/>
      <c r="E9" s="131" t="s">
        <v>1274</v>
      </c>
      <c r="F9" s="1757"/>
      <c r="G9" s="1757"/>
      <c r="H9" s="1757"/>
      <c r="I9" s="1373"/>
    </row>
    <row r="10" spans="1:12" ht="12.75" hidden="1">
      <c r="A10" s="3605" t="s">
        <v>1275</v>
      </c>
      <c r="B10" s="3660">
        <v>15</v>
      </c>
      <c r="C10" s="3663"/>
      <c r="D10" s="3651"/>
      <c r="E10" s="131" t="s">
        <v>1276</v>
      </c>
      <c r="F10" s="1757"/>
      <c r="G10" s="1757"/>
      <c r="H10" s="1757"/>
      <c r="I10" s="1373"/>
    </row>
    <row r="11" spans="1:12" ht="12.75" hidden="1">
      <c r="A11" s="3605"/>
      <c r="B11" s="3660"/>
      <c r="C11" s="3664"/>
      <c r="D11" s="3651"/>
      <c r="E11" s="131" t="s">
        <v>1277</v>
      </c>
      <c r="F11" s="1757"/>
      <c r="G11" s="1757"/>
      <c r="H11" s="1757"/>
      <c r="I11" s="1373"/>
    </row>
    <row r="12" spans="1:12" ht="12.75" hidden="1">
      <c r="A12" s="3605" t="s">
        <v>1278</v>
      </c>
      <c r="B12" s="3660">
        <v>15</v>
      </c>
      <c r="C12" s="3663"/>
      <c r="D12" s="3651"/>
      <c r="E12" s="131" t="s">
        <v>1279</v>
      </c>
      <c r="F12" s="1757"/>
      <c r="G12" s="1757"/>
      <c r="H12" s="1757"/>
      <c r="I12" s="1373"/>
    </row>
    <row r="13" spans="1:12" ht="12.75" hidden="1">
      <c r="A13" s="3605"/>
      <c r="B13" s="3660"/>
      <c r="C13" s="3664"/>
      <c r="D13" s="3651"/>
      <c r="E13" s="131" t="s">
        <v>1280</v>
      </c>
      <c r="F13" s="1757"/>
      <c r="G13" s="1757"/>
      <c r="H13" s="1757"/>
      <c r="I13" s="1373"/>
    </row>
    <row r="14" spans="1:12" ht="12.75" hidden="1">
      <c r="A14" s="3605" t="s">
        <v>1281</v>
      </c>
      <c r="B14" s="3660">
        <v>30</v>
      </c>
      <c r="C14" s="3663"/>
      <c r="D14" s="3651"/>
      <c r="E14" s="131" t="s">
        <v>1282</v>
      </c>
      <c r="F14" s="1757"/>
      <c r="G14" s="1757"/>
      <c r="H14" s="1757"/>
      <c r="I14" s="1373"/>
    </row>
    <row r="15" spans="1:12" ht="12.75" hidden="1">
      <c r="A15" s="3605"/>
      <c r="B15" s="3660"/>
      <c r="C15" s="3665"/>
      <c r="D15" s="3651"/>
      <c r="E15" s="131" t="s">
        <v>1283</v>
      </c>
      <c r="F15" s="1757"/>
      <c r="G15" s="1757"/>
      <c r="H15" s="1757"/>
      <c r="I15" s="1373"/>
    </row>
    <row r="16" spans="1:12" ht="12.75" hidden="1">
      <c r="A16" s="3605"/>
      <c r="B16" s="3660"/>
      <c r="C16" s="3664"/>
      <c r="D16" s="365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82" t="s">
        <v>2131</v>
      </c>
      <c r="F18" s="3683"/>
      <c r="G18" s="3683"/>
      <c r="H18" s="3683"/>
      <c r="I18" s="3683"/>
      <c r="K18" s="302" t="s">
        <v>1289</v>
      </c>
      <c r="L18" s="302">
        <f>IF(C1="",'数据-汇总表'!E3,SUMIF(项目类型,C1,'数据-汇总表'!E17:E26)+SUMIF(项目类型,C1,'数据-汇总表'!I17:I26))</f>
        <v>62.1</v>
      </c>
      <c r="M18" s="302">
        <f>IF(C1="",'数据-汇总表'!E3,SUMIF(项目类型,C1,'数据-汇总表'!E17:E26))</f>
        <v>62.1</v>
      </c>
    </row>
    <row r="19" spans="1:36" ht="15">
      <c r="A19" s="1761" t="s">
        <v>1290</v>
      </c>
      <c r="B19" s="1762" t="s">
        <v>1291</v>
      </c>
      <c r="C19" s="134">
        <f ca="1">SUMIF(INDIRECT("'"&amp;C4&amp;"'"&amp;"!A:A"),结果表!B19,INDIRECT("'"&amp;C4&amp;"'"&amp;"!B:B"))</f>
        <v>388.93340000000001</v>
      </c>
      <c r="D19" s="135">
        <f ca="1">SUMIF(INDIRECT("'"&amp;D4&amp;"'"&amp;"!A:A"),结果表!B19,INDIRECT("'"&amp;D4&amp;"'"&amp;"!B:B"))</f>
        <v>445.30669999999998</v>
      </c>
      <c r="E19" s="1761" t="s">
        <v>1292</v>
      </c>
      <c r="F19" s="1762" t="s">
        <v>1291</v>
      </c>
      <c r="G19" s="136">
        <f ca="1">ROUND(C19*$C$18+D19*$D$18,0)</f>
        <v>417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62630</v>
      </c>
      <c r="D20" s="138">
        <f ca="1">SUMIF(INDIRECT("'"&amp;D4&amp;"'"&amp;"!A:A"),结果表!B20,INDIRECT("'"&amp;D4&amp;"'"&amp;"!B:B"))</f>
        <v>71708</v>
      </c>
      <c r="E20" s="1764"/>
      <c r="F20" s="1026" t="s">
        <v>1295</v>
      </c>
      <c r="G20" s="139">
        <f ca="1">ROUND(C20*$C$18+D20*$D$18,0)</f>
        <v>67169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0.14494332448691716</v>
      </c>
      <c r="E22" s="129"/>
      <c r="F22" s="129"/>
      <c r="G22" s="129">
        <f ca="1">G20*'数据-汇总表'!E19</f>
        <v>4171194.9</v>
      </c>
      <c r="H22" s="129"/>
      <c r="I22" s="129"/>
    </row>
    <row r="23" spans="1:36" ht="13.5" thickBot="1">
      <c r="A23" s="1747"/>
      <c r="B23" s="1747"/>
      <c r="C23" s="1747"/>
      <c r="D23" s="1747"/>
      <c r="E23" s="129"/>
      <c r="F23" s="129"/>
      <c r="G23" s="129"/>
      <c r="H23" s="129"/>
      <c r="I23" s="129"/>
    </row>
    <row r="24" spans="1:36" ht="14.25">
      <c r="A24" s="3675" t="s">
        <v>1299</v>
      </c>
      <c r="B24" s="1762" t="s">
        <v>1291</v>
      </c>
      <c r="C24" s="136">
        <f>IF(B30=0,0,D30)</f>
        <v>0</v>
      </c>
      <c r="D24" s="1769"/>
      <c r="E24" s="129"/>
      <c r="F24" s="129"/>
      <c r="G24" s="129"/>
      <c r="H24" s="129"/>
      <c r="I24" s="129"/>
    </row>
    <row r="25" spans="1:36" ht="14.25">
      <c r="A25" s="36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67169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52" t="s">
        <v>1312</v>
      </c>
      <c r="B36" s="1787" t="s">
        <v>1313</v>
      </c>
      <c r="C36" s="145"/>
      <c r="D36" s="1788"/>
      <c r="E36" s="1789"/>
      <c r="F36" s="1790"/>
      <c r="G36" s="129"/>
      <c r="H36" s="129"/>
      <c r="I36" s="129"/>
    </row>
    <row r="37" spans="1:15" ht="15.75" thickBot="1">
      <c r="A37" s="3653"/>
      <c r="B37" s="1674" t="s">
        <v>1314</v>
      </c>
      <c r="C37" s="147"/>
      <c r="D37" s="1139"/>
      <c r="E37" s="1139"/>
      <c r="F37" s="1790"/>
      <c r="G37" s="129"/>
      <c r="H37" s="129"/>
      <c r="I37" s="129"/>
    </row>
    <row r="38" spans="1:15" ht="15.75" thickBot="1">
      <c r="A38" s="365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2" t="s">
        <v>1326</v>
      </c>
      <c r="B45" s="3673"/>
      <c r="C45" s="3674"/>
      <c r="D45" s="155" t="e">
        <f ca="1">ROUND(H101*F45,0)</f>
        <v>#REF!</v>
      </c>
      <c r="E45" s="156" t="s">
        <v>1327</v>
      </c>
      <c r="F45" s="157">
        <v>1</v>
      </c>
      <c r="G45" s="158" t="s">
        <v>1328</v>
      </c>
      <c r="H45" s="129"/>
      <c r="I45" s="129"/>
      <c r="J45" s="3592" t="s">
        <v>1329</v>
      </c>
      <c r="K45" s="3592"/>
      <c r="L45" s="3592"/>
      <c r="M45" s="3592"/>
      <c r="N45" s="3592"/>
      <c r="O45" s="3592"/>
    </row>
    <row r="46" spans="1:15" ht="14.25" customHeight="1">
      <c r="A46" s="3669" t="s">
        <v>1330</v>
      </c>
      <c r="B46" s="3670"/>
      <c r="C46" s="3670"/>
      <c r="D46" s="3670"/>
      <c r="E46" s="3670"/>
      <c r="F46" s="3670"/>
      <c r="G46" s="3671"/>
      <c r="H46" s="1806"/>
      <c r="I46" s="159"/>
      <c r="J46" s="2522">
        <v>1</v>
      </c>
      <c r="K46" s="3593" t="s">
        <v>1331</v>
      </c>
      <c r="L46" s="3593"/>
      <c r="M46" s="3594"/>
      <c r="N46" s="3594"/>
      <c r="O46" s="3594"/>
    </row>
    <row r="47" spans="1:15" ht="12" customHeight="1">
      <c r="A47" s="160" t="s">
        <v>1332</v>
      </c>
      <c r="B47" s="161"/>
      <c r="C47" s="162"/>
      <c r="D47" s="1087" t="s">
        <v>1333</v>
      </c>
      <c r="E47" s="302" t="s">
        <v>1334</v>
      </c>
      <c r="F47" s="163" t="s">
        <v>1335</v>
      </c>
      <c r="G47" s="2545" t="s">
        <v>1336</v>
      </c>
      <c r="H47" s="2546"/>
      <c r="I47" s="159"/>
      <c r="J47" s="2522">
        <v>2</v>
      </c>
      <c r="K47" s="3593" t="s">
        <v>1337</v>
      </c>
      <c r="L47" s="3593"/>
      <c r="M47" s="3595">
        <f>'数据-取费表'!B2</f>
        <v>43819</v>
      </c>
      <c r="N47" s="3595"/>
      <c r="O47" s="3595"/>
    </row>
    <row r="48" spans="1:15" ht="25.5">
      <c r="A48" s="3655" t="s">
        <v>1338</v>
      </c>
      <c r="B48" s="3656"/>
      <c r="C48" s="3656"/>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93" t="s">
        <v>1340</v>
      </c>
      <c r="L48" s="3593"/>
      <c r="M48" s="3596" t="e">
        <f ca="1">H101</f>
        <v>#REF!</v>
      </c>
      <c r="N48" s="3596"/>
      <c r="O48" s="3596"/>
    </row>
    <row r="49" spans="1:35" ht="25.5" customHeight="1">
      <c r="A49" s="2333" t="s">
        <v>1341</v>
      </c>
      <c r="B49" s="3641" t="s">
        <v>1342</v>
      </c>
      <c r="C49" s="3641"/>
      <c r="D49" s="1590">
        <v>0</v>
      </c>
      <c r="E49" s="324" t="s">
        <v>1343</v>
      </c>
      <c r="F49" s="2423" t="s">
        <v>28</v>
      </c>
      <c r="G49" s="3624"/>
      <c r="H49" s="2310" t="s">
        <v>2134</v>
      </c>
      <c r="I49" s="2311"/>
      <c r="J49" s="2522">
        <v>4</v>
      </c>
      <c r="K49" s="3593" t="str">
        <f>IF(项目基本情况!E8="房地产抵押价值","房地产抵押价值","抵押担保权已注销时的房地产抵押价值")</f>
        <v>抵押担保权已注销时的房地产抵押价值</v>
      </c>
      <c r="L49" s="3593"/>
      <c r="M49" s="3596" t="str">
        <f>IF(项目基本情况!E8="房地产抵押价值",H107,H109)</f>
        <v>——</v>
      </c>
      <c r="N49" s="3596"/>
      <c r="O49" s="3596"/>
    </row>
    <row r="50" spans="1:35" ht="25.5" customHeight="1">
      <c r="A50" s="2550"/>
      <c r="B50" s="3641" t="s">
        <v>1344</v>
      </c>
      <c r="C50" s="3641"/>
      <c r="D50" s="2551"/>
      <c r="E50" s="332"/>
      <c r="F50" s="2423"/>
      <c r="G50" s="3625"/>
      <c r="H50" s="2312" t="s">
        <v>2135</v>
      </c>
      <c r="I50" s="2311"/>
      <c r="J50" s="3592" t="s">
        <v>1345</v>
      </c>
      <c r="K50" s="3592"/>
      <c r="L50" s="3592"/>
      <c r="M50" s="3592"/>
      <c r="N50" s="3592"/>
      <c r="O50" s="3592"/>
    </row>
    <row r="51" spans="1:35" ht="20.45" customHeight="1">
      <c r="A51" s="2552"/>
      <c r="B51" s="3641" t="s">
        <v>1346</v>
      </c>
      <c r="C51" s="3641"/>
      <c r="D51" s="1087"/>
      <c r="E51" s="327"/>
      <c r="F51" s="2423"/>
      <c r="G51" s="3626"/>
      <c r="H51" s="2312" t="s">
        <v>2136</v>
      </c>
      <c r="I51" s="2311"/>
      <c r="J51" s="2523" t="s">
        <v>1347</v>
      </c>
      <c r="K51" s="3593" t="s">
        <v>1348</v>
      </c>
      <c r="L51" s="3593"/>
      <c r="M51" s="2523" t="s">
        <v>1349</v>
      </c>
      <c r="N51" s="2523" t="s">
        <v>1350</v>
      </c>
      <c r="O51" s="2523" t="s">
        <v>1351</v>
      </c>
    </row>
    <row r="52" spans="1:35" ht="24" customHeight="1">
      <c r="A52" s="2335" t="s">
        <v>1352</v>
      </c>
      <c r="B52" s="3641" t="s">
        <v>1353</v>
      </c>
      <c r="C52" s="3641"/>
      <c r="D52" s="1087" t="e">
        <f ca="1">ROUND(D45*'数据-取费表'!B41/(1+'数据-取费表'!C42),0)</f>
        <v>#REF!</v>
      </c>
      <c r="E52" s="2334" t="s">
        <v>1354</v>
      </c>
      <c r="F52" s="2553">
        <f>'数据-取费表'!B41</f>
        <v>5.6000000000000001E-2</v>
      </c>
      <c r="G52" s="2554"/>
      <c r="H52" s="2543"/>
      <c r="I52" s="1807"/>
      <c r="J52" s="2522">
        <v>1</v>
      </c>
      <c r="K52" s="3618" t="s">
        <v>1355</v>
      </c>
      <c r="L52" s="3618"/>
      <c r="M52" s="2524" t="b">
        <f>D48</f>
        <v>0</v>
      </c>
      <c r="N52" s="2522" t="str">
        <f>E48</f>
        <v>销售额×税（费）率</v>
      </c>
      <c r="O52" s="2525">
        <f>F48</f>
        <v>5.6000000000000001E-2</v>
      </c>
    </row>
    <row r="53" spans="1:35" ht="12" customHeight="1">
      <c r="A53" s="2335" t="s">
        <v>1356</v>
      </c>
      <c r="B53" s="3642" t="s">
        <v>2291</v>
      </c>
      <c r="C53" s="3643"/>
      <c r="D53" s="1087" t="e">
        <f ca="1">ROUND(D45*'数据-取费表'!B41/(1+'数据-取费表'!C42),0)</f>
        <v>#REF!</v>
      </c>
      <c r="E53" s="2334" t="s">
        <v>1354</v>
      </c>
      <c r="F53" s="2553">
        <f>'数据-取费表'!B41</f>
        <v>5.6000000000000001E-2</v>
      </c>
      <c r="G53" s="2554"/>
      <c r="H53" s="2543"/>
      <c r="I53" s="1807"/>
      <c r="J53" s="2522">
        <v>2</v>
      </c>
      <c r="K53" s="3618" t="s">
        <v>1357</v>
      </c>
      <c r="L53" s="3618"/>
      <c r="M53" s="2524" t="e">
        <f t="shared" ref="M53:O54" ca="1" si="0">D55</f>
        <v>#REF!</v>
      </c>
      <c r="N53" s="2522" t="str">
        <f t="shared" si="0"/>
        <v>销售额×税（费）率</v>
      </c>
      <c r="O53" s="2525" t="str">
        <f t="shared" si="0"/>
        <v>免征</v>
      </c>
    </row>
    <row r="54" spans="1:35" ht="12" customHeight="1">
      <c r="A54" s="2335" t="s">
        <v>1358</v>
      </c>
      <c r="B54" s="3642" t="s">
        <v>2292</v>
      </c>
      <c r="C54" s="3643"/>
      <c r="D54" s="1087" t="e">
        <f ca="1">C68</f>
        <v>#REF!</v>
      </c>
      <c r="E54" s="327" t="s">
        <v>1359</v>
      </c>
      <c r="F54" s="2553">
        <f>'数据-取费表'!B41</f>
        <v>5.6000000000000001E-2</v>
      </c>
      <c r="G54" s="2554"/>
      <c r="H54" s="2555"/>
      <c r="I54" s="1807"/>
      <c r="J54" s="2522">
        <v>3</v>
      </c>
      <c r="K54" s="3618" t="s">
        <v>1360</v>
      </c>
      <c r="L54" s="3618"/>
      <c r="M54" s="2524" t="e">
        <f t="shared" ca="1" si="0"/>
        <v>#REF!</v>
      </c>
      <c r="N54" s="2522" t="str">
        <f t="shared" si="0"/>
        <v>增值额×税（费）率</v>
      </c>
      <c r="O54" s="2526" t="str">
        <f t="shared" si="0"/>
        <v>免征</v>
      </c>
    </row>
    <row r="55" spans="1:35" ht="24" customHeight="1">
      <c r="A55" s="3678" t="s">
        <v>1361</v>
      </c>
      <c r="B55" s="3656"/>
      <c r="C55" s="3656"/>
      <c r="D55" s="2324" t="e">
        <f ca="1">IF(H55="个人住宅",0,ROUND(D45*I55,0))</f>
        <v>#REF!</v>
      </c>
      <c r="E55" s="2334"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t="e">
        <f ca="1">D59</f>
        <v>#REF!</v>
      </c>
      <c r="N55" s="2040" t="str">
        <f>E59</f>
        <v>差额计税</v>
      </c>
      <c r="O55" s="2528">
        <f>F59</f>
        <v>0.01</v>
      </c>
    </row>
    <row r="56" spans="1:35" ht="24.75">
      <c r="A56" s="3678" t="s">
        <v>1363</v>
      </c>
      <c r="B56" s="3656"/>
      <c r="C56" s="3656"/>
      <c r="D56" s="2324" t="e">
        <f ca="1">IF(H56="个人住宅",D57,D58)</f>
        <v>#REF!</v>
      </c>
      <c r="E56" s="2334" t="s">
        <v>1364</v>
      </c>
      <c r="F56" s="2553" t="str">
        <f>IF(H56="正常",F58,"免征")</f>
        <v>免征</v>
      </c>
      <c r="G56" s="2556" t="s">
        <v>1365</v>
      </c>
      <c r="H56" s="2557"/>
      <c r="I56" s="1808"/>
      <c r="J56" s="2522" t="str">
        <f>IF(项目基本情况!K6="上海银行",IF(J55="",4,J55+1),"")</f>
        <v/>
      </c>
      <c r="K56" s="3599" t="str">
        <f>IF(项目基本情况!K6="上海银行","其他处置费用","")</f>
        <v/>
      </c>
      <c r="L56" s="3600"/>
      <c r="M56" s="2524" t="str">
        <f>IF(项目基本情况!K6="上海银行",M69,"")</f>
        <v/>
      </c>
      <c r="N56" s="3599" t="str">
        <f>IF(项目基本情况!K6="上海银行","包含处置中涉及的律师、诉讼、拍卖、评估等费用","")</f>
        <v/>
      </c>
      <c r="O56" s="3602"/>
    </row>
    <row r="57" spans="1:35" ht="12.75">
      <c r="A57" s="2335" t="s">
        <v>1341</v>
      </c>
      <c r="B57" s="3642" t="s">
        <v>1366</v>
      </c>
      <c r="C57" s="3643"/>
      <c r="D57" s="1590">
        <v>0</v>
      </c>
      <c r="E57" s="324" t="s">
        <v>1343</v>
      </c>
      <c r="F57" s="302"/>
      <c r="G57" s="2554"/>
      <c r="H57" s="2558"/>
      <c r="I57" s="1808"/>
      <c r="J57" s="3618">
        <f>IF(AND(J55="",J56=""),4,IF(项目基本情况!K6="上海银行",结果表!J56+1,结果表!J55+1))</f>
        <v>5</v>
      </c>
      <c r="K57" s="3618" t="s">
        <v>1367</v>
      </c>
      <c r="L57" s="2529" t="s">
        <v>1368</v>
      </c>
      <c r="M57" s="2530"/>
      <c r="N57" s="2531">
        <f ca="1">SUMIF(M52:M56,"&lt;9e307")</f>
        <v>0</v>
      </c>
      <c r="O57" s="2532"/>
      <c r="P57" s="2689" t="e">
        <f ca="1">N57/M49</f>
        <v>#VALUE!</v>
      </c>
    </row>
    <row r="58" spans="1:35" ht="24.75">
      <c r="A58" s="2335" t="s">
        <v>1352</v>
      </c>
      <c r="B58" s="3642" t="s">
        <v>1369</v>
      </c>
      <c r="C58" s="3641"/>
      <c r="D58" s="2324" t="e">
        <f ca="1">IF(H58="转让取得",C81,C97)</f>
        <v>#REF!</v>
      </c>
      <c r="E58" s="2334" t="s">
        <v>1364</v>
      </c>
      <c r="F58" s="302" t="s">
        <v>28</v>
      </c>
      <c r="G58" s="2554"/>
      <c r="H58" s="2557"/>
      <c r="I58" s="1808"/>
      <c r="J58" s="3618"/>
      <c r="K58" s="3618"/>
      <c r="L58" s="2529" t="s">
        <v>1370</v>
      </c>
      <c r="M58" s="2533"/>
      <c r="N58" s="2534" t="str">
        <f ca="1">NUMBERSTRING(INT(N57*10000),2)&amp;"元整"</f>
        <v>零元整</v>
      </c>
      <c r="O58" s="2535"/>
    </row>
    <row r="59" spans="1:35" ht="24.75" thickBot="1">
      <c r="A59" s="3622" t="s">
        <v>1371</v>
      </c>
      <c r="B59" s="3623"/>
      <c r="C59" s="362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20">
        <f>J57+1</f>
        <v>6</v>
      </c>
      <c r="K59" s="3618" t="s">
        <v>1372</v>
      </c>
      <c r="L59" s="2522" t="s">
        <v>1368</v>
      </c>
      <c r="M59" s="2536"/>
      <c r="N59" s="2537" t="e">
        <f ca="1">M49-N57</f>
        <v>#VALUE!</v>
      </c>
      <c r="O59" s="2538"/>
    </row>
    <row r="60" spans="1:35" ht="12" customHeight="1">
      <c r="A60" s="1809"/>
      <c r="B60" s="1747"/>
      <c r="C60" s="1747"/>
      <c r="D60" s="1747"/>
      <c r="E60" s="1578"/>
      <c r="F60" s="1808"/>
      <c r="G60" s="1808"/>
      <c r="H60" s="1810"/>
      <c r="I60" s="129"/>
      <c r="J60" s="3621"/>
      <c r="K60" s="3618"/>
      <c r="L60" s="2529" t="s">
        <v>1370</v>
      </c>
      <c r="M60" s="2533"/>
      <c r="N60" s="2534" t="e">
        <f ca="1">NUMBERSTRING(INT(N59*10000),2)&amp;"元整"</f>
        <v>#VALUE!</v>
      </c>
      <c r="O60" s="2535"/>
    </row>
    <row r="61" spans="1:35" ht="13.5" thickBot="1">
      <c r="A61" s="3677" t="s">
        <v>1373</v>
      </c>
      <c r="B61" s="3677"/>
      <c r="C61" s="3677"/>
      <c r="D61" s="3677"/>
      <c r="E61" s="3677"/>
      <c r="F61" s="1808"/>
      <c r="G61" s="1808"/>
      <c r="H61" s="1810"/>
      <c r="I61" s="129"/>
      <c r="J61" s="2522">
        <f>J59+1</f>
        <v>7</v>
      </c>
      <c r="K61" s="3618" t="s">
        <v>1374</v>
      </c>
      <c r="L61" s="3618"/>
      <c r="M61" s="2539"/>
      <c r="N61" s="2540" t="e">
        <f ca="1">ROUND(N59*10000/'数据-汇总表'!E3,0)</f>
        <v>#VALUE!</v>
      </c>
      <c r="O61" s="2541"/>
    </row>
    <row r="62" spans="1:35" ht="12.75">
      <c r="A62" s="3637" t="s">
        <v>1375</v>
      </c>
      <c r="B62" s="3638"/>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601"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0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01"/>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01"/>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0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01"/>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01"/>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5" t="s">
        <v>1394</v>
      </c>
      <c r="B70" s="3646"/>
      <c r="C70" s="3646"/>
      <c r="D70" s="3646"/>
      <c r="E70" s="3646"/>
      <c r="F70" s="3646"/>
      <c r="G70" s="3646"/>
      <c r="H70" s="364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7" t="s">
        <v>1375</v>
      </c>
      <c r="B71" s="363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42" t="s">
        <v>1402</v>
      </c>
      <c r="F76" s="3641"/>
      <c r="G76" s="3641"/>
      <c r="H76" s="36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34" t="s">
        <v>1406</v>
      </c>
      <c r="F78" s="3635"/>
      <c r="G78" s="3635"/>
      <c r="H78" s="363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5" t="s">
        <v>1410</v>
      </c>
      <c r="B83" s="3646"/>
      <c r="C83" s="3646"/>
      <c r="D83" s="3646"/>
      <c r="E83" s="3646"/>
      <c r="F83" s="3646"/>
      <c r="G83" s="3646"/>
      <c r="H83" s="36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7" t="s">
        <v>1375</v>
      </c>
      <c r="B84" s="363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03" t="s">
        <v>2129</v>
      </c>
      <c r="H90" s="3604"/>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34" t="s">
        <v>1419</v>
      </c>
      <c r="F91" s="3635"/>
      <c r="G91" s="363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34" t="s">
        <v>1422</v>
      </c>
      <c r="F92" s="3635"/>
      <c r="G92" s="3635"/>
      <c r="H92" s="363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34" t="s">
        <v>1406</v>
      </c>
      <c r="F93" s="3635"/>
      <c r="G93" s="3635"/>
      <c r="H93" s="363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79" t="s">
        <v>1426</v>
      </c>
      <c r="F94" s="3680"/>
      <c r="G94" s="3680"/>
      <c r="H94" s="36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4" t="str">
        <f>C4</f>
        <v>成本法 (元)</v>
      </c>
      <c r="D101" s="2585" t="str">
        <f>D4</f>
        <v>比较法-住宅</v>
      </c>
      <c r="E101" s="3597" t="s">
        <v>1431</v>
      </c>
      <c r="F101" s="3598"/>
      <c r="G101" s="1827" t="s">
        <v>1432</v>
      </c>
      <c r="H101" s="2594" t="e">
        <f ca="1">H118</f>
        <v>#REF!</v>
      </c>
      <c r="I101" s="129"/>
    </row>
    <row r="102" spans="1:35" ht="18.75" customHeight="1">
      <c r="A102" s="3629" t="s">
        <v>1433</v>
      </c>
      <c r="B102" s="2583" t="s">
        <v>1432</v>
      </c>
      <c r="C102" s="2584">
        <f ca="1">IF(D32="楼面单价",ROUND(C19,0),C19)</f>
        <v>388.93340000000001</v>
      </c>
      <c r="D102" s="2585">
        <f ca="1">IF(D32="楼面单价",ROUND(D19,0),D19)</f>
        <v>445.30669999999998</v>
      </c>
      <c r="E102" s="3597"/>
      <c r="F102" s="3598"/>
      <c r="G102" s="1827" t="s">
        <v>1434</v>
      </c>
      <c r="H102" s="2554" t="e">
        <f ca="1">I118</f>
        <v>#REF!</v>
      </c>
      <c r="I102" s="129"/>
    </row>
    <row r="103" spans="1:35" ht="42.75" customHeight="1">
      <c r="A103" s="3629"/>
      <c r="B103" s="2583" t="s">
        <v>1434</v>
      </c>
      <c r="C103" s="2586">
        <f ca="1">C20</f>
        <v>62630</v>
      </c>
      <c r="D103" s="2587">
        <f ca="1">D20</f>
        <v>71708</v>
      </c>
      <c r="E103" s="3590" t="s">
        <v>1435</v>
      </c>
      <c r="F103" s="3591"/>
      <c r="G103" s="1828" t="s">
        <v>1436</v>
      </c>
      <c r="H103" s="2594">
        <f>IF(D36="正常操作",H104+H105+H106,H105+H106)</f>
        <v>0</v>
      </c>
      <c r="I103" s="129"/>
    </row>
    <row r="104" spans="1:35" ht="18.75" customHeight="1">
      <c r="A104" s="3629"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39"/>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30" t="str">
        <f>IF(项目基本情况!E8="已注销","——","3.房地产抵押价值")</f>
        <v>3.房地产抵押价值</v>
      </c>
      <c r="F107" s="3598"/>
      <c r="G107" s="1827" t="s">
        <v>1432</v>
      </c>
      <c r="H107" s="2594" t="e">
        <f ca="1">IF(E107="——","——",H101-H103)</f>
        <v>#REF!</v>
      </c>
      <c r="I107" s="129"/>
    </row>
    <row r="108" spans="1:35" ht="18.75" customHeight="1">
      <c r="A108" s="129"/>
      <c r="B108" s="129"/>
      <c r="C108" s="129"/>
      <c r="D108" s="129"/>
      <c r="E108" s="3630"/>
      <c r="F108" s="3598"/>
      <c r="G108" s="1827" t="s">
        <v>1434</v>
      </c>
      <c r="H108" s="2554">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7" t="s">
        <v>1432</v>
      </c>
      <c r="H109" s="2597" t="str">
        <f>IF(E109="——","——",H101-H105-H106)</f>
        <v>——</v>
      </c>
      <c r="I109" s="129"/>
    </row>
    <row r="110" spans="1:35" ht="18.75" customHeight="1">
      <c r="A110" s="129"/>
      <c r="B110" s="129"/>
      <c r="C110" s="129"/>
      <c r="D110" s="129"/>
      <c r="E110" s="3630"/>
      <c r="F110" s="3598"/>
      <c r="G110" s="1827"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7" t="s">
        <v>1432</v>
      </c>
      <c r="H111" s="2594" t="str">
        <f>IF(E111="——","——",N59)</f>
        <v>——</v>
      </c>
      <c r="I111" s="129"/>
    </row>
    <row r="112" spans="1:35" ht="18.75" customHeight="1" thickBot="1">
      <c r="A112" s="129"/>
      <c r="B112" s="129"/>
      <c r="C112" s="129"/>
      <c r="D112" s="129"/>
      <c r="E112" s="3632"/>
      <c r="F112" s="3633"/>
      <c r="G112" s="1830" t="s">
        <v>1434</v>
      </c>
      <c r="H112" s="2598" t="str">
        <f>IF(E111="——","——",N61)</f>
        <v>——</v>
      </c>
      <c r="I112" s="129"/>
    </row>
    <row r="113" spans="1:27" ht="18.75" customHeight="1">
      <c r="A113" s="129"/>
      <c r="B113" s="129"/>
      <c r="C113" s="129"/>
      <c r="D113" s="129"/>
      <c r="E113" s="3640" t="s">
        <v>1440</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62.1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5" t="s">
        <v>1452</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
      </c>
      <c r="B120" s="3607"/>
      <c r="C120" s="3608"/>
      <c r="D120" s="3606">
        <f>H103</f>
        <v>0</v>
      </c>
      <c r="E120" s="3607"/>
      <c r="F120" s="3607"/>
      <c r="G120" s="3607"/>
      <c r="H120" s="3607"/>
      <c r="I120" s="360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
      </c>
      <c r="B122" s="3617"/>
      <c r="C122" s="3617"/>
      <c r="D122" s="3606" t="e">
        <f ca="1">H107</f>
        <v>#REF!</v>
      </c>
      <c r="E122" s="3607"/>
      <c r="F122" s="3607"/>
      <c r="G122" s="3607"/>
      <c r="H122" s="3607"/>
      <c r="I122" s="3608"/>
      <c r="AA122" s="725"/>
    </row>
    <row r="123" spans="1:27" ht="18.75" customHeight="1">
      <c r="A123" s="3605" t="s">
        <v>1452</v>
      </c>
      <c r="B123" s="3605"/>
      <c r="C123" s="3605"/>
      <c r="D123" s="3611" t="e">
        <f ca="1">NUMBERSTRING(INT(D122*10000),2)&amp;"元整"</f>
        <v>#REF!</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北京市房地产市场价值预评估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4" t="s">
        <v>1544</v>
      </c>
    </row>
    <row r="43" spans="1:7" ht="13.5" customHeight="1">
      <c r="A43" s="780" t="s">
        <v>347</v>
      </c>
      <c r="B43" s="215" t="s">
        <v>1545</v>
      </c>
      <c r="C43" s="238">
        <f ca="1">ROUND(IF('数据-取费表'!B22&lt;=1,C39*F22*'数据-取费表'!B21/2,C39*(POWER((1+F22),'数据-取费表'!B21/2)-1)),0)</f>
        <v>0</v>
      </c>
      <c r="D43" s="238"/>
      <c r="E43" s="238"/>
      <c r="F43" s="239"/>
      <c r="G43" s="3685"/>
    </row>
    <row r="44" spans="1:7" ht="13.5" customHeight="1">
      <c r="A44" s="780" t="s">
        <v>348</v>
      </c>
      <c r="B44" s="215" t="s">
        <v>1546</v>
      </c>
      <c r="C44" s="238">
        <f ca="1">ROUND(IF('数据-取费表'!B22&lt;=1,C40*F22*'数据-取费表'!B21/2,C40*(POWER((1+F22),'数据-取费表'!B21/2)-1)),4)</f>
        <v>1E-3</v>
      </c>
      <c r="D44" s="238"/>
      <c r="E44" s="238"/>
      <c r="F44" s="239"/>
      <c r="G44" s="3686"/>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28" zoomScale="85" zoomScaleNormal="70" zoomScaleSheetLayoutView="85" workbookViewId="0">
      <selection activeCell="F22" sqref="F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3389</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388.93340000000001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62630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2462892</v>
      </c>
      <c r="D5" s="211" t="s">
        <v>1469</v>
      </c>
      <c r="E5" s="212" t="s">
        <v>1470</v>
      </c>
      <c r="F5" s="212" t="s">
        <v>1471</v>
      </c>
      <c r="G5" s="213"/>
    </row>
    <row r="6" spans="1:8" s="214" customFormat="1" ht="13.5" customHeight="1">
      <c r="A6" s="778" t="s">
        <v>1472</v>
      </c>
      <c r="B6" s="215" t="s">
        <v>1473</v>
      </c>
      <c r="C6" s="216">
        <f ca="1">'[2]2014基准地价'!$E$29</f>
        <v>2380355</v>
      </c>
      <c r="D6" s="217"/>
      <c r="E6" s="218"/>
      <c r="F6" s="218"/>
      <c r="G6" s="219"/>
    </row>
    <row r="7" spans="1:8" s="214" customFormat="1" ht="13.5" customHeight="1">
      <c r="A7" s="778" t="s">
        <v>1474</v>
      </c>
      <c r="B7" s="215" t="s">
        <v>1475</v>
      </c>
      <c r="C7" s="220">
        <f ca="1">ROUND(C6*F7,0)</f>
        <v>72601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9936</v>
      </c>
      <c r="D8" s="222"/>
      <c r="E8" s="220"/>
      <c r="F8" s="221"/>
      <c r="G8" s="1856" t="s">
        <v>3410</v>
      </c>
    </row>
    <row r="9" spans="1:8" s="214" customFormat="1" ht="13.5" customHeight="1">
      <c r="A9" s="779" t="s">
        <v>355</v>
      </c>
      <c r="B9" s="224" t="s">
        <v>1478</v>
      </c>
      <c r="C9" s="225">
        <f ca="1">ROUND(D9*E9,0)</f>
        <v>9936</v>
      </c>
      <c r="D9" s="845">
        <f ca="1">IF(B1="",'数据-汇总表'!E5,IF(INDIRECT("'数据-取费表'!c"&amp;$G$1)="住宅",INDIRECT("'数据-取费表'!k"&amp;$G$1),0))</f>
        <v>62.1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62.1</v>
      </c>
      <c r="E19" s="211">
        <f>'数据-取费表'!B31</f>
        <v>200</v>
      </c>
      <c r="F19" s="231"/>
      <c r="G19" s="1856" t="s">
        <v>3409</v>
      </c>
    </row>
    <row r="20" spans="1:7" s="214" customFormat="1" ht="13.5" customHeight="1">
      <c r="A20" s="255" t="s">
        <v>1574</v>
      </c>
      <c r="B20" s="210" t="s">
        <v>1575</v>
      </c>
      <c r="C20" s="232">
        <f ca="1">ROUND((C5+C19)*F20,0)</f>
        <v>49258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241872</v>
      </c>
      <c r="D22" s="235">
        <f ca="1">C26</f>
        <v>1E-3</v>
      </c>
      <c r="E22" s="236" t="s">
        <v>1579</v>
      </c>
      <c r="F22" s="385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239532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2340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628038</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628038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3673357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250419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217350</v>
      </c>
      <c r="D34" s="217"/>
      <c r="E34" s="220"/>
      <c r="F34" s="257"/>
      <c r="G34" s="219"/>
    </row>
    <row r="35" spans="1:7" ht="13.5" customHeight="1">
      <c r="A35" s="780" t="s">
        <v>351</v>
      </c>
      <c r="B35" s="215" t="s">
        <v>1527</v>
      </c>
      <c r="C35" s="220">
        <f ca="1">ROUND(C34*F35,0)</f>
        <v>6521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10868</v>
      </c>
      <c r="D36" s="220"/>
      <c r="E36" s="220"/>
      <c r="F36" s="259">
        <f>'数据-取费表'!B34</f>
        <v>0.05</v>
      </c>
      <c r="G36" s="260" t="s">
        <v>1530</v>
      </c>
    </row>
    <row r="37" spans="1:7" s="258" customFormat="1" ht="13.5" customHeight="1">
      <c r="A37" s="780" t="s">
        <v>353</v>
      </c>
      <c r="B37" s="215" t="s">
        <v>1531</v>
      </c>
      <c r="C37" s="249">
        <f ca="1">ROUND(E37*D37,0)</f>
        <v>12420</v>
      </c>
      <c r="D37" s="217">
        <f ca="1">D19</f>
        <v>62.1</v>
      </c>
      <c r="E37" s="249">
        <f>'数据-取费表'!B35</f>
        <v>200</v>
      </c>
      <c r="F37" s="259"/>
      <c r="G37" s="261"/>
    </row>
    <row r="38" spans="1:7" ht="13.5" customHeight="1">
      <c r="A38" s="780" t="s">
        <v>354</v>
      </c>
      <c r="B38" s="215" t="s">
        <v>1533</v>
      </c>
      <c r="C38" s="220">
        <f ca="1">ROUND(C34*F38,0)</f>
        <v>3260</v>
      </c>
      <c r="D38" s="220"/>
      <c r="E38" s="220"/>
      <c r="F38" s="259">
        <f>'数据-取费表'!B36</f>
        <v>1.4999999999999999E-2</v>
      </c>
      <c r="G38" s="219" t="s">
        <v>1528</v>
      </c>
    </row>
    <row r="39" spans="1:7" s="214" customFormat="1" ht="13.5" customHeight="1">
      <c r="A39" s="255" t="s">
        <v>1534</v>
      </c>
      <c r="B39" s="210" t="s">
        <v>1535</v>
      </c>
      <c r="C39" s="232">
        <f ca="1">ROUND(C33*F20,0)</f>
        <v>5008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12133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11895</v>
      </c>
      <c r="D42" s="238"/>
      <c r="E42" s="238"/>
      <c r="F42" s="239"/>
      <c r="G42" s="3684" t="s">
        <v>1591</v>
      </c>
    </row>
    <row r="43" spans="1:7" ht="13.5" customHeight="1">
      <c r="A43" s="780" t="s">
        <v>347</v>
      </c>
      <c r="B43" s="215" t="s">
        <v>1545</v>
      </c>
      <c r="C43" s="238">
        <f ca="1">ROUND(IF('数据-取费表'!B22&lt;=1,C39*F22*'数据-取费表'!B20/2,C39*(POWER((1+F22),'数据-取费表'!B20/2)-1)),0)</f>
        <v>238</v>
      </c>
      <c r="D43" s="238"/>
      <c r="E43" s="238"/>
      <c r="F43" s="239"/>
      <c r="G43" s="3685"/>
    </row>
    <row r="44" spans="1:7" ht="13.5" customHeight="1">
      <c r="A44" s="780" t="s">
        <v>348</v>
      </c>
      <c r="B44" s="215" t="s">
        <v>1546</v>
      </c>
      <c r="C44" s="238">
        <f ca="1">ROUND(IF('数据-取费表'!B22&lt;=1,C40*F22*'数据-取费表'!B20/2,C40*(POWER((1+F22),'数据-取费表'!B20/2)-1)),4)</f>
        <v>1E-3</v>
      </c>
      <c r="D44" s="238"/>
      <c r="E44" s="238"/>
      <c r="F44" s="239"/>
      <c r="G44" s="3686"/>
    </row>
    <row r="45" spans="1:7" s="214" customFormat="1" ht="13.5" customHeight="1">
      <c r="A45" s="255" t="s">
        <v>1547</v>
      </c>
      <c r="B45" s="244" t="s">
        <v>1513</v>
      </c>
      <c r="C45" s="245">
        <f ca="1">C46</f>
        <v>63857</v>
      </c>
      <c r="D45" s="235">
        <f ca="1">C47</f>
        <v>5.0000000000000001E-3</v>
      </c>
      <c r="E45" s="236" t="s">
        <v>1539</v>
      </c>
      <c r="F45" s="246">
        <f ca="1">F27</f>
        <v>0.25</v>
      </c>
      <c r="G45" s="247" t="s">
        <v>1548</v>
      </c>
    </row>
    <row r="46" spans="1:7" s="214" customFormat="1" ht="13.5" customHeight="1">
      <c r="A46" s="780" t="s">
        <v>346</v>
      </c>
      <c r="B46" s="248" t="s">
        <v>1549</v>
      </c>
      <c r="C46" s="249">
        <f ca="1">ROUND((C33+C39)*F27,0)</f>
        <v>63857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359962</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215977</v>
      </c>
      <c r="D51" s="232"/>
      <c r="E51" s="232"/>
      <c r="F51" s="264"/>
      <c r="G51" s="234" t="s">
        <v>1560</v>
      </c>
    </row>
    <row r="52" spans="1:7" s="208" customFormat="1" ht="16.5" thickBot="1">
      <c r="A52" s="265" t="s">
        <v>1561</v>
      </c>
      <c r="B52" s="266"/>
      <c r="C52" s="267">
        <f ca="1">C31+C51</f>
        <v>3889334</v>
      </c>
      <c r="D52" s="266"/>
      <c r="E52" s="266"/>
      <c r="F52" s="266"/>
      <c r="G52" s="268"/>
    </row>
    <row r="55" spans="1:7" ht="15">
      <c r="B55" s="270" t="s">
        <v>1562</v>
      </c>
      <c r="C55" s="271"/>
    </row>
    <row r="56" spans="1:7">
      <c r="B56" s="273" t="s">
        <v>802</v>
      </c>
      <c r="C56" s="275">
        <f ca="1">1-C57</f>
        <v>0.94399999999999995</v>
      </c>
    </row>
    <row r="57" spans="1:7">
      <c r="B57" s="273" t="s">
        <v>803</v>
      </c>
      <c r="C57" s="274">
        <f ca="1">ROUND(C51/C52,3)</f>
        <v>5.6000000000000001E-2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-161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v>
      </c>
      <c r="C2" s="1387" t="s">
        <v>805</v>
      </c>
      <c r="D2" s="1387"/>
      <c r="E2" s="1388"/>
      <c r="F2" s="1389"/>
      <c r="G2" s="2705"/>
      <c r="H2" s="2694"/>
      <c r="I2" s="2694"/>
      <c r="J2" s="2694"/>
      <c r="K2" s="2695"/>
      <c r="L2" s="2694"/>
      <c r="M2" s="2694"/>
    </row>
    <row r="3" spans="1:37" ht="18" customHeight="1" thickBot="1">
      <c r="A3" s="1390" t="s">
        <v>806</v>
      </c>
      <c r="B3" s="1391">
        <f ca="1">IF(ISERROR(B2*10000/F43),0,ROUND(B2*10000/F43,0))</f>
        <v>-4670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0</v>
      </c>
      <c r="D6" s="155" t="s">
        <v>2109</v>
      </c>
      <c r="E6" s="302" t="s">
        <v>696</v>
      </c>
      <c r="F6" s="303">
        <f ca="1">INDIRECT("'数据-取费表'!u"&amp;$G$1)</f>
        <v>0</v>
      </c>
      <c r="G6" s="1384"/>
      <c r="H6" s="1069" t="s">
        <v>398</v>
      </c>
      <c r="I6" s="3689" t="s">
        <v>694</v>
      </c>
      <c r="J6" s="301">
        <f ca="1">ROUND(M6*M8*M7*(1-M9)/10000,0)</f>
        <v>0</v>
      </c>
      <c r="K6" s="155" t="s">
        <v>2108</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1</v>
      </c>
      <c r="G7" s="1384"/>
      <c r="H7" s="304"/>
      <c r="I7" s="3690"/>
      <c r="J7" s="306"/>
      <c r="K7" s="307"/>
      <c r="L7" s="302" t="s">
        <v>697</v>
      </c>
      <c r="M7" s="303">
        <f ca="1">F7</f>
        <v>1</v>
      </c>
    </row>
    <row r="8" spans="1:37" ht="18" customHeight="1">
      <c r="A8" s="304"/>
      <c r="B8" s="3690"/>
      <c r="C8" s="306"/>
      <c r="D8" s="307"/>
      <c r="E8" s="302" t="s">
        <v>698</v>
      </c>
      <c r="F8" s="303">
        <f ca="1">INDIRECT("'数据-取费表'!ai"&amp;$G$1)</f>
        <v>12</v>
      </c>
      <c r="G8" s="1384"/>
      <c r="H8" s="304"/>
      <c r="I8" s="3690"/>
      <c r="J8" s="306"/>
      <c r="K8" s="307"/>
      <c r="L8" s="302" t="s">
        <v>698</v>
      </c>
      <c r="M8" s="303">
        <f ca="1">INDIRECT("'数据-取费表'!ai"&amp;$G$1)</f>
        <v>12</v>
      </c>
    </row>
    <row r="9" spans="1:37" ht="18" customHeight="1">
      <c r="A9" s="304"/>
      <c r="B9" s="3691"/>
      <c r="C9" s="306"/>
      <c r="D9" s="307"/>
      <c r="E9" s="302" t="s">
        <v>699</v>
      </c>
      <c r="F9" s="312">
        <f ca="1">INDIRECT("'数据-取费表'!w"&amp;$G$1)</f>
        <v>0.1</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v>
      </c>
      <c r="D14" s="1345" t="s">
        <v>708</v>
      </c>
      <c r="E14" s="1342"/>
      <c r="F14" s="319"/>
      <c r="G14" s="1384"/>
      <c r="H14" s="982" t="s">
        <v>398</v>
      </c>
      <c r="I14" s="302" t="s">
        <v>709</v>
      </c>
      <c r="J14" s="21">
        <f ca="1">C29</f>
        <v>37</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0.93</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ROUND(C13*F37,2)</f>
        <v>0.06</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-29</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-4670</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-29</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37</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-44</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87" t="s">
        <v>837</v>
      </c>
      <c r="L53" s="3688"/>
      <c r="O53" s="1418" t="s">
        <v>409</v>
      </c>
      <c r="P53" s="1419" t="s">
        <v>838</v>
      </c>
      <c r="Q53" s="1420">
        <f ca="1">Q47+Q48</f>
        <v>-29</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25.5" thickTop="1" thickBot="1">
      <c r="A56" s="957">
        <v>2</v>
      </c>
      <c r="B56" s="958" t="s">
        <v>704</v>
      </c>
      <c r="C56" s="232">
        <f ca="1">C13</f>
        <v>22</v>
      </c>
      <c r="D56" s="1447"/>
      <c r="E56" s="1448"/>
      <c r="F56" s="1440"/>
      <c r="I56" s="1449" t="s">
        <v>842</v>
      </c>
      <c r="J56" s="1450" t="s">
        <v>3445</v>
      </c>
      <c r="K56" s="1421" t="s">
        <v>843</v>
      </c>
      <c r="L56" s="1424">
        <f ca="1">IF(L48&lt;J51,"——",L48-J53)</f>
        <v>0</v>
      </c>
      <c r="O56" s="1418" t="s">
        <v>403</v>
      </c>
      <c r="P56" s="1419" t="s">
        <v>817</v>
      </c>
      <c r="Q56" s="1420">
        <f ca="1">C40+J29</f>
        <v>-29</v>
      </c>
      <c r="R56" s="1420" t="s">
        <v>818</v>
      </c>
    </row>
    <row r="57" spans="1:18" s="1384" customFormat="1" ht="24.75" thickBot="1">
      <c r="A57" s="1451"/>
      <c r="B57" s="950" t="s">
        <v>767</v>
      </c>
      <c r="C57" s="238">
        <f ca="1">C29</f>
        <v>37</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0.93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0.06</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-29</v>
      </c>
      <c r="R65" s="1420" t="s">
        <v>818</v>
      </c>
    </row>
    <row r="66" spans="1:18" s="1384" customFormat="1" ht="16.5"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-44</v>
      </c>
      <c r="R67" s="1420" t="s">
        <v>870</v>
      </c>
    </row>
    <row r="68" spans="1:18" s="1384" customFormat="1" ht="16.5" thickBot="1">
      <c r="A68" s="947" t="s">
        <v>395</v>
      </c>
      <c r="B68" s="948" t="s">
        <v>774</v>
      </c>
      <c r="C68" s="301">
        <f ca="1">ROUND(C67*(1-((1+F70)/(1+F68))^F69)/(F68-F70),0)</f>
        <v>-21</v>
      </c>
      <c r="D68" s="965" t="s">
        <v>758</v>
      </c>
      <c r="E68" s="950" t="s">
        <v>759</v>
      </c>
      <c r="F68" s="312">
        <f ca="1">F40</f>
        <v>4.4999999999999998E-2</v>
      </c>
      <c r="O68" s="1428" t="s">
        <v>406</v>
      </c>
      <c r="P68" s="1467" t="s">
        <v>871</v>
      </c>
      <c r="Q68" s="1420">
        <f ca="1">ROUND(Q69-Q70*Q71,0)</f>
        <v>-1</v>
      </c>
      <c r="R68" s="1420" t="s">
        <v>414</v>
      </c>
    </row>
    <row r="69" spans="1:18" s="1384" customFormat="1" ht="13.5" thickBot="1">
      <c r="A69" s="951"/>
      <c r="B69" s="952"/>
      <c r="C69" s="306"/>
      <c r="D69" s="970" t="s">
        <v>762</v>
      </c>
      <c r="E69" s="950" t="s">
        <v>763</v>
      </c>
      <c r="F69" s="333">
        <f ca="1">F41</f>
        <v>70</v>
      </c>
      <c r="O69" s="1428" t="s">
        <v>411</v>
      </c>
      <c r="P69" s="1467" t="s">
        <v>872</v>
      </c>
      <c r="Q69" s="1420">
        <f ca="1">C39</f>
        <v>-1</v>
      </c>
      <c r="R69" s="1420" t="s">
        <v>818</v>
      </c>
    </row>
    <row r="70" spans="1:18" s="1384" customFormat="1" ht="13.5" thickBot="1">
      <c r="A70" s="954"/>
      <c r="B70" s="955"/>
      <c r="C70" s="310"/>
      <c r="D70" s="966"/>
      <c r="E70" s="950" t="s">
        <v>766</v>
      </c>
      <c r="F70" s="1054"/>
      <c r="O70" s="1428" t="s">
        <v>412</v>
      </c>
      <c r="P70" s="1467" t="s">
        <v>873</v>
      </c>
      <c r="Q70" s="1420">
        <f ca="1">C13</f>
        <v>22</v>
      </c>
      <c r="R70" s="1420" t="s">
        <v>818</v>
      </c>
    </row>
    <row r="71" spans="1:18" s="1384" customFormat="1" ht="13.5" thickBot="1">
      <c r="A71" s="971" t="s">
        <v>396</v>
      </c>
      <c r="B71" s="972" t="s">
        <v>776</v>
      </c>
      <c r="C71" s="336">
        <f ca="1">ROUND(C68*10000/F71,0)</f>
        <v>-3382</v>
      </c>
      <c r="D71" s="973" t="s">
        <v>777</v>
      </c>
      <c r="E71" s="974" t="s">
        <v>778</v>
      </c>
      <c r="F71" s="339">
        <f ca="1">F43</f>
        <v>62.1</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1.7589999999999999</v>
      </c>
    </row>
    <row r="83" spans="2:3">
      <c r="B83" s="273" t="s">
        <v>803</v>
      </c>
      <c r="C83" s="274">
        <f ca="1">ROUND(C13/C40,3)</f>
        <v>-0.75900000000000001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57" sqref="I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-27.658000000000001</v>
      </c>
      <c r="C2" s="1387" t="s">
        <v>879</v>
      </c>
      <c r="D2" s="1471">
        <f ca="1">C40+J29+L46</f>
        <v>-276580</v>
      </c>
      <c r="E2" s="1388" t="s">
        <v>880</v>
      </c>
      <c r="F2" s="1389"/>
      <c r="G2" s="2705"/>
      <c r="H2" s="2694"/>
      <c r="I2" s="2694"/>
      <c r="J2" s="2694"/>
      <c r="K2" s="2695"/>
      <c r="L2" s="2694"/>
      <c r="M2" s="2694"/>
    </row>
    <row r="3" spans="1:37" ht="18" customHeight="1" thickBot="1">
      <c r="A3" s="1390" t="s">
        <v>881</v>
      </c>
      <c r="B3" s="1391">
        <f ca="1">IF(ISERROR(D2/F43),0,ROUND(D2/F43,0))</f>
        <v>-4454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2106</v>
      </c>
      <c r="E6" s="302" t="s">
        <v>696</v>
      </c>
      <c r="F6" s="303">
        <f ca="1">INDIRECT("'数据-取费表'!u"&amp;$G$1)</f>
        <v>0</v>
      </c>
      <c r="G6" s="1384"/>
      <c r="H6" s="1069" t="s">
        <v>398</v>
      </c>
      <c r="I6" s="3689" t="s">
        <v>694</v>
      </c>
      <c r="J6" s="301">
        <f ca="1">ROUND(M6*M8*M7*(1-M9),0)</f>
        <v>0</v>
      </c>
      <c r="K6" s="1376"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1</v>
      </c>
      <c r="G7" s="1384"/>
      <c r="H7" s="304"/>
      <c r="I7" s="3690"/>
      <c r="J7" s="306"/>
      <c r="K7" s="307"/>
      <c r="L7" s="302" t="s">
        <v>697</v>
      </c>
      <c r="M7" s="303">
        <f ca="1">F7</f>
        <v>1</v>
      </c>
    </row>
    <row r="8" spans="1:37" ht="18" customHeight="1">
      <c r="A8" s="304"/>
      <c r="B8" s="3690"/>
      <c r="C8" s="306"/>
      <c r="D8" s="307"/>
      <c r="E8" s="302" t="s">
        <v>698</v>
      </c>
      <c r="F8" s="303">
        <f ca="1">INDIRECT("'数据-取费表'!ai"&amp;$G$1)</f>
        <v>12</v>
      </c>
      <c r="G8" s="1384"/>
      <c r="H8" s="304"/>
      <c r="I8" s="3690"/>
      <c r="J8" s="306"/>
      <c r="K8" s="307"/>
      <c r="L8" s="302" t="s">
        <v>698</v>
      </c>
      <c r="M8" s="303">
        <f ca="1">INDIRECT("'数据-取费表'!ai"&amp;$G$1)</f>
        <v>12</v>
      </c>
    </row>
    <row r="9" spans="1:37" ht="18" customHeight="1">
      <c r="A9" s="304"/>
      <c r="B9" s="3691"/>
      <c r="C9" s="306"/>
      <c r="D9" s="307"/>
      <c r="E9" s="302" t="s">
        <v>699</v>
      </c>
      <c r="F9" s="312">
        <f ca="1">INDIRECT("'数据-取费表'!w"&amp;$G$1)</f>
        <v>0.1</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215977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217350</v>
      </c>
      <c r="D14" s="1345" t="s">
        <v>708</v>
      </c>
      <c r="E14" s="1342"/>
      <c r="F14" s="319"/>
      <c r="G14" s="1384"/>
      <c r="H14" s="982" t="s">
        <v>398</v>
      </c>
      <c r="I14" s="302" t="s">
        <v>709</v>
      </c>
      <c r="J14" s="21">
        <f ca="1">C29</f>
        <v>359962</v>
      </c>
      <c r="K14" s="12"/>
      <c r="L14" s="807"/>
      <c r="M14" s="808"/>
    </row>
    <row r="15" spans="1:37" s="1397" customFormat="1" ht="18" customHeight="1" thickBot="1">
      <c r="A15" s="982" t="s">
        <v>399</v>
      </c>
      <c r="B15" s="302" t="s">
        <v>710</v>
      </c>
      <c r="C15" s="21">
        <f ca="1">ROUND(C14*F15,0)</f>
        <v>6521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10868</v>
      </c>
      <c r="D16" s="302" t="s">
        <v>711</v>
      </c>
      <c r="E16" s="302" t="s">
        <v>712</v>
      </c>
      <c r="F16" s="322">
        <f ca="1">IF(INDIRECT("'数据-取费表'!c"&amp;$G$1)="住宅",'数据-取费表'!B34,0)</f>
        <v>0.05</v>
      </c>
      <c r="G16" s="1384"/>
      <c r="H16" s="1079" t="s">
        <v>393</v>
      </c>
      <c r="I16" s="1080" t="s">
        <v>714</v>
      </c>
      <c r="J16" s="310">
        <f ca="1">ROUND(J17+J22+J23+J24,0)</f>
        <v>8999</v>
      </c>
      <c r="K16" s="1087" t="s">
        <v>715</v>
      </c>
      <c r="L16" s="1088"/>
      <c r="M16" s="1072"/>
    </row>
    <row r="17" spans="1:37" s="1397" customFormat="1" ht="18" customHeight="1">
      <c r="A17" s="982" t="s">
        <v>681</v>
      </c>
      <c r="B17" s="302" t="s">
        <v>716</v>
      </c>
      <c r="C17" s="21">
        <f ca="1">ROUND(F17*(F43+INDIRECT("'数据-取费表'!S"&amp;$G$1)),0)</f>
        <v>12420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250419</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5008</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8999</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12133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-8999</v>
      </c>
      <c r="K25" s="1095" t="s">
        <v>753</v>
      </c>
      <c r="L25" s="1096"/>
      <c r="M25" s="1097"/>
    </row>
    <row r="26" spans="1:37" ht="18" customHeight="1">
      <c r="A26" s="982" t="s">
        <v>397</v>
      </c>
      <c r="B26" s="302" t="s">
        <v>754</v>
      </c>
      <c r="C26" s="21">
        <f ca="1">ROUND((C19+C20)*F26,0)</f>
        <v>63857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359962</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9539</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8999</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ROUND(C13*F37,0)</f>
        <v>540</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-9539</v>
      </c>
      <c r="D39" s="1095" t="s">
        <v>773</v>
      </c>
      <c r="E39" s="1096"/>
      <c r="F39" s="1097"/>
      <c r="G39" s="1384"/>
      <c r="H39" s="2699"/>
      <c r="I39" s="1398"/>
      <c r="J39" s="1399"/>
      <c r="K39" s="2703"/>
      <c r="L39" s="2699"/>
      <c r="M39" s="2699"/>
    </row>
    <row r="40" spans="1:18" ht="18" customHeight="1">
      <c r="A40" s="299" t="s">
        <v>395</v>
      </c>
      <c r="B40" s="300" t="s">
        <v>774</v>
      </c>
      <c r="C40" s="301">
        <f ca="1">ROUND(C39*(1-((1+F42)/(1+F40))^F41)/(F40-F42),0)</f>
        <v>-276580</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ROUND(C40/F43,0)</f>
        <v>-4454</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7.4333</v>
      </c>
      <c r="D45" s="3431" t="s">
        <v>3354</v>
      </c>
      <c r="E45" s="1400"/>
      <c r="F45" s="1400"/>
      <c r="O45" s="1403" t="s">
        <v>808</v>
      </c>
      <c r="P45" s="1461"/>
      <c r="Q45" s="1461"/>
      <c r="R45" s="1461"/>
    </row>
    <row r="46" spans="1:18" s="1384" customFormat="1" ht="13.5" thickBot="1">
      <c r="A46" s="1404" t="s">
        <v>809</v>
      </c>
      <c r="C46" s="1405">
        <f ca="1">ROUND(C45,0)</f>
        <v>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-276580</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359962</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-419716</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70</v>
      </c>
      <c r="K53" s="3687" t="s">
        <v>837</v>
      </c>
      <c r="L53" s="3688"/>
      <c r="O53" s="1418" t="s">
        <v>409</v>
      </c>
      <c r="P53" s="1419" t="s">
        <v>838</v>
      </c>
      <c r="Q53" s="1420">
        <f ca="1">Q47+Q48</f>
        <v>-276580</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215977</v>
      </c>
      <c r="D56" s="1447"/>
      <c r="E56" s="1448"/>
      <c r="F56" s="1440"/>
      <c r="I56" s="1449" t="s">
        <v>842</v>
      </c>
      <c r="J56" s="1450" t="s">
        <v>3445</v>
      </c>
      <c r="K56" s="1421" t="s">
        <v>843</v>
      </c>
      <c r="L56" s="1424">
        <f ca="1">IF(L48&lt;J51,"——",L48-J51)</f>
        <v>26</v>
      </c>
      <c r="O56" s="1418" t="s">
        <v>403</v>
      </c>
      <c r="P56" s="1419" t="s">
        <v>817</v>
      </c>
      <c r="Q56" s="1420">
        <f ca="1">C40+J29</f>
        <v>-276580</v>
      </c>
      <c r="R56" s="1420" t="s">
        <v>818</v>
      </c>
    </row>
    <row r="57" spans="1:18" s="1384" customFormat="1" ht="24.75" thickBot="1">
      <c r="A57" s="1451"/>
      <c r="B57" s="950" t="s">
        <v>767</v>
      </c>
      <c r="C57" s="238">
        <f ca="1">C29</f>
        <v>359962</v>
      </c>
      <c r="D57" s="1452"/>
      <c r="E57" s="1453"/>
      <c r="F57" s="1454"/>
      <c r="I57" s="1455" t="s">
        <v>844</v>
      </c>
      <c r="J57" s="1456" t="str">
        <f ca="1">IF(OR(M47="住宅",J51&lt;L48,J56="是"),"——",J51-L48)</f>
        <v>——</v>
      </c>
      <c r="K57" s="1421" t="s">
        <v>892</v>
      </c>
      <c r="L57" s="1424">
        <f ca="1">IF(L48&lt;J51,"——",IF(L55="比较法",L49,IF(L55="基准地价",L50,L51)))</f>
        <v>-419716</v>
      </c>
      <c r="O57" s="1418" t="s">
        <v>404</v>
      </c>
      <c r="P57" s="1419" t="s">
        <v>893</v>
      </c>
      <c r="Q57" s="1420">
        <f ca="1">L60</f>
        <v>0</v>
      </c>
      <c r="R57" s="1420" t="s">
        <v>894</v>
      </c>
    </row>
    <row r="58" spans="1:18" s="1384" customFormat="1" ht="24.75" thickBot="1">
      <c r="A58" s="315" t="s">
        <v>393</v>
      </c>
      <c r="B58" s="958" t="s">
        <v>714</v>
      </c>
      <c r="C58" s="316">
        <f ca="1">ROUND(C59+C64+C65+C66,0)</f>
        <v>9539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-276580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8999</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540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-276580</v>
      </c>
      <c r="R65" s="1420" t="s">
        <v>818</v>
      </c>
    </row>
    <row r="66" spans="1:18" s="1384" customFormat="1" ht="16.5"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16.5" thickBot="1">
      <c r="A67" s="957" t="s">
        <v>394</v>
      </c>
      <c r="B67" s="967" t="s">
        <v>752</v>
      </c>
      <c r="C67" s="316">
        <f ca="1">C48-C58</f>
        <v>-9539</v>
      </c>
      <c r="D67" s="963" t="s">
        <v>753</v>
      </c>
      <c r="E67" s="968"/>
      <c r="F67" s="969"/>
      <c r="O67" s="1428" t="s">
        <v>405</v>
      </c>
      <c r="P67" s="1419" t="s">
        <v>850</v>
      </c>
      <c r="Q67" s="1466">
        <f ca="1">L51</f>
        <v>-419716</v>
      </c>
      <c r="R67" s="1420" t="s">
        <v>870</v>
      </c>
    </row>
    <row r="68" spans="1:18" s="1384" customFormat="1" ht="16.5" thickBot="1">
      <c r="A68" s="947" t="s">
        <v>395</v>
      </c>
      <c r="B68" s="948" t="s">
        <v>774</v>
      </c>
      <c r="C68" s="301">
        <f ca="1">ROUND(C67*(1-((1+F70)/(1+F68))^F69)/(F68-F70),0)</f>
        <v>-202247</v>
      </c>
      <c r="D68" s="965" t="s">
        <v>758</v>
      </c>
      <c r="E68" s="950" t="s">
        <v>759</v>
      </c>
      <c r="F68" s="312">
        <f ca="1">F40</f>
        <v>4.4999999999999998E-2</v>
      </c>
      <c r="O68" s="1428" t="s">
        <v>406</v>
      </c>
      <c r="P68" s="1467" t="s">
        <v>871</v>
      </c>
      <c r="Q68" s="1420">
        <f ca="1">ROUND(Q69-Q70*Q71,0)</f>
        <v>-9539</v>
      </c>
      <c r="R68" s="1420" t="s">
        <v>414</v>
      </c>
    </row>
    <row r="69" spans="1:18" s="1384" customFormat="1" ht="13.5" thickBot="1">
      <c r="A69" s="951"/>
      <c r="B69" s="952"/>
      <c r="C69" s="306"/>
      <c r="D69" s="970" t="s">
        <v>762</v>
      </c>
      <c r="E69" s="950" t="s">
        <v>763</v>
      </c>
      <c r="F69" s="333">
        <f ca="1">F41</f>
        <v>70</v>
      </c>
      <c r="O69" s="1428" t="s">
        <v>411</v>
      </c>
      <c r="P69" s="1467" t="s">
        <v>872</v>
      </c>
      <c r="Q69" s="1420">
        <f ca="1">C39</f>
        <v>-9539</v>
      </c>
      <c r="R69" s="1420" t="s">
        <v>818</v>
      </c>
    </row>
    <row r="70" spans="1:18" s="1384" customFormat="1" ht="13.5" thickBot="1">
      <c r="A70" s="954"/>
      <c r="B70" s="955"/>
      <c r="C70" s="310"/>
      <c r="D70" s="966"/>
      <c r="E70" s="950" t="s">
        <v>766</v>
      </c>
      <c r="F70" s="1054"/>
      <c r="O70" s="1428" t="s">
        <v>412</v>
      </c>
      <c r="P70" s="1467" t="s">
        <v>873</v>
      </c>
      <c r="Q70" s="1420">
        <f ca="1">C13</f>
        <v>215977</v>
      </c>
      <c r="R70" s="1420" t="s">
        <v>818</v>
      </c>
    </row>
    <row r="71" spans="1:18" s="1384" customFormat="1" ht="13.5" thickBot="1">
      <c r="A71" s="971" t="s">
        <v>396</v>
      </c>
      <c r="B71" s="972" t="s">
        <v>776</v>
      </c>
      <c r="C71" s="336">
        <f ca="1">ROUND(C68/F71,0)</f>
        <v>-3257</v>
      </c>
      <c r="D71" s="973" t="s">
        <v>777</v>
      </c>
      <c r="E71" s="974" t="s">
        <v>778</v>
      </c>
      <c r="F71" s="339">
        <f ca="1">F43</f>
        <v>62.1</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-276580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1.7810000000000001</v>
      </c>
    </row>
    <row r="83" spans="2:3">
      <c r="B83" s="273" t="s">
        <v>803</v>
      </c>
      <c r="C83" s="274">
        <f ca="1">ROUND(C13/C40,3)</f>
        <v>-0.78100000000000003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3360</v>
      </c>
      <c r="E2" s="3443"/>
      <c r="F2" s="2845"/>
      <c r="G2" s="2846"/>
      <c r="H2" s="2847"/>
      <c r="I2" s="2848"/>
      <c r="J2" s="3692" t="s">
        <v>2318</v>
      </c>
      <c r="K2" s="3693"/>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94" t="s">
        <v>2328</v>
      </c>
      <c r="K3" s="3695"/>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94" t="s">
        <v>2330</v>
      </c>
      <c r="K4" s="3695"/>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96" t="s">
        <v>2334</v>
      </c>
      <c r="B6" s="3697"/>
      <c r="C6" s="3698"/>
      <c r="D6" s="2869"/>
      <c r="E6" s="2870"/>
      <c r="F6" s="2871"/>
      <c r="G6" s="2872"/>
      <c r="H6" s="2847"/>
      <c r="I6" s="2848"/>
      <c r="J6" s="3699">
        <v>1</v>
      </c>
      <c r="K6" s="3700"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99"/>
      <c r="K7" s="3701"/>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03" t="s">
        <v>2348</v>
      </c>
      <c r="C8" s="3704"/>
      <c r="D8" s="2888" t="s">
        <v>2349</v>
      </c>
      <c r="E8" s="2889" t="s">
        <v>2350</v>
      </c>
      <c r="F8" s="2890" t="s">
        <v>2351</v>
      </c>
      <c r="G8" s="2891"/>
      <c r="H8" s="2847"/>
      <c r="I8" s="2848"/>
      <c r="J8" s="3699"/>
      <c r="K8" s="3701"/>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03" t="s">
        <v>2354</v>
      </c>
      <c r="C9" s="3704"/>
      <c r="D9" s="2888">
        <f>ROUND(D6*E9,0)</f>
        <v>0</v>
      </c>
      <c r="E9" s="2892"/>
      <c r="F9" s="2893" t="s">
        <v>2355</v>
      </c>
      <c r="G9" s="2872"/>
      <c r="H9" s="2847"/>
      <c r="I9" s="2848"/>
      <c r="J9" s="3699"/>
      <c r="K9" s="3701"/>
      <c r="L9" s="2882" t="s">
        <v>2356</v>
      </c>
      <c r="M9" s="2883"/>
      <c r="N9" s="2859"/>
      <c r="O9" s="2884"/>
      <c r="P9" s="2884"/>
      <c r="Q9" s="2885">
        <v>365</v>
      </c>
      <c r="R9" s="2886">
        <f t="shared" si="0"/>
        <v>0</v>
      </c>
      <c r="S9" s="2840"/>
      <c r="T9" s="2840"/>
      <c r="U9" s="2840"/>
      <c r="V9" s="2848"/>
    </row>
    <row r="10" spans="1:22" s="2852" customFormat="1" ht="13.15" customHeight="1">
      <c r="A10" s="2887">
        <v>2</v>
      </c>
      <c r="B10" s="3703" t="s">
        <v>2357</v>
      </c>
      <c r="C10" s="3704"/>
      <c r="D10" s="2888">
        <f>ROUND(D6*E10,0)</f>
        <v>0</v>
      </c>
      <c r="E10" s="2892"/>
      <c r="F10" s="2893" t="s">
        <v>2358</v>
      </c>
      <c r="G10" s="2872"/>
      <c r="H10" s="2847"/>
      <c r="I10" s="2848"/>
      <c r="J10" s="3699"/>
      <c r="K10" s="3701"/>
      <c r="L10" s="2882" t="s">
        <v>2359</v>
      </c>
      <c r="M10" s="2883"/>
      <c r="N10" s="2859"/>
      <c r="O10" s="2884"/>
      <c r="P10" s="2884"/>
      <c r="Q10" s="2885">
        <v>365</v>
      </c>
      <c r="R10" s="2886">
        <f t="shared" si="0"/>
        <v>0</v>
      </c>
      <c r="S10" s="2840"/>
      <c r="T10" s="2840"/>
      <c r="U10" s="2840"/>
      <c r="V10" s="2848"/>
    </row>
    <row r="11" spans="1:22" s="2852" customFormat="1" ht="13.15" customHeight="1">
      <c r="A11" s="2887">
        <v>3</v>
      </c>
      <c r="B11" s="3703" t="s">
        <v>2360</v>
      </c>
      <c r="C11" s="3704"/>
      <c r="D11" s="2888">
        <f>D12+D14+D15+D16</f>
        <v>0</v>
      </c>
      <c r="E11" s="2894" t="e">
        <f>D11/D6</f>
        <v>#DIV/0!</v>
      </c>
      <c r="F11" s="2890"/>
      <c r="G11" s="2891"/>
      <c r="H11" s="2847"/>
      <c r="I11" s="2848"/>
      <c r="J11" s="3699"/>
      <c r="K11" s="3701"/>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05" t="s">
        <v>2363</v>
      </c>
      <c r="C12" s="3706"/>
      <c r="D12" s="2896">
        <f>ROUND(D13*1.2%*(1-30%),0)</f>
        <v>0</v>
      </c>
      <c r="E12" s="2897">
        <v>1.2E-2</v>
      </c>
      <c r="F12" s="2890" t="s">
        <v>2364</v>
      </c>
      <c r="G12" s="2891"/>
      <c r="H12" s="2847"/>
      <c r="I12" s="2848"/>
      <c r="J12" s="3699"/>
      <c r="K12" s="3701"/>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99"/>
      <c r="K13" s="3701"/>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05" t="s">
        <v>2369</v>
      </c>
      <c r="C14" s="3706"/>
      <c r="D14" s="2896">
        <f>ROUND(E14*B5/10000,0)</f>
        <v>0</v>
      </c>
      <c r="E14" s="2885"/>
      <c r="F14" s="2890" t="s">
        <v>2370</v>
      </c>
      <c r="G14" s="2891"/>
      <c r="H14" s="2847"/>
      <c r="I14" s="2848"/>
      <c r="J14" s="3699"/>
      <c r="K14" s="3702"/>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05" t="s">
        <v>2373</v>
      </c>
      <c r="C15" s="3706"/>
      <c r="D15" s="2896">
        <f>ROUND(D6*E15,0)</f>
        <v>0</v>
      </c>
      <c r="E15" s="2897">
        <v>5.5E-2</v>
      </c>
      <c r="F15" s="2890" t="s">
        <v>2374</v>
      </c>
      <c r="G15" s="2872"/>
      <c r="H15" s="2847"/>
      <c r="I15" s="2848"/>
      <c r="J15" s="3699">
        <v>2</v>
      </c>
      <c r="K15" s="3700"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05" t="s">
        <v>2382</v>
      </c>
      <c r="C16" s="3706"/>
      <c r="D16" s="2907">
        <f>D6*E16</f>
        <v>0</v>
      </c>
      <c r="E16" s="2908"/>
      <c r="F16" s="2893" t="s">
        <v>2383</v>
      </c>
      <c r="G16" s="2872"/>
      <c r="H16" s="2847"/>
      <c r="I16" s="2848"/>
      <c r="J16" s="3699"/>
      <c r="K16" s="3701"/>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2385</v>
      </c>
      <c r="C17" s="3708"/>
      <c r="D17" s="2910">
        <f>ROUND(D6*E17,0)</f>
        <v>0</v>
      </c>
      <c r="E17" s="2911"/>
      <c r="F17" s="2912" t="s">
        <v>2386</v>
      </c>
      <c r="G17" s="2872"/>
      <c r="H17" s="2847"/>
      <c r="I17" s="2848"/>
      <c r="J17" s="3699"/>
      <c r="K17" s="3701"/>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99"/>
      <c r="K18" s="3701"/>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99"/>
      <c r="K19" s="3702"/>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9">
        <v>3</v>
      </c>
      <c r="K20" s="3700"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99"/>
      <c r="K21" s="3701"/>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99"/>
      <c r="K22" s="3701"/>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99"/>
      <c r="K23" s="3701"/>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99"/>
      <c r="K24" s="3702"/>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09">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1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92" t="s">
        <v>2318</v>
      </c>
      <c r="K32" s="3693"/>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94" t="s">
        <v>2328</v>
      </c>
      <c r="K33" s="3695"/>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94" t="s">
        <v>2330</v>
      </c>
      <c r="K34" s="369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99">
        <v>1</v>
      </c>
      <c r="K36" s="3700"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99"/>
      <c r="K37" s="3701"/>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9"/>
      <c r="K38" s="3701"/>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99"/>
      <c r="K39" s="3701"/>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99"/>
      <c r="K40" s="3702"/>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9">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1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-27.658000000000001</v>
      </c>
      <c r="C2" s="1872" t="s">
        <v>1651</v>
      </c>
      <c r="D2" s="1873" t="s">
        <v>1652</v>
      </c>
      <c r="E2" s="2606">
        <f>SUM(E6:E13)</f>
        <v>62.1</v>
      </c>
      <c r="F2" s="2706"/>
      <c r="G2" s="1489"/>
      <c r="H2" s="1489"/>
      <c r="I2" s="1489"/>
      <c r="J2" s="1489"/>
      <c r="K2" s="1489"/>
      <c r="L2" s="1489"/>
      <c r="M2" s="1489"/>
      <c r="N2" s="1489"/>
      <c r="O2" s="1489"/>
      <c r="P2" s="1489"/>
      <c r="Q2" s="1489"/>
      <c r="R2" s="1489"/>
      <c r="S2" s="1489"/>
    </row>
    <row r="3" spans="1:22" ht="15.75">
      <c r="A3" s="1870" t="s">
        <v>686</v>
      </c>
      <c r="B3" s="2600">
        <f ca="1">ROUND(B2*10000/E2,0)</f>
        <v>-4454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1" t="s">
        <v>1654</v>
      </c>
      <c r="C5" s="371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-27.658000000000001</v>
      </c>
      <c r="C6" s="1872" t="s">
        <v>1651</v>
      </c>
      <c r="D6" s="2708"/>
      <c r="E6" s="2605">
        <f>IF(OR(A6=0,F6="否"),0,'数据-取费表'!K6+'数据-取费表'!S6)</f>
        <v>62.1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C12" sqref="C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3389</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t="s">
        <v>3411</v>
      </c>
      <c r="F3" s="2004" t="s">
        <v>3459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23510</v>
      </c>
      <c r="N3" s="866">
        <f>SUMPRODUCT((因素修正幅度!B30:B54=I2)*(因素修正幅度!C3:G3=E2)*(因素修正幅度!C30:G54))</f>
        <v>7.0999999999999994E-2</v>
      </c>
      <c r="O3" s="1119"/>
      <c r="P3" s="1119"/>
      <c r="Q3" s="1119"/>
      <c r="R3" s="1212">
        <v>2</v>
      </c>
      <c r="S3" s="3360">
        <f>ROUND(SUMPRODUCT((B106:B110=R3)*(C105:N105=G2)*(C106:N110)),4)</f>
        <v>1.1838</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20"/>
      <c r="B4" s="3721"/>
      <c r="C4" s="3721"/>
      <c r="D4" s="3722"/>
      <c r="E4" s="3722"/>
      <c r="F4" s="3722"/>
      <c r="G4" s="3722"/>
      <c r="H4" s="3722"/>
      <c r="I4" s="3722"/>
      <c r="J4" s="372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-126</v>
      </c>
      <c r="D5" s="1339">
        <f>ROUND(C6*C17+C20,0)</f>
        <v>23384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17" t="s">
        <v>1960</v>
      </c>
      <c r="X8" s="371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19"/>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1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24" t="s">
        <v>3255</v>
      </c>
      <c r="B20" s="167" t="s">
        <v>1994</v>
      </c>
      <c r="C20" s="3324">
        <f>ROUND(IF(F21="与级别开发程度一致",0,(G21-E21)/C21),0)</f>
        <v>-126</v>
      </c>
      <c r="D20" s="3340" t="s">
        <v>1998</v>
      </c>
      <c r="E20" s="3341"/>
      <c r="F20" s="3730" t="s">
        <v>1995</v>
      </c>
      <c r="G20" s="3731"/>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2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43819</v>
      </c>
      <c r="H23" s="3342" t="s">
        <v>3257</v>
      </c>
      <c r="I23" s="3343" t="str">
        <f>IF(H23="季度增幅（自定义）",SUMIF(N25:N28,E2,O25:O28),"")</f>
        <v/>
      </c>
      <c r="J23" s="3445" t="s">
        <v>3256</v>
      </c>
      <c r="K23" s="1125"/>
      <c r="L23" s="2055" t="s">
        <v>2004</v>
      </c>
      <c r="M23" s="1328">
        <f>ROUND(SUMIF(地价!B2:G2,E2,地价!B16:G16),0)</f>
        <v>687</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存贷款利率!E26/100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3336</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1.4E-2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2" t="str">
        <f>IF(G3&gt;=10,D115,"——")</f>
        <v>——</v>
      </c>
      <c r="K26" s="1125"/>
      <c r="L26" s="2787"/>
      <c r="M26" s="2787"/>
      <c r="N26" s="2069" t="s">
        <v>2016</v>
      </c>
      <c r="O26" s="1173"/>
      <c r="P26" s="1174">
        <f>SUMPRODUCT((地价!A3:A40=YEAR(G23)&amp;"-"&amp;ROUNDUP(MONTH(G23)/3,0))*(地价!AD2:AH2=N26)*(地价!AD3:AH40))</f>
        <v>1.4E-2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2.1899999999999999E-2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1.4E-2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0.02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8"/>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11"/>
      <c r="K37" s="3358" t="s">
        <v>3267</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9"/>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29"/>
      <c r="B39" s="2041" t="s">
        <v>3260</v>
      </c>
      <c r="C39" s="175">
        <f>ROUND(D5*C22*C23*C24*C28*F39,0)</f>
        <v>0</v>
      </c>
      <c r="D39" s="2098"/>
      <c r="E39" s="171">
        <f t="shared" si="4"/>
        <v>0</v>
      </c>
      <c r="F39" s="171">
        <f>SUMIF(修正!A57:A68,G2,修正!D57:D68)</f>
        <v>0.25</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3270</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7.0999999999999994E-2</v>
      </c>
      <c r="G72" s="1063"/>
      <c r="H72" s="1066">
        <f t="shared" ref="H72:H80" si="18">IFERROR(ROUNDDOWN($F$72*I72/2,4),"——")</f>
        <v>7.1000000000000004E-3</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9.1999999999999998E-3</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3270</v>
      </c>
      <c r="B74" s="2134">
        <f>估价对象房地状况!C19</f>
        <v>0</v>
      </c>
      <c r="C74" s="2044"/>
      <c r="D74" s="1065">
        <f t="shared" si="17"/>
        <v>0</v>
      </c>
      <c r="E74" s="747"/>
      <c r="F74" s="1814"/>
      <c r="G74" s="1063"/>
      <c r="H74" s="1066">
        <f t="shared" si="18"/>
        <v>3.5000000000000001E-3</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f t="shared" si="18"/>
        <v>1.6999999999999999E-3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f t="shared" si="18"/>
        <v>2.8E-3</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f t="shared" si="18"/>
        <v>3.0999999999999999E-3</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f t="shared" si="18"/>
        <v>1.6999999999999999E-3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f t="shared" si="18"/>
        <v>4.1999999999999997E-3</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f t="shared" si="18"/>
        <v>1.6999999999999999E-3</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3279</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3280</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26" t="s">
        <v>3295</v>
      </c>
      <c r="B103" s="3726"/>
      <c r="C103" s="3726"/>
      <c r="D103" s="3726"/>
      <c r="E103" s="3726"/>
      <c r="F103" s="3726"/>
      <c r="G103" s="3726"/>
      <c r="H103" s="3726"/>
      <c r="I103" s="3726"/>
      <c r="J103" s="3726"/>
      <c r="K103" s="3389"/>
      <c r="L103" s="3389"/>
      <c r="M103" s="3389"/>
      <c r="N103" s="3389"/>
    </row>
    <row r="104" spans="1:14">
      <c r="A104" s="3727" t="s">
        <v>3296</v>
      </c>
      <c r="B104" s="3727" t="s">
        <v>3297</v>
      </c>
      <c r="C104" s="3390" t="s">
        <v>3298</v>
      </c>
      <c r="D104" s="3391"/>
      <c r="E104" s="3391"/>
      <c r="F104" s="3391"/>
      <c r="G104" s="3391"/>
      <c r="H104" s="3391"/>
      <c r="I104" s="3391"/>
      <c r="J104" s="3392"/>
      <c r="K104" s="3393"/>
      <c r="L104" s="3393"/>
      <c r="M104" s="3393"/>
      <c r="N104" s="3393"/>
    </row>
    <row r="105" spans="1:14">
      <c r="A105" s="3727"/>
      <c r="B105" s="3727"/>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13"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4"/>
      <c r="B111" s="3394" t="s">
        <v>3269</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15"/>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16" t="s">
        <v>3312</v>
      </c>
      <c r="B113" s="3716"/>
      <c r="C113" s="3716"/>
      <c r="D113" s="3716"/>
      <c r="E113" s="3716"/>
      <c r="F113" s="3716"/>
      <c r="G113" s="3716"/>
      <c r="H113" s="3716"/>
      <c r="I113" s="3716"/>
      <c r="J113" s="371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0.90080000000000005</v>
      </c>
      <c r="E116" s="2000" t="s">
        <v>3315</v>
      </c>
      <c r="F116" s="3401" t="str">
        <f>E2</f>
        <v>住宅</v>
      </c>
      <c r="G116" s="2000" t="s">
        <v>3316</v>
      </c>
      <c r="H116" s="3401" t="str">
        <f>G2</f>
        <v>三级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3331</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Normal="60" zoomScaleSheetLayoutView="100" workbookViewId="0">
      <selection activeCell="G104" sqref="G104"/>
    </sheetView>
  </sheetViews>
  <sheetFormatPr defaultColWidth="9" defaultRowHeight="14.25"/>
  <cols>
    <col min="1" max="1" width="10.5" style="357" customWidth="1"/>
    <col min="2" max="2" width="15.75" style="357" customWidth="1"/>
    <col min="3" max="3" width="19.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3389</v>
      </c>
      <c r="E1" s="3425"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445.30669999999998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71708</v>
      </c>
      <c r="C3" s="354" t="s">
        <v>1665</v>
      </c>
      <c r="D3" s="353">
        <f>IF(D1="",'数据-汇总表'!E3,SUMIF('数据-汇总表'!$C19:$C33,D1,'数据-汇总表'!$E19:$E33))</f>
        <v>62.1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50" t="s">
        <v>1667</v>
      </c>
      <c r="D4" s="3751"/>
      <c r="E4" s="3752" t="s">
        <v>1668</v>
      </c>
      <c r="F4" s="3753"/>
      <c r="G4" s="3750" t="s">
        <v>1669</v>
      </c>
      <c r="H4" s="3751"/>
      <c r="I4" s="3750" t="s">
        <v>1670</v>
      </c>
      <c r="J4" s="3751"/>
      <c r="K4" s="1889" t="s">
        <v>1671</v>
      </c>
      <c r="L4" s="2714"/>
      <c r="M4" s="2715"/>
      <c r="N4" s="2715"/>
      <c r="O4" s="2715"/>
      <c r="P4" s="3754" t="s">
        <v>1672</v>
      </c>
      <c r="Q4" s="3755"/>
      <c r="R4" s="3737" t="s">
        <v>1668</v>
      </c>
      <c r="S4" s="3738"/>
      <c r="T4" s="3737" t="s">
        <v>1669</v>
      </c>
      <c r="U4" s="3738"/>
      <c r="V4" s="3762" t="s">
        <v>1670</v>
      </c>
      <c r="W4" s="3762"/>
      <c r="X4" s="1355"/>
      <c r="Y4" s="3737" t="s">
        <v>1672</v>
      </c>
      <c r="Z4" s="3738"/>
      <c r="AA4" s="3732" t="s">
        <v>1668</v>
      </c>
      <c r="AB4" s="3732" t="s">
        <v>1669</v>
      </c>
      <c r="AC4" s="3732" t="s">
        <v>1670</v>
      </c>
    </row>
    <row r="5" spans="1:29" ht="15">
      <c r="A5" s="358"/>
      <c r="B5" s="359"/>
      <c r="C5" s="3743" t="s">
        <v>1673</v>
      </c>
      <c r="D5" s="3744"/>
      <c r="E5" s="3741" t="str">
        <f>Sheet4!B10</f>
        <v>王庄路27号1号楼2门262号</v>
      </c>
      <c r="F5" s="3742"/>
      <c r="G5" s="3763" t="str">
        <f>Sheet4!B12</f>
        <v>王庄路27号7号楼1门161号</v>
      </c>
      <c r="H5" s="3744"/>
      <c r="I5" s="3743" t="str">
        <f>Sheet5!B4</f>
        <v>海淀区王庄路27号9号楼511</v>
      </c>
      <c r="J5" s="3744"/>
      <c r="K5" s="1890"/>
      <c r="L5" s="2714"/>
      <c r="M5" s="2715"/>
      <c r="N5" s="2715"/>
      <c r="O5" s="2715"/>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1890" t="s">
        <v>1678</v>
      </c>
      <c r="L6" s="2714"/>
      <c r="M6" s="2715"/>
      <c r="N6" s="2715"/>
      <c r="O6" s="2715"/>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43819</v>
      </c>
      <c r="D7" s="365">
        <v>100</v>
      </c>
      <c r="E7" s="366">
        <f>Sheet4!Q10</f>
        <v>43676</v>
      </c>
      <c r="F7" s="367">
        <f>SUMIF(58:58,YEAR(E7)&amp;"-"&amp;MONTH(E7),59:59)</f>
        <v>100</v>
      </c>
      <c r="G7" s="366">
        <f>Sheet4!Q12</f>
        <v>43622</v>
      </c>
      <c r="H7" s="365">
        <f>SUMIF(58:58,YEAR(G7)&amp;"-"&amp;MONTH(G7),59:59)</f>
        <v>99.5</v>
      </c>
      <c r="I7" s="366" t="str">
        <f>Sheet5!V4</f>
        <v>2019年06月05日</v>
      </c>
      <c r="J7" s="365">
        <f>SUMIF(58:58,YEAR(I7)&amp;"-"&amp;MONTH(I7),59:59)</f>
        <v>99.5</v>
      </c>
      <c r="K7" s="1891"/>
      <c r="L7" s="2716"/>
      <c r="M7" s="2717"/>
      <c r="N7" s="2717"/>
      <c r="O7" s="2717"/>
      <c r="P7" s="3735" t="s">
        <v>1680</v>
      </c>
      <c r="Q7" s="3764"/>
      <c r="R7" s="701" t="s">
        <v>20</v>
      </c>
      <c r="S7" s="702">
        <f t="shared" ref="S7:S15" si="0">F7</f>
        <v>100</v>
      </c>
      <c r="T7" s="701" t="s">
        <v>20</v>
      </c>
      <c r="U7" s="702">
        <f t="shared" ref="U7:U15" si="1">H7</f>
        <v>99.5</v>
      </c>
      <c r="V7" s="701" t="s">
        <v>20</v>
      </c>
      <c r="W7" s="702">
        <f t="shared" ref="W7:W15" si="2">J7</f>
        <v>99.5</v>
      </c>
      <c r="X7" s="703"/>
      <c r="Y7" s="3735" t="s">
        <v>1680</v>
      </c>
      <c r="Z7" s="3736"/>
      <c r="AA7" s="704">
        <f>D7/F7</f>
        <v>1</v>
      </c>
      <c r="AB7" s="704">
        <f>D7/H7</f>
        <v>1.0050251256281406</v>
      </c>
      <c r="AC7" s="704">
        <f>D7/J7</f>
        <v>1.0050251256281406</v>
      </c>
    </row>
    <row r="8" spans="1:29" s="108" customFormat="1" ht="15.7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6"/>
      <c r="M8" s="2717"/>
      <c r="N8" s="2717"/>
      <c r="O8" s="2717"/>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ht="15" thickBot="1">
      <c r="A9" s="369" t="s">
        <v>1684</v>
      </c>
      <c r="B9" s="63" t="s">
        <v>1685</v>
      </c>
      <c r="C9" s="3448" t="s">
        <v>3397</v>
      </c>
      <c r="D9" s="126">
        <v>100</v>
      </c>
      <c r="E9" s="371" t="s">
        <v>3389</v>
      </c>
      <c r="F9" s="372">
        <f>SUMIF(63:63,E9,64:64)-SUMIF(63:63,C9,64:64)+100</f>
        <v>100</v>
      </c>
      <c r="G9" s="373" t="s">
        <v>3389</v>
      </c>
      <c r="H9" s="126">
        <f>SUMIF(63:63,G9,64:64)-SUMIF(63:63,C9,64:64)+100</f>
        <v>100</v>
      </c>
      <c r="I9" s="373" t="s">
        <v>3389</v>
      </c>
      <c r="J9" s="126">
        <f>SUMIF(63:63,I9,64:64)-SUMIF(63:63,C9,64:64)+100</f>
        <v>100</v>
      </c>
      <c r="K9" s="1891"/>
      <c r="L9" s="2716"/>
      <c r="M9" s="2717"/>
      <c r="N9" s="2717"/>
      <c r="O9" s="2717"/>
      <c r="P9" s="3749"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20"/>
      <c r="M11" s="2715"/>
      <c r="N11" s="2715"/>
      <c r="O11" s="2715"/>
      <c r="P11" s="3749"/>
      <c r="Q11" s="1343" t="str">
        <f t="shared" si="6"/>
        <v>容积率</v>
      </c>
      <c r="R11" s="701" t="s">
        <v>18</v>
      </c>
      <c r="S11" s="702">
        <f t="shared" si="0"/>
        <v>100</v>
      </c>
      <c r="T11" s="701" t="s">
        <v>18</v>
      </c>
      <c r="U11" s="702">
        <f t="shared" si="1"/>
        <v>100</v>
      </c>
      <c r="V11" s="701" t="s">
        <v>18</v>
      </c>
      <c r="W11" s="702">
        <f t="shared" si="2"/>
        <v>100</v>
      </c>
      <c r="X11" s="703"/>
      <c r="Y11" s="366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49"/>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49"/>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49"/>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71.2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7" t="s">
        <v>1691</v>
      </c>
      <c r="Q15" s="1352" t="str">
        <f t="shared" si="6"/>
        <v>居住社区成熟度</v>
      </c>
      <c r="R15" s="705" t="s">
        <v>18</v>
      </c>
      <c r="S15" s="706">
        <f t="shared" si="0"/>
        <v>100</v>
      </c>
      <c r="T15" s="705" t="s">
        <v>18</v>
      </c>
      <c r="U15" s="706">
        <f t="shared" si="1"/>
        <v>100</v>
      </c>
      <c r="V15" s="705" t="s">
        <v>18</v>
      </c>
      <c r="W15" s="706">
        <f t="shared" si="2"/>
        <v>100</v>
      </c>
      <c r="X15" s="1355"/>
      <c r="Y15" s="37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78"/>
      <c r="Q16" s="1352"/>
      <c r="R16" s="705"/>
      <c r="S16" s="706"/>
      <c r="T16" s="705"/>
      <c r="U16" s="706"/>
      <c r="V16" s="705"/>
      <c r="W16" s="706"/>
      <c r="X16" s="1355"/>
      <c r="Y16" s="3771"/>
      <c r="Z16" s="1356"/>
      <c r="AA16" s="1353">
        <v>1</v>
      </c>
      <c r="AB16" s="1353">
        <v>1</v>
      </c>
      <c r="AC16" s="1353">
        <v>1</v>
      </c>
    </row>
    <row r="17" spans="1:29" ht="57">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8"/>
      <c r="Q17" s="1352" t="str">
        <f>B17</f>
        <v>交通便捷度</v>
      </c>
      <c r="R17" s="705" t="s">
        <v>18</v>
      </c>
      <c r="S17" s="706">
        <f>F17</f>
        <v>100</v>
      </c>
      <c r="T17" s="705" t="s">
        <v>18</v>
      </c>
      <c r="U17" s="706">
        <f>H17</f>
        <v>100</v>
      </c>
      <c r="V17" s="705" t="s">
        <v>18</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78"/>
      <c r="Q18" s="1352"/>
      <c r="R18" s="705"/>
      <c r="S18" s="706"/>
      <c r="T18" s="705"/>
      <c r="U18" s="706"/>
      <c r="V18" s="705"/>
      <c r="W18" s="706"/>
      <c r="X18" s="1355"/>
      <c r="Y18" s="3771"/>
      <c r="Z18" s="1356"/>
      <c r="AA18" s="1353">
        <v>1</v>
      </c>
      <c r="AB18" s="1353">
        <v>1</v>
      </c>
      <c r="AC18" s="1353">
        <v>1</v>
      </c>
    </row>
    <row r="19" spans="1:29" ht="28.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8"/>
      <c r="Q19" s="1352" t="str">
        <f>B19</f>
        <v>公共配套设施</v>
      </c>
      <c r="R19" s="705" t="s">
        <v>18</v>
      </c>
      <c r="S19" s="706">
        <f>F19</f>
        <v>100</v>
      </c>
      <c r="T19" s="705" t="s">
        <v>18</v>
      </c>
      <c r="U19" s="706">
        <f>H19</f>
        <v>100</v>
      </c>
      <c r="V19" s="705" t="s">
        <v>18</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78"/>
      <c r="Q20" s="1352"/>
      <c r="R20" s="705"/>
      <c r="S20" s="706"/>
      <c r="T20" s="705"/>
      <c r="U20" s="706"/>
      <c r="V20" s="705"/>
      <c r="W20" s="706"/>
      <c r="X20" s="1355"/>
      <c r="Y20" s="37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78"/>
      <c r="Q22" s="1352"/>
      <c r="R22" s="705"/>
      <c r="S22" s="706"/>
      <c r="T22" s="705"/>
      <c r="U22" s="706"/>
      <c r="V22" s="705"/>
      <c r="W22" s="706"/>
      <c r="X22" s="1355"/>
      <c r="Y22" s="37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8"/>
      <c r="Q23" s="1352" t="str">
        <f>B23</f>
        <v>自然及人文环境</v>
      </c>
      <c r="R23" s="705" t="s">
        <v>18</v>
      </c>
      <c r="S23" s="706">
        <f>F23</f>
        <v>100</v>
      </c>
      <c r="T23" s="705" t="s">
        <v>18</v>
      </c>
      <c r="U23" s="706">
        <f>H23</f>
        <v>100</v>
      </c>
      <c r="V23" s="705" t="s">
        <v>18</v>
      </c>
      <c r="W23" s="706">
        <f>J23</f>
        <v>100</v>
      </c>
      <c r="X23" s="1355"/>
      <c r="Y23" s="37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78"/>
      <c r="Q24" s="1352"/>
      <c r="R24" s="705"/>
      <c r="S24" s="706"/>
      <c r="T24" s="705"/>
      <c r="U24" s="706"/>
      <c r="V24" s="705"/>
      <c r="W24" s="706"/>
      <c r="X24" s="1355"/>
      <c r="Y24" s="3771"/>
      <c r="Z24" s="1356"/>
      <c r="AA24" s="1353">
        <v>1</v>
      </c>
      <c r="AB24" s="1353">
        <v>1</v>
      </c>
      <c r="AC24" s="1353">
        <v>1</v>
      </c>
    </row>
    <row r="25" spans="1:29" ht="15"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1"/>
      <c r="M25" s="2715"/>
      <c r="N25" s="2715"/>
      <c r="O25" s="2715"/>
      <c r="P25" s="37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3408</v>
      </c>
      <c r="D26" s="386">
        <v>100</v>
      </c>
      <c r="E26" s="1906" t="s">
        <v>3567</v>
      </c>
      <c r="F26" s="386">
        <f>SUMIF(88:88,E26,89:89)-SUMIF(88:88,C26,89:89)+100</f>
        <v>99</v>
      </c>
      <c r="G26" s="1907" t="s">
        <v>3574</v>
      </c>
      <c r="H26" s="386">
        <f>SUMIF(88:88,G26,89:89)-SUMIF(88:88,C26,89:89)+100</f>
        <v>101</v>
      </c>
      <c r="I26" s="1907" t="s">
        <v>3567</v>
      </c>
      <c r="J26" s="386">
        <f>SUMIF(88:88,I26,89:89)-SUMIF(88:88,C26,89:89)+100</f>
        <v>99</v>
      </c>
      <c r="K26" s="377">
        <v>1</v>
      </c>
      <c r="L26" s="2721"/>
      <c r="M26" s="2715"/>
      <c r="N26" s="2715"/>
      <c r="O26" s="2715"/>
      <c r="P26" s="3778"/>
      <c r="Q26" s="1352" t="str">
        <f t="shared" si="11"/>
        <v>朝向</v>
      </c>
      <c r="R26" s="705" t="s">
        <v>18</v>
      </c>
      <c r="S26" s="706">
        <f t="shared" si="12"/>
        <v>99</v>
      </c>
      <c r="T26" s="705" t="s">
        <v>18</v>
      </c>
      <c r="U26" s="706">
        <f t="shared" si="13"/>
        <v>101</v>
      </c>
      <c r="V26" s="705" t="s">
        <v>18</v>
      </c>
      <c r="W26" s="706">
        <f t="shared" si="14"/>
        <v>99</v>
      </c>
      <c r="X26" s="1355"/>
      <c r="Y26" s="3771"/>
      <c r="Z26" s="1356" t="str">
        <f>Q26</f>
        <v>朝向</v>
      </c>
      <c r="AA26" s="1353">
        <f t="shared" si="15"/>
        <v>1.0101010101010102</v>
      </c>
      <c r="AB26" s="1353">
        <f t="shared" si="16"/>
        <v>0.99009900990099009</v>
      </c>
      <c r="AC26" s="1353">
        <f t="shared" si="17"/>
        <v>1.0101010101010102</v>
      </c>
    </row>
    <row r="27" spans="1:29" s="108" customFormat="1" ht="15">
      <c r="A27" s="382"/>
      <c r="B27" s="1133">
        <v>111</v>
      </c>
      <c r="C27" s="411" t="s">
        <v>3559</v>
      </c>
      <c r="D27" s="413">
        <v>100</v>
      </c>
      <c r="E27" s="1906" t="s">
        <v>3561</v>
      </c>
      <c r="F27" s="413">
        <f>SUMIF(90:90,E27,91:91)-SUMIF(90:90,C27,91:91)+100</f>
        <v>96</v>
      </c>
      <c r="G27" s="1907" t="s">
        <v>3560</v>
      </c>
      <c r="H27" s="413">
        <f>SUMIF(90:90,G27,91:91)-SUMIF(90:90,C27,91:91)+100</f>
        <v>96</v>
      </c>
      <c r="I27" s="1907" t="s">
        <v>3562</v>
      </c>
      <c r="J27" s="413">
        <f>SUMIF(90:90,I27,91:91)-SUMIF(90:90,C27,91:91)+100</f>
        <v>102</v>
      </c>
      <c r="K27" s="1894"/>
      <c r="L27" s="2716"/>
      <c r="M27" s="2717"/>
      <c r="N27" s="2717"/>
      <c r="O27" s="2717"/>
      <c r="P27" s="3778"/>
      <c r="Q27" s="1343">
        <f t="shared" si="11"/>
        <v>111</v>
      </c>
      <c r="R27" s="701" t="s">
        <v>18</v>
      </c>
      <c r="S27" s="702">
        <f t="shared" si="12"/>
        <v>96</v>
      </c>
      <c r="T27" s="701" t="s">
        <v>18</v>
      </c>
      <c r="U27" s="702">
        <f t="shared" si="13"/>
        <v>96</v>
      </c>
      <c r="V27" s="701" t="s">
        <v>18</v>
      </c>
      <c r="W27" s="702">
        <f t="shared" si="14"/>
        <v>102</v>
      </c>
      <c r="X27" s="703"/>
      <c r="Y27" s="3771"/>
      <c r="Z27" s="52">
        <f>Q27</f>
        <v>111</v>
      </c>
      <c r="AA27" s="1353">
        <f t="shared" si="15"/>
        <v>1.0416666666666667</v>
      </c>
      <c r="AB27" s="1353">
        <f t="shared" si="16"/>
        <v>1.0416666666666667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78"/>
      <c r="Q28" s="1352">
        <f t="shared" si="11"/>
        <v>111</v>
      </c>
      <c r="R28" s="705" t="s">
        <v>18</v>
      </c>
      <c r="S28" s="706">
        <f t="shared" si="12"/>
        <v>100</v>
      </c>
      <c r="T28" s="705" t="s">
        <v>18</v>
      </c>
      <c r="U28" s="706">
        <f t="shared" si="13"/>
        <v>100</v>
      </c>
      <c r="V28" s="705" t="s">
        <v>18</v>
      </c>
      <c r="W28" s="706">
        <f t="shared" si="14"/>
        <v>100</v>
      </c>
      <c r="X28" s="1355"/>
      <c r="Y28" s="37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78"/>
      <c r="Q29" s="1352">
        <f t="shared" si="11"/>
        <v>111</v>
      </c>
      <c r="R29" s="705" t="s">
        <v>18</v>
      </c>
      <c r="S29" s="706">
        <f t="shared" si="12"/>
        <v>100</v>
      </c>
      <c r="T29" s="705" t="s">
        <v>18</v>
      </c>
      <c r="U29" s="706">
        <f t="shared" si="13"/>
        <v>100</v>
      </c>
      <c r="V29" s="705" t="s">
        <v>18</v>
      </c>
      <c r="W29" s="706">
        <f t="shared" si="14"/>
        <v>100</v>
      </c>
      <c r="X29" s="1355"/>
      <c r="Y29" s="37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78"/>
      <c r="Q30" s="1352">
        <f t="shared" si="11"/>
        <v>111</v>
      </c>
      <c r="R30" s="705" t="s">
        <v>18</v>
      </c>
      <c r="S30" s="706">
        <f t="shared" si="12"/>
        <v>100</v>
      </c>
      <c r="T30" s="705" t="s">
        <v>18</v>
      </c>
      <c r="U30" s="706">
        <f t="shared" si="13"/>
        <v>100</v>
      </c>
      <c r="V30" s="705" t="s">
        <v>18</v>
      </c>
      <c r="W30" s="706">
        <f t="shared" si="14"/>
        <v>100</v>
      </c>
      <c r="X30" s="1355"/>
      <c r="Y30" s="37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78"/>
      <c r="Q31" s="1352">
        <f t="shared" si="11"/>
        <v>111</v>
      </c>
      <c r="R31" s="705" t="s">
        <v>18</v>
      </c>
      <c r="S31" s="706">
        <f t="shared" si="12"/>
        <v>100</v>
      </c>
      <c r="T31" s="705" t="s">
        <v>18</v>
      </c>
      <c r="U31" s="706">
        <f t="shared" si="13"/>
        <v>100</v>
      </c>
      <c r="V31" s="705" t="s">
        <v>18</v>
      </c>
      <c r="W31" s="706">
        <f t="shared" si="14"/>
        <v>100</v>
      </c>
      <c r="X31" s="1355"/>
      <c r="Y31" s="3771"/>
      <c r="Z31" s="1356">
        <f t="shared" si="18"/>
        <v>111</v>
      </c>
      <c r="AA31" s="1353">
        <f t="shared" si="15"/>
        <v>1</v>
      </c>
      <c r="AB31" s="1353">
        <f t="shared" si="16"/>
        <v>1</v>
      </c>
      <c r="AC31" s="1353">
        <f t="shared" si="17"/>
        <v>1</v>
      </c>
    </row>
    <row r="32" spans="1:29" ht="15">
      <c r="A32" s="391" t="s">
        <v>1694</v>
      </c>
      <c r="B32" s="63" t="s">
        <v>1695</v>
      </c>
      <c r="C32" s="1910" t="s">
        <v>3405</v>
      </c>
      <c r="D32" s="418">
        <v>100</v>
      </c>
      <c r="E32" s="1911" t="s">
        <v>3405</v>
      </c>
      <c r="F32" s="412">
        <f>SUMIF(100:100,E32,101:101)-SUMIF(100:100,C32,101:101)+100</f>
        <v>100</v>
      </c>
      <c r="G32" s="1910" t="s">
        <v>3405</v>
      </c>
      <c r="H32" s="418">
        <f>SUMIF(100:100,G32,101:101)-SUMIF(100:100,C32,101:101)+100</f>
        <v>100</v>
      </c>
      <c r="I32" s="1911" t="s">
        <v>3405</v>
      </c>
      <c r="J32" s="386">
        <f>SUMIF(100:100,I32,101:101)-SUMIF(100:100,C32,101:101)+100</f>
        <v>100</v>
      </c>
      <c r="K32" s="377">
        <v>3</v>
      </c>
      <c r="L32" s="2721"/>
      <c r="M32" s="2715"/>
      <c r="N32" s="2715"/>
      <c r="O32" s="2715"/>
      <c r="P32" s="3772" t="s">
        <v>1696</v>
      </c>
      <c r="Q32" s="1352" t="str">
        <f t="shared" si="11"/>
        <v>建筑类型</v>
      </c>
      <c r="R32" s="705" t="s">
        <v>18</v>
      </c>
      <c r="S32" s="706">
        <f t="shared" si="12"/>
        <v>100</v>
      </c>
      <c r="T32" s="705" t="s">
        <v>18</v>
      </c>
      <c r="U32" s="706">
        <f t="shared" si="13"/>
        <v>100</v>
      </c>
      <c r="V32" s="705" t="s">
        <v>18</v>
      </c>
      <c r="W32" s="706">
        <f t="shared" si="14"/>
        <v>100</v>
      </c>
      <c r="X32" s="1355"/>
      <c r="Y32" s="3775"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62.1</v>
      </c>
      <c r="D33" s="127">
        <v>100</v>
      </c>
      <c r="E33" s="381">
        <f>Sheet4!F10</f>
        <v>60.6</v>
      </c>
      <c r="F33" s="376">
        <f>LOOKUP(E33,103:103,104:104)-LOOKUP(C33,103:103,104:104)+100</f>
        <v>100</v>
      </c>
      <c r="G33" s="380">
        <f>Sheet4!F12</f>
        <v>82.2</v>
      </c>
      <c r="H33" s="127">
        <f>LOOKUP(G33,103:103,104:104)-LOOKUP(C33,103:103,104:104)+100</f>
        <v>98</v>
      </c>
      <c r="I33" s="381">
        <v>42.5</v>
      </c>
      <c r="J33" s="127">
        <f>LOOKUP(I33,103:103,104:104)-LOOKUP(C33,103:103,104:104)+100</f>
        <v>102</v>
      </c>
      <c r="K33" s="1894"/>
      <c r="L33" s="2720"/>
      <c r="M33" s="2722"/>
      <c r="N33" s="2722"/>
      <c r="O33" s="2722"/>
      <c r="P33" s="3773"/>
      <c r="Q33" s="707" t="str">
        <f t="shared" si="11"/>
        <v>项目建筑规模</v>
      </c>
      <c r="R33" s="708" t="s">
        <v>18</v>
      </c>
      <c r="S33" s="709">
        <f t="shared" si="12"/>
        <v>100</v>
      </c>
      <c r="T33" s="708" t="s">
        <v>18</v>
      </c>
      <c r="U33" s="709">
        <f t="shared" si="13"/>
        <v>98</v>
      </c>
      <c r="V33" s="708" t="s">
        <v>18</v>
      </c>
      <c r="W33" s="709">
        <f t="shared" si="14"/>
        <v>102</v>
      </c>
      <c r="X33" s="710"/>
      <c r="Y33" s="3775"/>
      <c r="Z33" s="711" t="str">
        <f t="shared" si="18"/>
        <v>项目建筑规模</v>
      </c>
      <c r="AA33" s="1353">
        <f t="shared" si="15"/>
        <v>1</v>
      </c>
      <c r="AB33" s="1353">
        <f t="shared" si="16"/>
        <v>1.0204081632653061</v>
      </c>
      <c r="AC33" s="1353">
        <f t="shared" si="17"/>
        <v>0.98039215686274506</v>
      </c>
    </row>
    <row r="34" spans="1:29" ht="15">
      <c r="A34" s="423"/>
      <c r="B34" s="375" t="s">
        <v>1698</v>
      </c>
      <c r="C34" s="1912" t="s">
        <v>3440</v>
      </c>
      <c r="D34" s="386">
        <v>100</v>
      </c>
      <c r="E34" s="1913" t="s">
        <v>3440</v>
      </c>
      <c r="F34" s="412">
        <f>SUMIF(105:105,E34,106:106)-SUMIF(105:105,C34,106:106)+100</f>
        <v>100</v>
      </c>
      <c r="G34" s="1912" t="s">
        <v>3440</v>
      </c>
      <c r="H34" s="386">
        <f>SUMIF(105:105,G34,106:106)-SUMIF(105:105,C34,106:106)+100</f>
        <v>100</v>
      </c>
      <c r="I34" s="1913" t="s">
        <v>3440</v>
      </c>
      <c r="J34" s="386">
        <f>SUMIF(105:105,I34,106:106)-SUMIF(105:105,C34,106:106)+100</f>
        <v>100</v>
      </c>
      <c r="K34" s="377">
        <v>5</v>
      </c>
      <c r="L34" s="2721"/>
      <c r="M34" s="2715"/>
      <c r="N34" s="2715"/>
      <c r="O34" s="2715"/>
      <c r="P34" s="3773"/>
      <c r="Q34" s="1352" t="str">
        <f t="shared" si="11"/>
        <v>建筑结构</v>
      </c>
      <c r="R34" s="705" t="s">
        <v>18</v>
      </c>
      <c r="S34" s="706">
        <f t="shared" si="12"/>
        <v>100</v>
      </c>
      <c r="T34" s="705" t="s">
        <v>18</v>
      </c>
      <c r="U34" s="706">
        <f t="shared" si="13"/>
        <v>100</v>
      </c>
      <c r="V34" s="705" t="s">
        <v>18</v>
      </c>
      <c r="W34" s="706">
        <f t="shared" si="14"/>
        <v>100</v>
      </c>
      <c r="X34" s="1355"/>
      <c r="Y34" s="37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73"/>
      <c r="Q35" s="1352" t="str">
        <f t="shared" si="11"/>
        <v>建筑品质</v>
      </c>
      <c r="R35" s="705" t="s">
        <v>18</v>
      </c>
      <c r="S35" s="706">
        <f t="shared" si="12"/>
        <v>100</v>
      </c>
      <c r="T35" s="705" t="s">
        <v>18</v>
      </c>
      <c r="U35" s="706">
        <f t="shared" si="13"/>
        <v>100</v>
      </c>
      <c r="V35" s="705" t="s">
        <v>18</v>
      </c>
      <c r="W35" s="706">
        <f t="shared" si="14"/>
        <v>100</v>
      </c>
      <c r="X35" s="1355"/>
      <c r="Y35" s="37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73"/>
      <c r="Q36" s="1352" t="str">
        <f t="shared" si="11"/>
        <v>公共部分装修</v>
      </c>
      <c r="R36" s="705" t="s">
        <v>18</v>
      </c>
      <c r="S36" s="706">
        <f t="shared" si="12"/>
        <v>100</v>
      </c>
      <c r="T36" s="705" t="s">
        <v>18</v>
      </c>
      <c r="U36" s="706">
        <f t="shared" si="13"/>
        <v>100</v>
      </c>
      <c r="V36" s="705" t="s">
        <v>18</v>
      </c>
      <c r="W36" s="706">
        <f t="shared" si="14"/>
        <v>100</v>
      </c>
      <c r="X36" s="1355"/>
      <c r="Y36" s="3775"/>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c r="L37" s="2716"/>
      <c r="M37" s="2717"/>
      <c r="N37" s="2717"/>
      <c r="O37" s="2717"/>
      <c r="P37" s="3773"/>
      <c r="Q37" s="1343" t="str">
        <f t="shared" si="11"/>
        <v>成新度</v>
      </c>
      <c r="R37" s="701" t="s">
        <v>18</v>
      </c>
      <c r="S37" s="702">
        <f t="shared" si="12"/>
        <v>100</v>
      </c>
      <c r="T37" s="701" t="s">
        <v>18</v>
      </c>
      <c r="U37" s="702">
        <f t="shared" si="13"/>
        <v>100</v>
      </c>
      <c r="V37" s="701" t="s">
        <v>18</v>
      </c>
      <c r="W37" s="702">
        <f t="shared" si="14"/>
        <v>100</v>
      </c>
      <c r="X37" s="703"/>
      <c r="Y37" s="3775"/>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73" t="s">
        <v>1696</v>
      </c>
      <c r="Q38" s="1352" t="str">
        <f t="shared" si="11"/>
        <v>物业管理</v>
      </c>
      <c r="R38" s="705" t="s">
        <v>18</v>
      </c>
      <c r="S38" s="706">
        <f t="shared" si="12"/>
        <v>100</v>
      </c>
      <c r="T38" s="705" t="s">
        <v>18</v>
      </c>
      <c r="U38" s="706">
        <f t="shared" si="13"/>
        <v>100</v>
      </c>
      <c r="V38" s="705" t="s">
        <v>18</v>
      </c>
      <c r="W38" s="706">
        <f t="shared" si="14"/>
        <v>100</v>
      </c>
      <c r="X38" s="1355"/>
      <c r="Y38" s="37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73"/>
      <c r="Q39" s="1352" t="str">
        <f t="shared" si="11"/>
        <v>市政基础设施</v>
      </c>
      <c r="R39" s="705" t="s">
        <v>18</v>
      </c>
      <c r="S39" s="706">
        <f t="shared" si="12"/>
        <v>100</v>
      </c>
      <c r="T39" s="705" t="s">
        <v>18</v>
      </c>
      <c r="U39" s="706">
        <f t="shared" si="13"/>
        <v>100</v>
      </c>
      <c r="V39" s="705" t="s">
        <v>18</v>
      </c>
      <c r="W39" s="706">
        <f t="shared" si="14"/>
        <v>100</v>
      </c>
      <c r="X39" s="1355"/>
      <c r="Y39" s="37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73"/>
      <c r="Q40" s="1352" t="str">
        <f t="shared" si="11"/>
        <v>房型</v>
      </c>
      <c r="R40" s="705" t="s">
        <v>18</v>
      </c>
      <c r="S40" s="706">
        <f t="shared" si="12"/>
        <v>100</v>
      </c>
      <c r="T40" s="705" t="s">
        <v>18</v>
      </c>
      <c r="U40" s="706">
        <f t="shared" si="13"/>
        <v>100</v>
      </c>
      <c r="V40" s="705" t="s">
        <v>18</v>
      </c>
      <c r="W40" s="706">
        <f t="shared" si="14"/>
        <v>100</v>
      </c>
      <c r="X40" s="1355"/>
      <c r="Y40" s="37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73"/>
      <c r="Q41" s="707" t="str">
        <f t="shared" si="11"/>
        <v>单套/主力户型建筑面积</v>
      </c>
      <c r="R41" s="708" t="s">
        <v>18</v>
      </c>
      <c r="S41" s="709">
        <f t="shared" si="12"/>
        <v>100</v>
      </c>
      <c r="T41" s="708" t="s">
        <v>18</v>
      </c>
      <c r="U41" s="709">
        <f t="shared" si="13"/>
        <v>100</v>
      </c>
      <c r="V41" s="708" t="s">
        <v>18</v>
      </c>
      <c r="W41" s="709">
        <f t="shared" si="14"/>
        <v>100</v>
      </c>
      <c r="X41" s="710"/>
      <c r="Y41" s="3775"/>
      <c r="Z41" s="711" t="str">
        <f t="shared" si="18"/>
        <v>单套/主力户型建筑面积</v>
      </c>
      <c r="AA41" s="1353">
        <f t="shared" si="15"/>
        <v>1</v>
      </c>
      <c r="AB41" s="1353">
        <f t="shared" si="16"/>
        <v>1</v>
      </c>
      <c r="AC41" s="1353">
        <f t="shared" si="17"/>
        <v>1</v>
      </c>
    </row>
    <row r="42" spans="1:29" ht="15">
      <c r="A42" s="423"/>
      <c r="B42" s="375" t="s">
        <v>1706</v>
      </c>
      <c r="C42" s="3453" t="s">
        <v>3402</v>
      </c>
      <c r="D42" s="386">
        <v>100</v>
      </c>
      <c r="E42" s="1907" t="s">
        <v>3399</v>
      </c>
      <c r="F42" s="412">
        <f>SUMIF(122:122,E42,123:123)-SUMIF(122:122,C42,123:123)+100</f>
        <v>104</v>
      </c>
      <c r="G42" s="1906" t="s">
        <v>3399</v>
      </c>
      <c r="H42" s="386">
        <f>SUMIF(122:122,G42,123:123)-SUMIF(122:122,C42,123:123)+100</f>
        <v>104</v>
      </c>
      <c r="I42" s="1907" t="s">
        <v>3399</v>
      </c>
      <c r="J42" s="386">
        <f>SUMIF(122:122,I42,123:123)-SUMIF(122:122,C42,123:123)+100</f>
        <v>104</v>
      </c>
      <c r="K42" s="3455">
        <v>2</v>
      </c>
      <c r="L42" s="2721"/>
      <c r="M42" s="2715"/>
      <c r="N42" s="2715"/>
      <c r="O42" s="2715"/>
      <c r="P42" s="3773"/>
      <c r="Q42" s="1352" t="str">
        <f t="shared" si="11"/>
        <v>内部装修</v>
      </c>
      <c r="R42" s="705" t="s">
        <v>18</v>
      </c>
      <c r="S42" s="706">
        <f t="shared" si="12"/>
        <v>104</v>
      </c>
      <c r="T42" s="705" t="s">
        <v>18</v>
      </c>
      <c r="U42" s="706">
        <f t="shared" si="13"/>
        <v>104</v>
      </c>
      <c r="V42" s="705" t="s">
        <v>18</v>
      </c>
      <c r="W42" s="706">
        <f t="shared" si="14"/>
        <v>104</v>
      </c>
      <c r="X42" s="1355"/>
      <c r="Y42" s="3775"/>
      <c r="Z42" s="1356" t="str">
        <f t="shared" si="18"/>
        <v>内部装修</v>
      </c>
      <c r="AA42" s="1353">
        <f t="shared" si="15"/>
        <v>0.96153846153846156</v>
      </c>
      <c r="AB42" s="1353">
        <f t="shared" si="16"/>
        <v>0.96153846153846156</v>
      </c>
      <c r="AC42" s="1353">
        <f t="shared" si="17"/>
        <v>0.96153846153846156</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73"/>
      <c r="Q43" s="1352" t="str">
        <f t="shared" si="11"/>
        <v>内部装修维护情况</v>
      </c>
      <c r="R43" s="705" t="s">
        <v>18</v>
      </c>
      <c r="S43" s="706">
        <f t="shared" si="12"/>
        <v>100</v>
      </c>
      <c r="T43" s="705" t="s">
        <v>18</v>
      </c>
      <c r="U43" s="706">
        <f t="shared" si="13"/>
        <v>100</v>
      </c>
      <c r="V43" s="705" t="s">
        <v>18</v>
      </c>
      <c r="W43" s="706">
        <f t="shared" si="14"/>
        <v>100</v>
      </c>
      <c r="X43" s="1355"/>
      <c r="Y43" s="3775"/>
      <c r="Z43" s="1356" t="str">
        <f t="shared" si="18"/>
        <v>内部装修维护情况</v>
      </c>
      <c r="AA43" s="1353">
        <f t="shared" si="15"/>
        <v>1</v>
      </c>
      <c r="AB43" s="1353">
        <f t="shared" si="16"/>
        <v>1</v>
      </c>
      <c r="AC43" s="1353">
        <f t="shared" si="17"/>
        <v>1</v>
      </c>
    </row>
    <row r="44" spans="1:29" s="108" customFormat="1" ht="15">
      <c r="A44" s="424"/>
      <c r="B44" s="3452" t="s">
        <v>3407</v>
      </c>
      <c r="C44" s="420">
        <v>1982</v>
      </c>
      <c r="D44" s="127">
        <v>100</v>
      </c>
      <c r="E44" s="420">
        <v>1989</v>
      </c>
      <c r="F44" s="376">
        <f>SUMIF(126:126,E44,127:127)-SUMIF(126:126,C44,127:127)+100</f>
        <v>100.7</v>
      </c>
      <c r="G44" s="420">
        <v>1986</v>
      </c>
      <c r="H44" s="127">
        <f>SUMIF(126:126,G44,127:127)-SUMIF(126:126,C44,127:127)+100</f>
        <v>100.4</v>
      </c>
      <c r="I44" s="420">
        <v>1986</v>
      </c>
      <c r="J44" s="127">
        <f>SUMIF(126:126,I44,127:127)-SUMIF(126:126,C44,127:127)+100</f>
        <v>100.4</v>
      </c>
      <c r="K44" s="1894"/>
      <c r="L44" s="2716"/>
      <c r="M44" s="2717"/>
      <c r="N44" s="2717"/>
      <c r="O44" s="2717"/>
      <c r="P44" s="3773"/>
      <c r="Q44" s="1343" t="str">
        <f t="shared" si="11"/>
        <v>建成年代</v>
      </c>
      <c r="R44" s="701" t="s">
        <v>18</v>
      </c>
      <c r="S44" s="702">
        <f t="shared" si="12"/>
        <v>100.7</v>
      </c>
      <c r="T44" s="701" t="s">
        <v>18</v>
      </c>
      <c r="U44" s="702">
        <f t="shared" si="13"/>
        <v>100.4</v>
      </c>
      <c r="V44" s="701" t="s">
        <v>18</v>
      </c>
      <c r="W44" s="702">
        <f t="shared" si="14"/>
        <v>100.4</v>
      </c>
      <c r="X44" s="703"/>
      <c r="Y44" s="3775"/>
      <c r="Z44" s="52" t="str">
        <f t="shared" si="18"/>
        <v>建成年代</v>
      </c>
      <c r="AA44" s="704">
        <f t="shared" si="15"/>
        <v>0.99304865938430975</v>
      </c>
      <c r="AB44" s="704">
        <f t="shared" si="16"/>
        <v>0.99601593625497997</v>
      </c>
      <c r="AC44" s="704">
        <f t="shared" si="17"/>
        <v>0.99601593625497997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73"/>
      <c r="Q45" s="1352">
        <f t="shared" si="11"/>
        <v>111</v>
      </c>
      <c r="R45" s="705" t="s">
        <v>18</v>
      </c>
      <c r="S45" s="706">
        <f t="shared" si="12"/>
        <v>100</v>
      </c>
      <c r="T45" s="705" t="s">
        <v>18</v>
      </c>
      <c r="U45" s="706">
        <f t="shared" si="13"/>
        <v>100</v>
      </c>
      <c r="V45" s="705" t="s">
        <v>18</v>
      </c>
      <c r="W45" s="706">
        <f t="shared" si="14"/>
        <v>100</v>
      </c>
      <c r="X45" s="1355"/>
      <c r="Y45" s="37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74"/>
      <c r="Q46" s="1352">
        <f t="shared" si="11"/>
        <v>111</v>
      </c>
      <c r="R46" s="705" t="s">
        <v>17</v>
      </c>
      <c r="S46" s="706">
        <f t="shared" si="12"/>
        <v>100</v>
      </c>
      <c r="T46" s="705" t="s">
        <v>17</v>
      </c>
      <c r="U46" s="706">
        <f t="shared" si="13"/>
        <v>100</v>
      </c>
      <c r="V46" s="705" t="s">
        <v>17</v>
      </c>
      <c r="W46" s="706">
        <f t="shared" si="14"/>
        <v>100</v>
      </c>
      <c r="X46" s="1355"/>
      <c r="Y46" s="3776"/>
      <c r="Z46" s="1356">
        <f t="shared" si="18"/>
        <v>111</v>
      </c>
      <c r="AA46" s="1353">
        <f t="shared" si="15"/>
        <v>1</v>
      </c>
      <c r="AB46" s="1353">
        <f t="shared" si="16"/>
        <v>1</v>
      </c>
      <c r="AC46" s="1353">
        <f t="shared" si="17"/>
        <v>1</v>
      </c>
    </row>
    <row r="47" spans="1:29" ht="15">
      <c r="A47" s="430" t="s">
        <v>1708</v>
      </c>
      <c r="B47" s="431"/>
      <c r="C47" s="1154" t="s">
        <v>16</v>
      </c>
      <c r="D47" s="1155"/>
      <c r="E47" s="1156">
        <f>Sheet4!N10</f>
        <v>74257</v>
      </c>
      <c r="F47" s="1157"/>
      <c r="G47" s="1158">
        <f>Sheet4!N12</f>
        <v>73601</v>
      </c>
      <c r="H47" s="1159"/>
      <c r="I47" s="1156">
        <f>Sheet5!M4</f>
        <v>70588</v>
      </c>
      <c r="J47" s="1159"/>
      <c r="K47" s="1914"/>
      <c r="L47" s="2723"/>
      <c r="M47" s="2724"/>
      <c r="N47" s="2715"/>
      <c r="O47" s="2724"/>
      <c r="P47" s="3768" t="str">
        <f>A47</f>
        <v>成交单价（元/平方米）</v>
      </c>
      <c r="Q47" s="3768"/>
      <c r="R47" s="3769">
        <f>E47</f>
        <v>74257</v>
      </c>
      <c r="S47" s="3769"/>
      <c r="T47" s="3769">
        <f>G47</f>
        <v>73601</v>
      </c>
      <c r="U47" s="3769"/>
      <c r="V47" s="3769">
        <f>I47</f>
        <v>70588</v>
      </c>
      <c r="W47" s="3769"/>
      <c r="X47" s="690"/>
      <c r="Y47" s="712"/>
      <c r="Z47" s="690"/>
      <c r="AA47" s="690"/>
      <c r="AB47" s="690"/>
      <c r="AC47" s="690"/>
    </row>
    <row r="48" spans="1:29" ht="15.75" thickBot="1">
      <c r="A48" s="437" t="s">
        <v>1709</v>
      </c>
      <c r="B48" s="438"/>
      <c r="C48" s="1160">
        <f>R49</f>
        <v>71708</v>
      </c>
      <c r="D48" s="2317" t="s">
        <v>2138</v>
      </c>
      <c r="E48" s="1161">
        <f>R48</f>
        <v>74605</v>
      </c>
      <c r="F48" s="2318"/>
      <c r="G48" s="1160">
        <f>T48</f>
        <v>74555</v>
      </c>
      <c r="H48" s="2318"/>
      <c r="I48" s="1161">
        <f>V48</f>
        <v>65964</v>
      </c>
      <c r="J48" s="2318"/>
      <c r="K48" s="2319">
        <f>F48+H48+J48</f>
        <v>0</v>
      </c>
      <c r="L48" s="2723"/>
      <c r="M48" s="2724"/>
      <c r="N48" s="2724"/>
      <c r="O48" s="2724"/>
      <c r="P48" s="3768" t="str">
        <f>A48</f>
        <v>比较价值（元/平方米）</v>
      </c>
      <c r="Q48" s="3768"/>
      <c r="R48" s="3769">
        <f>IF(F1="售价",ROUND(PRODUCT(R47,AA7:AA46),0),ROUND(PRODUCT(R47,AA7:AA46),1))</f>
        <v>74605</v>
      </c>
      <c r="S48" s="3769"/>
      <c r="T48" s="3769">
        <f>IF(F1="售价",ROUND(PRODUCT(T47,AB7:AB46),0),ROUND(PRODUCT(T47,AB7:AB46),1))</f>
        <v>74555</v>
      </c>
      <c r="U48" s="3769"/>
      <c r="V48" s="3769">
        <f>IF(F1="售价",ROUND(PRODUCT(V47,AC7:AC46),0),ROUND(PRODUCT(V47,AC7:AC46),1))</f>
        <v>65964</v>
      </c>
      <c r="W48" s="3769"/>
      <c r="X48" s="690"/>
      <c r="Y48" s="690"/>
      <c r="Z48" s="690"/>
      <c r="AA48" s="690"/>
      <c r="AB48" s="690"/>
      <c r="AC48" s="690"/>
    </row>
    <row r="49" spans="1:29" ht="15.75" thickBot="1">
      <c r="A49" s="441" t="s">
        <v>1710</v>
      </c>
      <c r="B49" s="442"/>
      <c r="C49" s="1162">
        <f>R49</f>
        <v>71708</v>
      </c>
      <c r="D49" s="1163"/>
      <c r="E49" s="1163"/>
      <c r="F49" s="1163"/>
      <c r="G49" s="1163"/>
      <c r="H49" s="1163"/>
      <c r="I49" s="1163"/>
      <c r="J49" s="1163"/>
      <c r="K49" s="1915"/>
      <c r="L49" s="2723"/>
      <c r="M49" s="2724"/>
      <c r="N49" s="2724"/>
      <c r="O49" s="2724"/>
      <c r="P49" s="3765" t="str">
        <f>A49</f>
        <v>估价对象XX用房的比较价值（楼面单价，元/平方米）</v>
      </c>
      <c r="Q49" s="3766"/>
      <c r="R49" s="3767">
        <f>IF(F1="售价",ROUND(IF(D48="简单平均",AVERAGE(R48:V48),R48*F48+T48*H48+V48*J48),0),ROUND(IF(D48="简单平均",AVERAGE(R48:V48),R48*F48+T48*H48+V48*J48),1))</f>
        <v>71708</v>
      </c>
      <c r="S49" s="3767"/>
      <c r="T49" s="3767"/>
      <c r="U49" s="3767"/>
      <c r="V49" s="3767"/>
      <c r="W49" s="37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4.6864268688473487E-3</v>
      </c>
      <c r="F52" s="449" t="str">
        <f>IF(OR(E52&gt;=0.3,E52&lt;=-0.3),"超过30%","")</f>
        <v/>
      </c>
      <c r="G52" s="448">
        <f>IF(G47&lt;G48,G48/G47-1,G47/G48-1)</f>
        <v>1.296178041059215E-2</v>
      </c>
      <c r="H52" s="449" t="str">
        <f>IF(OR(G52&gt;=0.3,G52&lt;=-0.3),"超过30%","")</f>
        <v/>
      </c>
      <c r="I52" s="448">
        <f>IF(I47&lt;I48,I48/I47-1,I47/I48-1)</f>
        <v>7.0098841792492816E-2</v>
      </c>
      <c r="J52" s="449" t="str">
        <f>IF(OR(I52&gt;=0.3,I52&lt;=-0.3),"超过30%","")</f>
        <v/>
      </c>
      <c r="K52" s="2729"/>
      <c r="L52" s="2725"/>
      <c r="M52" s="2724"/>
      <c r="N52" s="2724"/>
      <c r="O52" s="2724"/>
    </row>
    <row r="53" spans="1:29" ht="13.5" customHeight="1">
      <c r="A53" s="2724"/>
      <c r="B53" s="2724"/>
      <c r="C53" s="446" t="s">
        <v>1712</v>
      </c>
      <c r="D53" s="450"/>
      <c r="E53" s="448">
        <f>IF(E48&lt;G48,G48/E48-1,E48/G48-1)</f>
        <v>6.7064583193610083E-4</v>
      </c>
      <c r="F53" s="449" t="str">
        <f>IF(OR(E53&gt;=0.2,E53&lt;=-0.2),"超过20%","")</f>
        <v/>
      </c>
      <c r="G53" s="448">
        <f>IF(G48&lt;I48,I48/G48-1,G48/I48-1)</f>
        <v>0.13023770541507496</v>
      </c>
      <c r="H53" s="449" t="str">
        <f>IF(OR(G53&gt;=0.2,G53&lt;=-0.2),"超过20%","")</f>
        <v/>
      </c>
      <c r="I53" s="448">
        <f>IF(I48&lt;E48,E48/I48-1,I48/E48-1)</f>
        <v>0.13099569462130867</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8.9129223787720591E-3</v>
      </c>
      <c r="F54" s="449" t="str">
        <f>IF(OR(E54&gt;=0.3,E54&lt;=-0.3),"超过30%","")</f>
        <v/>
      </c>
      <c r="G54" s="448">
        <f>IF(G47&lt;I47,I47/G47-1,G47/I47-1)</f>
        <v>4.2684308947696481E-2</v>
      </c>
      <c r="H54" s="449" t="str">
        <f>IF(OR(G54&gt;=0.3,G54&lt;=-0.3),"超过30%","")</f>
        <v/>
      </c>
      <c r="I54" s="448">
        <f>IF(I47&lt;E47,E47/I47-1,I47/E47-1)</f>
        <v>5.1977673258910784E-2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2019-12</v>
      </c>
      <c r="D58" s="1185">
        <f>EDATE(C58,-1)</f>
        <v>43770</v>
      </c>
      <c r="E58" s="1185">
        <f>EDATE(D58,-1)</f>
        <v>43739</v>
      </c>
      <c r="F58" s="1185">
        <f t="shared" ref="F58:O58" si="19">EDATE(E58,-1)</f>
        <v>43709</v>
      </c>
      <c r="G58" s="1185">
        <f t="shared" si="19"/>
        <v>43678</v>
      </c>
      <c r="H58" s="1185">
        <f t="shared" si="19"/>
        <v>43647</v>
      </c>
      <c r="I58" s="1185">
        <f t="shared" si="19"/>
        <v>43617</v>
      </c>
      <c r="J58" s="1185">
        <f t="shared" si="19"/>
        <v>43586</v>
      </c>
      <c r="K58" s="1185">
        <f t="shared" si="19"/>
        <v>43556</v>
      </c>
      <c r="L58" s="1185">
        <f t="shared" si="19"/>
        <v>43525</v>
      </c>
      <c r="M58" s="1185">
        <f t="shared" si="19"/>
        <v>43497</v>
      </c>
      <c r="N58" s="1185">
        <f t="shared" si="19"/>
        <v>43466</v>
      </c>
      <c r="O58" s="1185">
        <f t="shared" si="19"/>
        <v>43435</v>
      </c>
      <c r="P58" s="1181"/>
    </row>
    <row r="59" spans="1:29" s="108" customFormat="1" ht="15">
      <c r="A59" s="458"/>
      <c r="B59" s="1919"/>
      <c r="C59" s="1183">
        <v>100</v>
      </c>
      <c r="D59" s="460">
        <v>100</v>
      </c>
      <c r="E59" s="461">
        <v>100</v>
      </c>
      <c r="F59" s="461">
        <v>100</v>
      </c>
      <c r="G59" s="461">
        <v>100</v>
      </c>
      <c r="H59" s="461">
        <v>100</v>
      </c>
      <c r="I59" s="461">
        <v>99.5</v>
      </c>
      <c r="J59" s="461">
        <f>I59</f>
        <v>99.5</v>
      </c>
      <c r="K59" s="461">
        <f>I59</f>
        <v>99.5</v>
      </c>
      <c r="L59" s="461">
        <f>I59</f>
        <v>99.5</v>
      </c>
      <c r="M59" s="462">
        <f>I59</f>
        <v>99.5</v>
      </c>
      <c r="N59" s="461">
        <f>I59</f>
        <v>99.5</v>
      </c>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28.5" thickTop="1">
      <c r="A86" s="528"/>
      <c r="B86" s="487" t="s">
        <v>1734</v>
      </c>
      <c r="C86" s="503" t="s">
        <v>3432</v>
      </c>
      <c r="D86" s="503" t="s">
        <v>3433</v>
      </c>
      <c r="E86" s="3458" t="s">
        <v>3436</v>
      </c>
      <c r="F86" s="503" t="s">
        <v>3437</v>
      </c>
      <c r="G86" s="503"/>
      <c r="H86" s="503"/>
      <c r="I86" s="503"/>
      <c r="J86" s="503"/>
      <c r="K86" s="503"/>
      <c r="L86" s="529"/>
      <c r="M86" s="530"/>
      <c r="N86" s="932"/>
      <c r="O86" s="932"/>
      <c r="P86" s="1922"/>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75" thickTop="1">
      <c r="A88" s="528"/>
      <c r="B88" s="487" t="s">
        <v>1735</v>
      </c>
      <c r="C88" s="3500" t="s">
        <v>3575</v>
      </c>
      <c r="D88" s="3459" t="s">
        <v>3450</v>
      </c>
      <c r="E88" s="3460" t="s">
        <v>3451</v>
      </c>
      <c r="F88" s="3460" t="s">
        <v>3452</v>
      </c>
      <c r="G88" s="3460" t="s">
        <v>3453</v>
      </c>
      <c r="H88" s="3460" t="s">
        <v>3448</v>
      </c>
      <c r="I88" s="3460" t="s">
        <v>3454</v>
      </c>
      <c r="J88" s="3461" t="s">
        <v>3447</v>
      </c>
      <c r="K88" s="3461" t="s">
        <v>3455</v>
      </c>
      <c r="L88" s="3460" t="s">
        <v>3456</v>
      </c>
      <c r="M88" s="3460" t="s">
        <v>3457</v>
      </c>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5" thickTop="1">
      <c r="A90" s="502"/>
      <c r="B90" s="487">
        <f>B27</f>
        <v>111</v>
      </c>
      <c r="C90" s="503" t="s">
        <v>3565</v>
      </c>
      <c r="D90" s="503" t="s">
        <v>3564</v>
      </c>
      <c r="E90" s="3458" t="s">
        <v>3563</v>
      </c>
      <c r="F90" s="503"/>
      <c r="G90" s="503"/>
      <c r="H90" s="504"/>
      <c r="I90" s="504"/>
      <c r="J90" s="504"/>
      <c r="K90" s="504"/>
      <c r="L90" s="505"/>
      <c r="M90" s="506"/>
      <c r="N90" s="935"/>
      <c r="O90" s="935"/>
      <c r="P90" s="1923"/>
      <c r="Q90" s="508"/>
    </row>
    <row r="91" spans="1:17" s="422" customFormat="1" ht="15.75" thickBot="1">
      <c r="A91" s="502"/>
      <c r="B91" s="492"/>
      <c r="C91" s="509">
        <v>100</v>
      </c>
      <c r="D91" s="509">
        <v>102</v>
      </c>
      <c r="E91" s="509">
        <v>96</v>
      </c>
      <c r="F91" s="509"/>
      <c r="G91" s="509"/>
      <c r="H91" s="511"/>
      <c r="I91" s="511"/>
      <c r="J91" s="511"/>
      <c r="K91" s="511"/>
      <c r="L91" s="511"/>
      <c r="M91" s="512"/>
      <c r="N91" s="935"/>
      <c r="O91" s="935"/>
      <c r="P91" s="1923"/>
      <c r="Q91" s="508"/>
    </row>
    <row r="92" spans="1:17" ht="15.75" thickTop="1">
      <c r="A92" s="483"/>
      <c r="B92" s="487">
        <f>B28</f>
        <v>111</v>
      </c>
      <c r="C92" s="3449" t="s">
        <v>3569</v>
      </c>
      <c r="D92" s="3449" t="s">
        <v>3570</v>
      </c>
      <c r="E92" s="3449" t="s">
        <v>3571</v>
      </c>
      <c r="F92" s="3449" t="s">
        <v>3572</v>
      </c>
      <c r="G92" s="3450" t="s">
        <v>3573</v>
      </c>
      <c r="H92" s="532"/>
      <c r="I92" s="532"/>
      <c r="J92" s="532"/>
      <c r="K92" s="533"/>
      <c r="L92" s="534"/>
      <c r="M92" s="535"/>
      <c r="N92" s="933"/>
      <c r="O92" s="933"/>
      <c r="P92" s="1922"/>
      <c r="Q92" s="453"/>
    </row>
    <row r="93" spans="1:17" ht="15.75" thickBot="1">
      <c r="A93" s="483"/>
      <c r="B93" s="492"/>
      <c r="C93" s="509">
        <v>100</v>
      </c>
      <c r="D93" s="485">
        <v>102</v>
      </c>
      <c r="E93" s="485">
        <v>104</v>
      </c>
      <c r="F93" s="485">
        <v>106</v>
      </c>
      <c r="G93" s="485">
        <v>108</v>
      </c>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3435</v>
      </c>
      <c r="D100" s="3451" t="s">
        <v>3434</v>
      </c>
      <c r="E100" s="3451" t="s">
        <v>3441</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75" thickTop="1">
      <c r="A102" s="483"/>
      <c r="B102" s="487" t="s">
        <v>1737</v>
      </c>
      <c r="C102" s="527" t="str">
        <f>C103&amp;"(含)"&amp;"-"&amp;D103</f>
        <v>0(含)-40</v>
      </c>
      <c r="D102" s="527" t="str">
        <f t="shared" ref="D102:L102" si="26">D103&amp;"(含)"&amp;"-"&amp;E103</f>
        <v>40(含)-60</v>
      </c>
      <c r="E102" s="527" t="str">
        <f t="shared" si="26"/>
        <v>60(含)-80</v>
      </c>
      <c r="F102" s="527" t="str">
        <f t="shared" si="26"/>
        <v>80(含)-100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40</v>
      </c>
      <c r="E103" s="544">
        <v>60</v>
      </c>
      <c r="F103" s="544">
        <v>80</v>
      </c>
      <c r="G103" s="544">
        <v>100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D105" s="3449" t="s">
        <v>3439</v>
      </c>
      <c r="E105" s="3449" t="s">
        <v>3406</v>
      </c>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0" t="s">
        <v>3404</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49" t="s">
        <v>3398</v>
      </c>
      <c r="D122" s="3449" t="s">
        <v>3400</v>
      </c>
      <c r="E122" s="3449" t="s">
        <v>3401</v>
      </c>
      <c r="F122" s="3450" t="s">
        <v>3403</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1982</v>
      </c>
      <c r="D126" s="503">
        <v>1986</v>
      </c>
      <c r="E126" s="503">
        <v>1989</v>
      </c>
      <c r="F126" s="503"/>
      <c r="G126" s="503"/>
      <c r="H126" s="504"/>
      <c r="I126" s="504"/>
      <c r="J126" s="504"/>
      <c r="K126" s="504"/>
      <c r="L126" s="505"/>
      <c r="M126" s="506"/>
      <c r="N126" s="935"/>
      <c r="O126" s="935"/>
      <c r="P126" s="1923"/>
      <c r="Q126" s="508"/>
    </row>
    <row r="127" spans="1:17" s="422" customFormat="1" ht="15.75" thickBot="1">
      <c r="A127" s="502"/>
      <c r="B127" s="492"/>
      <c r="C127" s="509">
        <v>100</v>
      </c>
      <c r="D127" s="485">
        <v>100.4</v>
      </c>
      <c r="E127" s="485">
        <v>100.7</v>
      </c>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S17" sqref="S17"/>
    </sheetView>
  </sheetViews>
  <sheetFormatPr defaultRowHeight="13.5"/>
  <cols>
    <col min="17" max="17" width="17.25" customWidth="1"/>
  </cols>
  <sheetData>
    <row r="1" spans="1:20" ht="14.25" thickBot="1">
      <c r="A1" s="3456" t="s">
        <v>3412</v>
      </c>
      <c r="B1" s="3456" t="s">
        <v>3413</v>
      </c>
      <c r="C1" s="3456" t="s">
        <v>3414</v>
      </c>
      <c r="D1" s="3456" t="s">
        <v>3415</v>
      </c>
      <c r="E1" s="3456" t="s">
        <v>3416</v>
      </c>
      <c r="F1" s="3456" t="s">
        <v>3417</v>
      </c>
      <c r="G1" s="3456" t="s">
        <v>3418</v>
      </c>
      <c r="H1" s="3456" t="s">
        <v>3419</v>
      </c>
      <c r="I1" s="3456" t="s">
        <v>3420</v>
      </c>
      <c r="J1" s="3456" t="s">
        <v>3421</v>
      </c>
      <c r="K1" s="3456" t="s">
        <v>3422</v>
      </c>
      <c r="L1" s="3456" t="s">
        <v>3423</v>
      </c>
      <c r="M1" s="3456" t="s">
        <v>3424</v>
      </c>
      <c r="N1" s="3456" t="s">
        <v>3425</v>
      </c>
      <c r="O1" s="3456" t="s">
        <v>3426</v>
      </c>
      <c r="P1" s="3456" t="s">
        <v>3427</v>
      </c>
      <c r="Q1" s="3456" t="s">
        <v>3428</v>
      </c>
    </row>
    <row r="2" spans="1:20" ht="26.25" thickBot="1">
      <c r="A2" s="3468" t="s">
        <v>3460</v>
      </c>
      <c r="B2" s="3468" t="s">
        <v>3461</v>
      </c>
      <c r="C2" s="3468" t="s">
        <v>3462</v>
      </c>
      <c r="D2" s="3468" t="s">
        <v>3463</v>
      </c>
      <c r="E2" s="3468" t="s">
        <v>3429</v>
      </c>
      <c r="F2" s="3468">
        <v>61.9</v>
      </c>
      <c r="G2" s="3468" t="s">
        <v>3389</v>
      </c>
      <c r="H2" s="3468">
        <v>6</v>
      </c>
      <c r="I2" s="3468">
        <v>6</v>
      </c>
      <c r="J2" s="3468">
        <v>1986</v>
      </c>
      <c r="K2" s="3468" t="s">
        <v>633</v>
      </c>
      <c r="L2" s="3468" t="s">
        <v>633</v>
      </c>
      <c r="M2" s="3468" t="s">
        <v>633</v>
      </c>
      <c r="N2" s="3468">
        <v>78514</v>
      </c>
      <c r="O2" s="3468">
        <v>75885</v>
      </c>
      <c r="P2" s="3468">
        <v>4697282</v>
      </c>
      <c r="Q2" s="3469">
        <v>44271</v>
      </c>
    </row>
    <row r="3" spans="1:20" ht="26.25" thickBot="1">
      <c r="A3" s="3464" t="s">
        <v>3460</v>
      </c>
      <c r="B3" s="3464" t="s">
        <v>3464</v>
      </c>
      <c r="C3" s="3464" t="s">
        <v>3462</v>
      </c>
      <c r="D3" s="3464" t="s">
        <v>3463</v>
      </c>
      <c r="E3" s="3464" t="s">
        <v>3465</v>
      </c>
      <c r="F3" s="3464">
        <v>42</v>
      </c>
      <c r="G3" s="3464" t="s">
        <v>3389</v>
      </c>
      <c r="H3" s="3464">
        <v>6</v>
      </c>
      <c r="I3" s="3464">
        <v>4</v>
      </c>
      <c r="J3" s="3464" t="s">
        <v>633</v>
      </c>
      <c r="K3" s="3464">
        <v>1985</v>
      </c>
      <c r="L3" s="3464" t="s">
        <v>633</v>
      </c>
      <c r="M3" s="3464" t="s">
        <v>633</v>
      </c>
      <c r="N3" s="3464">
        <v>83333</v>
      </c>
      <c r="O3" s="3464">
        <v>77997</v>
      </c>
      <c r="P3" s="3464">
        <v>3275874</v>
      </c>
      <c r="Q3" s="3465">
        <v>44221</v>
      </c>
    </row>
    <row r="4" spans="1:20" ht="39" thickBot="1">
      <c r="A4" s="3462" t="s">
        <v>3460</v>
      </c>
      <c r="B4" s="3462" t="s">
        <v>3466</v>
      </c>
      <c r="C4" s="3462" t="s">
        <v>3462</v>
      </c>
      <c r="D4" s="3462" t="s">
        <v>3463</v>
      </c>
      <c r="E4" s="3462" t="s">
        <v>3429</v>
      </c>
      <c r="F4" s="3462">
        <v>57.4</v>
      </c>
      <c r="G4" s="3462" t="s">
        <v>3389</v>
      </c>
      <c r="H4" s="3462">
        <v>5</v>
      </c>
      <c r="I4" s="3462">
        <v>5</v>
      </c>
      <c r="J4" s="3462" t="s">
        <v>633</v>
      </c>
      <c r="K4" s="3462">
        <v>1985</v>
      </c>
      <c r="L4" s="3462" t="s">
        <v>633</v>
      </c>
      <c r="M4" s="3462" t="s">
        <v>633</v>
      </c>
      <c r="N4" s="3462">
        <v>81882</v>
      </c>
      <c r="O4" s="3462">
        <v>76315</v>
      </c>
      <c r="P4" s="3462">
        <v>4380481</v>
      </c>
      <c r="Q4" s="3463">
        <v>44189</v>
      </c>
    </row>
    <row r="5" spans="1:20" ht="26.25" thickBot="1">
      <c r="A5" s="3464" t="s">
        <v>3460</v>
      </c>
      <c r="B5" s="3464" t="s">
        <v>3467</v>
      </c>
      <c r="C5" s="3464" t="s">
        <v>3462</v>
      </c>
      <c r="D5" s="3464" t="s">
        <v>3463</v>
      </c>
      <c r="E5" s="3464" t="s">
        <v>3429</v>
      </c>
      <c r="F5" s="3464">
        <v>46.9</v>
      </c>
      <c r="G5" s="3464" t="s">
        <v>3389</v>
      </c>
      <c r="H5" s="3464">
        <v>6</v>
      </c>
      <c r="I5" s="3464">
        <v>4</v>
      </c>
      <c r="J5" s="3464" t="s">
        <v>633</v>
      </c>
      <c r="K5" s="3464">
        <v>1983</v>
      </c>
      <c r="L5" s="3464" t="s">
        <v>633</v>
      </c>
      <c r="M5" s="3464" t="s">
        <v>633</v>
      </c>
      <c r="N5" s="3464">
        <v>75693</v>
      </c>
      <c r="O5" s="3464">
        <v>72342</v>
      </c>
      <c r="P5" s="3464">
        <v>3392840</v>
      </c>
      <c r="Q5" s="3465">
        <v>44100</v>
      </c>
    </row>
    <row r="6" spans="1:20" ht="26.25" thickBot="1">
      <c r="A6" s="3462" t="s">
        <v>3460</v>
      </c>
      <c r="B6" s="3462" t="s">
        <v>3468</v>
      </c>
      <c r="C6" s="3462" t="s">
        <v>3462</v>
      </c>
      <c r="D6" s="3462" t="s">
        <v>3463</v>
      </c>
      <c r="E6" s="3462" t="s">
        <v>3465</v>
      </c>
      <c r="F6" s="3462">
        <v>60.4</v>
      </c>
      <c r="G6" s="3462" t="s">
        <v>3389</v>
      </c>
      <c r="H6" s="3462">
        <v>6</v>
      </c>
      <c r="I6" s="3462">
        <v>2</v>
      </c>
      <c r="J6" s="3462" t="s">
        <v>633</v>
      </c>
      <c r="K6" s="3462">
        <v>1983</v>
      </c>
      <c r="L6" s="3462" t="s">
        <v>633</v>
      </c>
      <c r="M6" s="3462" t="s">
        <v>633</v>
      </c>
      <c r="N6" s="3462">
        <v>0</v>
      </c>
      <c r="O6" s="3462">
        <v>70377</v>
      </c>
      <c r="P6" s="3462">
        <v>4250771</v>
      </c>
      <c r="Q6" s="3463">
        <v>44040</v>
      </c>
    </row>
    <row r="7" spans="1:20" ht="26.25" thickBot="1">
      <c r="A7" s="3464" t="s">
        <v>3460</v>
      </c>
      <c r="B7" s="3464" t="s">
        <v>3469</v>
      </c>
      <c r="C7" s="3464" t="s">
        <v>3462</v>
      </c>
      <c r="D7" s="3464" t="s">
        <v>3463</v>
      </c>
      <c r="E7" s="3464" t="s">
        <v>3465</v>
      </c>
      <c r="F7" s="3464">
        <v>79.7</v>
      </c>
      <c r="G7" s="3464" t="s">
        <v>3389</v>
      </c>
      <c r="H7" s="3464">
        <v>6</v>
      </c>
      <c r="I7" s="3464">
        <v>5</v>
      </c>
      <c r="J7" s="3464">
        <v>1983</v>
      </c>
      <c r="K7" s="3464" t="s">
        <v>633</v>
      </c>
      <c r="L7" s="3464" t="s">
        <v>633</v>
      </c>
      <c r="M7" s="3464" t="s">
        <v>633</v>
      </c>
      <c r="N7" s="3464">
        <v>80050</v>
      </c>
      <c r="O7" s="3464">
        <v>76411</v>
      </c>
      <c r="P7" s="3464">
        <v>6089957</v>
      </c>
      <c r="Q7" s="3465">
        <v>44137</v>
      </c>
    </row>
    <row r="8" spans="1:20" ht="26.25" thickBot="1">
      <c r="A8" s="3462" t="s">
        <v>3460</v>
      </c>
      <c r="B8" s="3462" t="s">
        <v>3470</v>
      </c>
      <c r="C8" s="3462" t="s">
        <v>3462</v>
      </c>
      <c r="D8" s="3462" t="s">
        <v>3463</v>
      </c>
      <c r="E8" s="3462" t="s">
        <v>3465</v>
      </c>
      <c r="F8" s="3462">
        <v>64</v>
      </c>
      <c r="G8" s="3462" t="s">
        <v>3389</v>
      </c>
      <c r="H8" s="3462">
        <v>6</v>
      </c>
      <c r="I8" s="3462">
        <v>2</v>
      </c>
      <c r="J8" s="3462" t="s">
        <v>633</v>
      </c>
      <c r="K8" s="3462">
        <v>1991</v>
      </c>
      <c r="L8" s="3462" t="s">
        <v>633</v>
      </c>
      <c r="M8" s="3462" t="s">
        <v>633</v>
      </c>
      <c r="N8" s="3462">
        <v>70313</v>
      </c>
      <c r="O8" s="3462">
        <v>70439</v>
      </c>
      <c r="P8" s="3462">
        <v>4508096</v>
      </c>
      <c r="Q8" s="3463">
        <v>44006</v>
      </c>
    </row>
    <row r="9" spans="1:20" s="3472" customFormat="1" ht="26.25" thickBot="1">
      <c r="A9" s="3470" t="s">
        <v>3460</v>
      </c>
      <c r="B9" s="3470" t="s">
        <v>3471</v>
      </c>
      <c r="C9" s="3470" t="s">
        <v>3462</v>
      </c>
      <c r="D9" s="3470" t="s">
        <v>3463</v>
      </c>
      <c r="E9" s="3470" t="s">
        <v>3465</v>
      </c>
      <c r="F9" s="3470">
        <v>62.1</v>
      </c>
      <c r="G9" s="3470" t="s">
        <v>3389</v>
      </c>
      <c r="H9" s="3470">
        <v>6</v>
      </c>
      <c r="I9" s="3470">
        <v>2</v>
      </c>
      <c r="J9" s="3470" t="s">
        <v>633</v>
      </c>
      <c r="K9" s="3470">
        <v>1982</v>
      </c>
      <c r="L9" s="3470" t="s">
        <v>633</v>
      </c>
      <c r="M9" s="3470" t="s">
        <v>633</v>
      </c>
      <c r="N9" s="3470">
        <v>75684</v>
      </c>
      <c r="O9" s="3470">
        <v>67216</v>
      </c>
      <c r="P9" s="3470">
        <v>4174114</v>
      </c>
      <c r="Q9" s="3471">
        <v>43796</v>
      </c>
      <c r="S9" s="3472">
        <f ca="1">结果表!G20</f>
        <v>67169</v>
      </c>
      <c r="T9" s="3472">
        <f ca="1">S9*F9</f>
        <v>4171194.9</v>
      </c>
    </row>
    <row r="10" spans="1:20" ht="26.25" thickBot="1">
      <c r="A10" s="3475" t="s">
        <v>3460</v>
      </c>
      <c r="B10" s="3475" t="s">
        <v>3472</v>
      </c>
      <c r="C10" s="3475" t="s">
        <v>3462</v>
      </c>
      <c r="D10" s="3475" t="s">
        <v>3473</v>
      </c>
      <c r="E10" s="3475" t="s">
        <v>3465</v>
      </c>
      <c r="F10" s="3475">
        <v>60.6</v>
      </c>
      <c r="G10" s="3475" t="s">
        <v>3389</v>
      </c>
      <c r="H10" s="3475">
        <v>6</v>
      </c>
      <c r="I10" s="3475">
        <v>6</v>
      </c>
      <c r="J10" s="3475" t="s">
        <v>633</v>
      </c>
      <c r="K10" s="3475">
        <v>1989</v>
      </c>
      <c r="L10" s="3475" t="s">
        <v>633</v>
      </c>
      <c r="M10" s="3475" t="s">
        <v>633</v>
      </c>
      <c r="N10" s="3475">
        <v>74257</v>
      </c>
      <c r="O10" s="3475">
        <v>66612</v>
      </c>
      <c r="P10" s="3475">
        <v>4036687</v>
      </c>
      <c r="Q10" s="3476">
        <v>43676</v>
      </c>
      <c r="R10" s="3498" t="s">
        <v>3568</v>
      </c>
    </row>
    <row r="11" spans="1:20" ht="26.25" thickBot="1">
      <c r="A11" s="3464" t="s">
        <v>3460</v>
      </c>
      <c r="B11" s="3464" t="s">
        <v>3474</v>
      </c>
      <c r="C11" s="3464" t="s">
        <v>3462</v>
      </c>
      <c r="D11" s="3464" t="s">
        <v>3463</v>
      </c>
      <c r="E11" s="3464" t="s">
        <v>3429</v>
      </c>
      <c r="F11" s="3464">
        <v>42</v>
      </c>
      <c r="G11" s="3464" t="s">
        <v>3389</v>
      </c>
      <c r="H11" s="3464">
        <v>6</v>
      </c>
      <c r="I11" s="3464">
        <v>1</v>
      </c>
      <c r="J11" s="3464" t="s">
        <v>633</v>
      </c>
      <c r="K11" s="3464">
        <v>1985</v>
      </c>
      <c r="L11" s="3464" t="s">
        <v>633</v>
      </c>
      <c r="M11" s="3464" t="s">
        <v>633</v>
      </c>
      <c r="N11" s="3464">
        <v>87857</v>
      </c>
      <c r="O11" s="3464">
        <v>78670</v>
      </c>
      <c r="P11" s="3464">
        <v>3304140</v>
      </c>
      <c r="Q11" s="3465">
        <v>43648</v>
      </c>
    </row>
    <row r="12" spans="1:20" ht="26.25" thickBot="1">
      <c r="A12" s="3473" t="s">
        <v>3460</v>
      </c>
      <c r="B12" s="3473" t="s">
        <v>3475</v>
      </c>
      <c r="C12" s="3473" t="s">
        <v>3462</v>
      </c>
      <c r="D12" s="3473" t="s">
        <v>3473</v>
      </c>
      <c r="E12" s="3473" t="s">
        <v>3465</v>
      </c>
      <c r="F12" s="3473">
        <v>82.2</v>
      </c>
      <c r="G12" s="3473" t="s">
        <v>3389</v>
      </c>
      <c r="H12" s="3473">
        <v>6</v>
      </c>
      <c r="I12" s="3473">
        <v>6</v>
      </c>
      <c r="J12" s="3473" t="s">
        <v>633</v>
      </c>
      <c r="K12" s="3473">
        <v>1986</v>
      </c>
      <c r="L12" s="3473" t="s">
        <v>633</v>
      </c>
      <c r="M12" s="3473" t="s">
        <v>633</v>
      </c>
      <c r="N12" s="3473">
        <v>73601</v>
      </c>
      <c r="O12" s="3473">
        <v>70613</v>
      </c>
      <c r="P12" s="3473">
        <v>5804389</v>
      </c>
      <c r="Q12" s="3474">
        <v>43622</v>
      </c>
      <c r="R12" s="3498" t="s">
        <v>3566</v>
      </c>
      <c r="S12" s="3499"/>
    </row>
    <row r="13" spans="1:20" ht="26.25" thickBot="1">
      <c r="A13" s="3464" t="s">
        <v>3460</v>
      </c>
      <c r="B13" s="3464" t="s">
        <v>3476</v>
      </c>
      <c r="C13" s="3464" t="s">
        <v>3462</v>
      </c>
      <c r="D13" s="3464" t="s">
        <v>3477</v>
      </c>
      <c r="E13" s="3464" t="s">
        <v>3465</v>
      </c>
      <c r="F13" s="3464">
        <v>42</v>
      </c>
      <c r="G13" s="3464" t="s">
        <v>3389</v>
      </c>
      <c r="H13" s="3464">
        <v>6</v>
      </c>
      <c r="I13" s="3464">
        <v>3</v>
      </c>
      <c r="J13" s="3464" t="s">
        <v>633</v>
      </c>
      <c r="K13" s="3464">
        <v>1986</v>
      </c>
      <c r="L13" s="3464" t="s">
        <v>633</v>
      </c>
      <c r="M13" s="3464" t="s">
        <v>633</v>
      </c>
      <c r="N13" s="3464">
        <v>82143</v>
      </c>
      <c r="O13" s="3464">
        <v>77969</v>
      </c>
      <c r="P13" s="3464">
        <v>3274698</v>
      </c>
      <c r="Q13" s="3465">
        <v>43610</v>
      </c>
    </row>
    <row r="14" spans="1:20" ht="26.25" thickBot="1">
      <c r="A14" s="3462" t="s">
        <v>3460</v>
      </c>
      <c r="B14" s="3462" t="s">
        <v>3478</v>
      </c>
      <c r="C14" s="3462" t="s">
        <v>3462</v>
      </c>
      <c r="D14" s="3462" t="s">
        <v>3463</v>
      </c>
      <c r="E14" s="3462" t="s">
        <v>3429</v>
      </c>
      <c r="F14" s="3462">
        <v>42.5</v>
      </c>
      <c r="G14" s="3462" t="s">
        <v>3389</v>
      </c>
      <c r="H14" s="3462" t="s">
        <v>3430</v>
      </c>
      <c r="I14" s="3462">
        <v>5</v>
      </c>
      <c r="J14" s="3462" t="s">
        <v>633</v>
      </c>
      <c r="K14" s="3462">
        <v>1986</v>
      </c>
      <c r="L14" s="3462" t="s">
        <v>633</v>
      </c>
      <c r="M14" s="3462" t="s">
        <v>633</v>
      </c>
      <c r="N14" s="3462">
        <v>83294</v>
      </c>
      <c r="O14" s="3462">
        <v>76225</v>
      </c>
      <c r="P14" s="3462">
        <v>3239563</v>
      </c>
      <c r="Q14" s="3463">
        <v>43566</v>
      </c>
    </row>
    <row r="15" spans="1:20" ht="26.25" thickBot="1">
      <c r="A15" s="3464" t="s">
        <v>3460</v>
      </c>
      <c r="B15" s="3464" t="s">
        <v>3479</v>
      </c>
      <c r="C15" s="3464" t="s">
        <v>3462</v>
      </c>
      <c r="D15" s="3464" t="s">
        <v>3480</v>
      </c>
      <c r="E15" s="3464" t="s">
        <v>3465</v>
      </c>
      <c r="F15" s="3464">
        <v>42</v>
      </c>
      <c r="G15" s="3464" t="s">
        <v>3389</v>
      </c>
      <c r="H15" s="3464">
        <v>6</v>
      </c>
      <c r="I15" s="3464">
        <v>4</v>
      </c>
      <c r="J15" s="3464" t="s">
        <v>633</v>
      </c>
      <c r="K15" s="3464">
        <v>1986</v>
      </c>
      <c r="L15" s="3464" t="s">
        <v>633</v>
      </c>
      <c r="M15" s="3464" t="s">
        <v>633</v>
      </c>
      <c r="N15" s="3464">
        <v>81429</v>
      </c>
      <c r="O15" s="3464">
        <v>74148</v>
      </c>
      <c r="P15" s="3464">
        <v>3114216</v>
      </c>
      <c r="Q15" s="3465">
        <v>43552</v>
      </c>
    </row>
    <row r="16" spans="1:20" ht="26.25" thickBot="1">
      <c r="A16" s="3466" t="s">
        <v>3460</v>
      </c>
      <c r="B16" s="3466" t="s">
        <v>3481</v>
      </c>
      <c r="C16" s="3466" t="s">
        <v>3462</v>
      </c>
      <c r="D16" s="3466" t="s">
        <v>3482</v>
      </c>
      <c r="E16" s="3466" t="s">
        <v>3429</v>
      </c>
      <c r="F16" s="3466">
        <v>60.4</v>
      </c>
      <c r="G16" s="3466" t="s">
        <v>3389</v>
      </c>
      <c r="H16" s="3466">
        <v>6</v>
      </c>
      <c r="I16" s="3466">
        <v>6</v>
      </c>
      <c r="J16" s="3466" t="s">
        <v>633</v>
      </c>
      <c r="K16" s="3466">
        <v>1986</v>
      </c>
      <c r="L16" s="3466" t="s">
        <v>633</v>
      </c>
      <c r="M16" s="3466" t="s">
        <v>633</v>
      </c>
      <c r="N16" s="3466">
        <v>75331</v>
      </c>
      <c r="O16" s="3466">
        <v>70634</v>
      </c>
      <c r="P16" s="3466">
        <v>4266294</v>
      </c>
      <c r="Q16" s="3467">
        <v>43244</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2019年12月20日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
  <sheetViews>
    <sheetView workbookViewId="0">
      <selection activeCell="U18" sqref="U18"/>
    </sheetView>
  </sheetViews>
  <sheetFormatPr defaultRowHeight="13.5"/>
  <cols>
    <col min="2" max="2" width="25.75" customWidth="1"/>
    <col min="21" max="21" width="28.25" customWidth="1"/>
    <col min="22" max="22" width="19.875" customWidth="1"/>
    <col min="23" max="23" width="24.875" hidden="1" customWidth="1"/>
    <col min="24" max="34" width="0" hidden="1" customWidth="1"/>
  </cols>
  <sheetData>
    <row r="1" spans="1:35" ht="17.45" customHeight="1">
      <c r="A1" s="3781" t="s">
        <v>3431</v>
      </c>
      <c r="B1" s="3781" t="s">
        <v>3527</v>
      </c>
      <c r="C1" s="3477"/>
      <c r="D1" s="3781" t="s">
        <v>3528</v>
      </c>
      <c r="E1" s="3477"/>
      <c r="F1" s="3781" t="s">
        <v>3529</v>
      </c>
      <c r="G1" s="3779" t="s">
        <v>3530</v>
      </c>
      <c r="H1" s="3779" t="s">
        <v>3531</v>
      </c>
      <c r="I1" s="3788" t="s">
        <v>3532</v>
      </c>
      <c r="J1" s="3788" t="s">
        <v>3533</v>
      </c>
      <c r="K1" s="3478"/>
      <c r="L1" s="3788" t="s">
        <v>3534</v>
      </c>
      <c r="M1" s="3779" t="s">
        <v>3535</v>
      </c>
      <c r="N1" s="3779" t="s">
        <v>3536</v>
      </c>
      <c r="O1" s="3783" t="s">
        <v>3537</v>
      </c>
      <c r="P1" s="3779" t="s">
        <v>3538</v>
      </c>
      <c r="Q1" s="3785" t="s">
        <v>3539</v>
      </c>
      <c r="R1" s="3786"/>
      <c r="S1" s="3787"/>
      <c r="T1" s="3779" t="s">
        <v>3540</v>
      </c>
      <c r="U1" s="3788" t="s">
        <v>3541</v>
      </c>
      <c r="V1" s="3479"/>
      <c r="W1" s="3478"/>
      <c r="X1" s="3779" t="s">
        <v>3542</v>
      </c>
      <c r="Y1" s="3480"/>
      <c r="Z1" s="3790" t="s">
        <v>3543</v>
      </c>
      <c r="AA1" s="3791"/>
      <c r="AB1" s="3792" t="s">
        <v>3555</v>
      </c>
      <c r="AC1" s="3486"/>
      <c r="AD1" s="3486"/>
      <c r="AE1" s="3779" t="s">
        <v>3483</v>
      </c>
      <c r="AF1" s="3487" t="s">
        <v>3556</v>
      </c>
      <c r="AG1" s="3488"/>
    </row>
    <row r="2" spans="1:35" ht="18.75">
      <c r="A2" s="3782"/>
      <c r="B2" s="3782"/>
      <c r="C2" s="3481" t="s">
        <v>3544</v>
      </c>
      <c r="D2" s="3782"/>
      <c r="E2" s="3481" t="s">
        <v>3545</v>
      </c>
      <c r="F2" s="3782"/>
      <c r="G2" s="3780"/>
      <c r="H2" s="3780"/>
      <c r="I2" s="3789"/>
      <c r="J2" s="3789"/>
      <c r="K2" s="3482" t="s">
        <v>3546</v>
      </c>
      <c r="L2" s="3789"/>
      <c r="M2" s="3780"/>
      <c r="N2" s="3780"/>
      <c r="O2" s="3784"/>
      <c r="P2" s="3780"/>
      <c r="Q2" s="3482" t="s">
        <v>3547</v>
      </c>
      <c r="R2" s="3482" t="s">
        <v>3548</v>
      </c>
      <c r="S2" s="3482" t="s">
        <v>3549</v>
      </c>
      <c r="T2" s="3780"/>
      <c r="U2" s="3789"/>
      <c r="V2" s="3483" t="s">
        <v>3550</v>
      </c>
      <c r="W2" s="3482" t="s">
        <v>3551</v>
      </c>
      <c r="X2" s="3780"/>
      <c r="Y2" s="3484" t="s">
        <v>3552</v>
      </c>
      <c r="Z2" s="3485" t="s">
        <v>3553</v>
      </c>
      <c r="AA2" s="3485" t="s">
        <v>3554</v>
      </c>
      <c r="AB2" s="3793"/>
      <c r="AC2" s="3489" t="s">
        <v>3484</v>
      </c>
      <c r="AD2" s="3489" t="s">
        <v>3557</v>
      </c>
      <c r="AE2" s="3780"/>
      <c r="AF2" s="3490" t="s">
        <v>3485</v>
      </c>
      <c r="AG2" s="3491" t="s">
        <v>3486</v>
      </c>
    </row>
    <row r="3" spans="1:35">
      <c r="A3" s="3492" t="s">
        <v>3487</v>
      </c>
      <c r="B3" s="3492" t="s">
        <v>3488</v>
      </c>
      <c r="C3" s="3493"/>
      <c r="D3" s="3492" t="s">
        <v>3489</v>
      </c>
      <c r="E3" s="3493"/>
      <c r="F3" s="3493"/>
      <c r="G3" s="3492" t="s">
        <v>3490</v>
      </c>
      <c r="H3" s="3492" t="s">
        <v>3491</v>
      </c>
      <c r="I3" s="3492" t="s">
        <v>3492</v>
      </c>
      <c r="J3" s="3492" t="s">
        <v>3493</v>
      </c>
      <c r="K3" s="3492" t="s">
        <v>3494</v>
      </c>
      <c r="L3" s="3492" t="s">
        <v>3495</v>
      </c>
      <c r="M3" s="3494">
        <v>38500</v>
      </c>
      <c r="N3" s="3492" t="s">
        <v>3496</v>
      </c>
      <c r="O3" s="3495">
        <v>4108300</v>
      </c>
      <c r="P3" s="3496" t="s">
        <v>3497</v>
      </c>
      <c r="Q3" s="3492" t="s">
        <v>3498</v>
      </c>
      <c r="R3" s="3492" t="s">
        <v>3499</v>
      </c>
      <c r="S3" s="3492" t="s">
        <v>3500</v>
      </c>
      <c r="T3" s="3492" t="s">
        <v>3501</v>
      </c>
      <c r="U3" s="3492" t="s">
        <v>3502</v>
      </c>
      <c r="V3" s="3492" t="s">
        <v>3503</v>
      </c>
      <c r="W3" s="3493"/>
      <c r="X3" s="3492" t="s">
        <v>3504</v>
      </c>
      <c r="Y3" s="3493"/>
      <c r="Z3" s="3492" t="s">
        <v>3505</v>
      </c>
      <c r="AA3" s="3492" t="s">
        <v>3506</v>
      </c>
      <c r="AB3" s="3492" t="s">
        <v>3503</v>
      </c>
      <c r="AC3" s="3493"/>
      <c r="AD3" s="3492" t="s">
        <v>3507</v>
      </c>
      <c r="AE3" s="3492" t="s">
        <v>3508</v>
      </c>
      <c r="AF3" s="3497"/>
      <c r="AG3" s="3493"/>
    </row>
    <row r="4" spans="1:35">
      <c r="A4" s="3492" t="s">
        <v>3509</v>
      </c>
      <c r="B4" s="3492" t="s">
        <v>3558</v>
      </c>
      <c r="C4" s="3493"/>
      <c r="D4" s="3492" t="s">
        <v>3510</v>
      </c>
      <c r="E4" s="3493"/>
      <c r="F4" s="3493"/>
      <c r="G4" s="3492" t="s">
        <v>3511</v>
      </c>
      <c r="H4" s="3492" t="s">
        <v>3512</v>
      </c>
      <c r="I4" s="3492" t="s">
        <v>3513</v>
      </c>
      <c r="J4" s="3492" t="s">
        <v>3514</v>
      </c>
      <c r="K4" s="3492" t="s">
        <v>3494</v>
      </c>
      <c r="L4" s="3492" t="s">
        <v>3515</v>
      </c>
      <c r="M4" s="3494">
        <v>70588</v>
      </c>
      <c r="N4" s="3492" t="s">
        <v>3516</v>
      </c>
      <c r="O4" s="3495">
        <v>3027200.0000000005</v>
      </c>
      <c r="P4" s="3496" t="s">
        <v>3517</v>
      </c>
      <c r="Q4" s="3492" t="s">
        <v>3498</v>
      </c>
      <c r="R4" s="3492" t="s">
        <v>3518</v>
      </c>
      <c r="S4" s="3492" t="s">
        <v>3519</v>
      </c>
      <c r="T4" s="3492" t="s">
        <v>3520</v>
      </c>
      <c r="U4" s="3492" t="s">
        <v>3521</v>
      </c>
      <c r="V4" s="3492" t="s">
        <v>3522</v>
      </c>
      <c r="W4" s="3493"/>
      <c r="X4" s="3492" t="s">
        <v>3523</v>
      </c>
      <c r="Y4" s="3493"/>
      <c r="Z4" s="3492" t="s">
        <v>3524</v>
      </c>
      <c r="AA4" s="3492" t="s">
        <v>3525</v>
      </c>
      <c r="AB4" s="3492" t="s">
        <v>3522</v>
      </c>
      <c r="AC4" s="3493"/>
      <c r="AD4" s="3492" t="s">
        <v>3507</v>
      </c>
      <c r="AE4" s="3492" t="s">
        <v>3526</v>
      </c>
      <c r="AF4" s="3497"/>
      <c r="AG4" s="3493"/>
      <c r="AI4" s="3498" t="s">
        <v>3568</v>
      </c>
    </row>
  </sheetData>
  <mergeCells count="20">
    <mergeCell ref="U1:U2"/>
    <mergeCell ref="X1:X2"/>
    <mergeCell ref="Z1:AA1"/>
    <mergeCell ref="AB1:AB2"/>
    <mergeCell ref="AE1:AE2"/>
    <mergeCell ref="T1:T2"/>
    <mergeCell ref="O1:O2"/>
    <mergeCell ref="P1:P2"/>
    <mergeCell ref="Q1:S1"/>
    <mergeCell ref="I1:I2"/>
    <mergeCell ref="J1:J2"/>
    <mergeCell ref="L1:L2"/>
    <mergeCell ref="M1:M2"/>
    <mergeCell ref="N1:N2"/>
    <mergeCell ref="H1:H2"/>
    <mergeCell ref="A1:A2"/>
    <mergeCell ref="B1:B2"/>
    <mergeCell ref="D1:D2"/>
    <mergeCell ref="F1:F2"/>
    <mergeCell ref="G1:G2"/>
  </mergeCells>
  <phoneticPr fontId="134"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50" t="s">
        <v>1770</v>
      </c>
      <c r="D4" s="3751"/>
      <c r="E4" s="3752" t="s">
        <v>1771</v>
      </c>
      <c r="F4" s="3753"/>
      <c r="G4" s="3750" t="s">
        <v>1772</v>
      </c>
      <c r="H4" s="3751"/>
      <c r="I4" s="3750" t="s">
        <v>1773</v>
      </c>
      <c r="J4" s="3751"/>
      <c r="K4" s="559" t="s">
        <v>1774</v>
      </c>
      <c r="L4" s="2714"/>
      <c r="M4" s="2715"/>
      <c r="N4" s="2715"/>
      <c r="O4" s="2715"/>
      <c r="P4" s="3754" t="s">
        <v>1775</v>
      </c>
      <c r="Q4" s="3755"/>
      <c r="R4" s="3737" t="s">
        <v>1771</v>
      </c>
      <c r="S4" s="3738"/>
      <c r="T4" s="3737" t="s">
        <v>1772</v>
      </c>
      <c r="U4" s="3738"/>
      <c r="V4" s="3762" t="s">
        <v>1773</v>
      </c>
      <c r="W4" s="3762"/>
      <c r="X4" s="1355"/>
      <c r="Y4" s="3737" t="s">
        <v>1775</v>
      </c>
      <c r="Z4" s="3738"/>
      <c r="AA4" s="3732" t="s">
        <v>1771</v>
      </c>
      <c r="AB4" s="3762" t="s">
        <v>1772</v>
      </c>
      <c r="AC4" s="3732" t="s">
        <v>1773</v>
      </c>
    </row>
    <row r="5" spans="1:29" ht="15">
      <c r="A5" s="358"/>
      <c r="B5" s="359"/>
      <c r="C5" s="3743" t="s">
        <v>1673</v>
      </c>
      <c r="D5" s="3744"/>
      <c r="E5" s="3794" t="s">
        <v>1674</v>
      </c>
      <c r="F5" s="3742"/>
      <c r="G5" s="3743" t="s">
        <v>1675</v>
      </c>
      <c r="H5" s="3744"/>
      <c r="I5" s="3743" t="s">
        <v>1676</v>
      </c>
      <c r="J5" s="3744"/>
      <c r="K5" s="559"/>
      <c r="L5" s="2714"/>
      <c r="M5" s="2715"/>
      <c r="N5" s="2715"/>
      <c r="O5" s="2715"/>
      <c r="P5" s="3756"/>
      <c r="Q5" s="3757"/>
      <c r="R5" s="3739"/>
      <c r="S5" s="3740"/>
      <c r="T5" s="3739"/>
      <c r="U5" s="3740"/>
      <c r="V5" s="3762"/>
      <c r="W5" s="3762"/>
      <c r="X5" s="1355"/>
      <c r="Y5" s="3739"/>
      <c r="Z5" s="3740"/>
      <c r="AA5" s="3733"/>
      <c r="AB5" s="3762"/>
      <c r="AC5" s="3733"/>
    </row>
    <row r="6" spans="1:29" ht="15.75" thickBot="1">
      <c r="A6" s="360"/>
      <c r="B6" s="361"/>
      <c r="C6" s="3745" t="s">
        <v>1677</v>
      </c>
      <c r="D6" s="3746"/>
      <c r="E6" s="3747" t="s">
        <v>1677</v>
      </c>
      <c r="F6" s="3748"/>
      <c r="G6" s="3745" t="s">
        <v>1677</v>
      </c>
      <c r="H6" s="3746"/>
      <c r="I6" s="3745" t="s">
        <v>1677</v>
      </c>
      <c r="J6" s="3746"/>
      <c r="K6" s="559" t="s">
        <v>1678</v>
      </c>
      <c r="L6" s="2714"/>
      <c r="M6" s="2715"/>
      <c r="N6" s="2715"/>
      <c r="O6" s="2715"/>
      <c r="P6" s="3758"/>
      <c r="Q6" s="3759"/>
      <c r="R6" s="3739"/>
      <c r="S6" s="3740"/>
      <c r="T6" s="3760"/>
      <c r="U6" s="3761"/>
      <c r="V6" s="3762"/>
      <c r="W6" s="3762"/>
      <c r="X6" s="1355"/>
      <c r="Y6" s="3760"/>
      <c r="Z6" s="3761"/>
      <c r="AA6" s="3734"/>
      <c r="AB6" s="3762"/>
      <c r="AC6" s="3734"/>
    </row>
    <row r="7" spans="1:29" s="108" customFormat="1" ht="15.75" thickBot="1">
      <c r="A7" s="362" t="s">
        <v>1679</v>
      </c>
      <c r="B7" s="363"/>
      <c r="C7" s="364">
        <f>'数据-取费表'!B2</f>
        <v>43819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5" t="s">
        <v>1680</v>
      </c>
      <c r="Q7" s="3764"/>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49"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49"/>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49"/>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49"/>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49"/>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77" t="s">
        <v>1691</v>
      </c>
      <c r="Q15" s="1352" t="str">
        <f t="shared" si="6"/>
        <v>商业繁华度</v>
      </c>
      <c r="R15" s="705" t="s">
        <v>14</v>
      </c>
      <c r="S15" s="706">
        <f t="shared" si="0"/>
        <v>100</v>
      </c>
      <c r="T15" s="705" t="s">
        <v>14</v>
      </c>
      <c r="U15" s="706">
        <f t="shared" si="1"/>
        <v>100</v>
      </c>
      <c r="V15" s="705" t="s">
        <v>14</v>
      </c>
      <c r="W15" s="706">
        <f t="shared" si="2"/>
        <v>100</v>
      </c>
      <c r="X15" s="1355"/>
      <c r="Y15" s="37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78"/>
      <c r="Q16" s="1352"/>
      <c r="R16" s="705"/>
      <c r="S16" s="706"/>
      <c r="T16" s="705"/>
      <c r="U16" s="706"/>
      <c r="V16" s="705"/>
      <c r="W16" s="706"/>
      <c r="X16" s="1355"/>
      <c r="Y16" s="37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78"/>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78"/>
      <c r="Q18" s="1352"/>
      <c r="R18" s="705"/>
      <c r="S18" s="706"/>
      <c r="T18" s="705"/>
      <c r="U18" s="706"/>
      <c r="V18" s="705"/>
      <c r="W18" s="706"/>
      <c r="X18" s="1355"/>
      <c r="Y18" s="37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78"/>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78"/>
      <c r="Q20" s="1352"/>
      <c r="R20" s="705"/>
      <c r="S20" s="706"/>
      <c r="T20" s="705"/>
      <c r="U20" s="706"/>
      <c r="V20" s="705"/>
      <c r="W20" s="706"/>
      <c r="X20" s="1355"/>
      <c r="Y20" s="37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78"/>
      <c r="Q22" s="1352"/>
      <c r="R22" s="705"/>
      <c r="S22" s="706"/>
      <c r="T22" s="705"/>
      <c r="U22" s="706"/>
      <c r="V22" s="705"/>
      <c r="W22" s="706"/>
      <c r="X22" s="1355"/>
      <c r="Y22" s="37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78"/>
      <c r="Q23" s="1352" t="str">
        <f>B23</f>
        <v>自然及人文环境</v>
      </c>
      <c r="R23" s="705" t="s">
        <v>14</v>
      </c>
      <c r="S23" s="706">
        <f>F23</f>
        <v>100</v>
      </c>
      <c r="T23" s="705" t="s">
        <v>14</v>
      </c>
      <c r="U23" s="706">
        <f>H23</f>
        <v>100</v>
      </c>
      <c r="V23" s="705" t="s">
        <v>14</v>
      </c>
      <c r="W23" s="706">
        <f>J23</f>
        <v>100</v>
      </c>
      <c r="X23" s="1355"/>
      <c r="Y23" s="37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78"/>
      <c r="Q24" s="1352"/>
      <c r="R24" s="705"/>
      <c r="S24" s="706"/>
      <c r="T24" s="705"/>
      <c r="U24" s="706"/>
      <c r="V24" s="705"/>
      <c r="W24" s="706"/>
      <c r="X24" s="1355"/>
      <c r="Y24" s="37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78"/>
      <c r="Q25" s="1352" t="str">
        <f t="shared" ref="Q25:Q46" si="11">B25</f>
        <v>临街状况</v>
      </c>
      <c r="R25" s="705" t="s">
        <v>14</v>
      </c>
      <c r="S25" s="706">
        <f>F25</f>
        <v>100</v>
      </c>
      <c r="T25" s="705" t="s">
        <v>14</v>
      </c>
      <c r="U25" s="706">
        <f>H25</f>
        <v>100</v>
      </c>
      <c r="V25" s="705" t="s">
        <v>14</v>
      </c>
      <c r="W25" s="706">
        <f>J25</f>
        <v>100</v>
      </c>
      <c r="X25" s="1355"/>
      <c r="Y25" s="37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78"/>
      <c r="Q26" s="1352" t="str">
        <f t="shared" si="11"/>
        <v>平面位置/可视性</v>
      </c>
      <c r="R26" s="705" t="s">
        <v>14</v>
      </c>
      <c r="S26" s="706">
        <f>F26</f>
        <v>100</v>
      </c>
      <c r="T26" s="705" t="s">
        <v>14</v>
      </c>
      <c r="U26" s="706">
        <f>H26</f>
        <v>100</v>
      </c>
      <c r="V26" s="705" t="s">
        <v>14</v>
      </c>
      <c r="W26" s="706">
        <f>J26</f>
        <v>100</v>
      </c>
      <c r="X26" s="1355"/>
      <c r="Y26" s="37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78"/>
      <c r="Q27" s="1343" t="str">
        <f t="shared" si="11"/>
        <v>人流量</v>
      </c>
      <c r="R27" s="701" t="s">
        <v>14</v>
      </c>
      <c r="S27" s="702">
        <f>F27</f>
        <v>100</v>
      </c>
      <c r="T27" s="701" t="s">
        <v>14</v>
      </c>
      <c r="U27" s="702">
        <f>H27</f>
        <v>100</v>
      </c>
      <c r="V27" s="701" t="s">
        <v>14</v>
      </c>
      <c r="W27" s="702">
        <f>J27</f>
        <v>100</v>
      </c>
      <c r="X27" s="703"/>
      <c r="Y27" s="37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8"/>
      <c r="Q29" s="1352">
        <f t="shared" si="11"/>
        <v>111</v>
      </c>
      <c r="R29" s="705" t="s">
        <v>14</v>
      </c>
      <c r="S29" s="706">
        <f t="shared" si="12"/>
        <v>100</v>
      </c>
      <c r="T29" s="705" t="s">
        <v>14</v>
      </c>
      <c r="U29" s="706">
        <f t="shared" si="13"/>
        <v>100</v>
      </c>
      <c r="V29" s="705" t="s">
        <v>14</v>
      </c>
      <c r="W29" s="706">
        <f t="shared" si="14"/>
        <v>100</v>
      </c>
      <c r="X29" s="1355"/>
      <c r="Y29" s="37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8"/>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8"/>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72" t="s">
        <v>1696</v>
      </c>
      <c r="Q32" s="1352" t="str">
        <f t="shared" si="11"/>
        <v>商业类型</v>
      </c>
      <c r="R32" s="705" t="s">
        <v>14</v>
      </c>
      <c r="S32" s="706">
        <f t="shared" si="12"/>
        <v>100</v>
      </c>
      <c r="T32" s="705" t="s">
        <v>14</v>
      </c>
      <c r="U32" s="706">
        <f t="shared" si="13"/>
        <v>100</v>
      </c>
      <c r="V32" s="705" t="s">
        <v>14</v>
      </c>
      <c r="W32" s="706">
        <f t="shared" si="14"/>
        <v>100</v>
      </c>
      <c r="X32" s="1355"/>
      <c r="Y32" s="37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73"/>
      <c r="Q33" s="707" t="str">
        <f t="shared" si="11"/>
        <v>项目建筑规模</v>
      </c>
      <c r="R33" s="708" t="s">
        <v>14</v>
      </c>
      <c r="S33" s="709" t="e">
        <f t="shared" si="12"/>
        <v>#N/A</v>
      </c>
      <c r="T33" s="708" t="s">
        <v>14</v>
      </c>
      <c r="U33" s="709" t="e">
        <f t="shared" si="13"/>
        <v>#N/A</v>
      </c>
      <c r="V33" s="708" t="s">
        <v>14</v>
      </c>
      <c r="W33" s="709" t="e">
        <f t="shared" si="14"/>
        <v>#N/A</v>
      </c>
      <c r="X33" s="710"/>
      <c r="Y33" s="37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73"/>
      <c r="Q34" s="1352" t="str">
        <f t="shared" si="11"/>
        <v>建筑结构</v>
      </c>
      <c r="R34" s="705" t="s">
        <v>14</v>
      </c>
      <c r="S34" s="706">
        <f t="shared" si="12"/>
        <v>100</v>
      </c>
      <c r="T34" s="705" t="s">
        <v>14</v>
      </c>
      <c r="U34" s="706">
        <f t="shared" si="13"/>
        <v>100</v>
      </c>
      <c r="V34" s="705" t="s">
        <v>14</v>
      </c>
      <c r="W34" s="706">
        <f t="shared" si="14"/>
        <v>100</v>
      </c>
      <c r="X34" s="1355"/>
      <c r="Y34" s="37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73"/>
      <c r="Q35" s="1352" t="str">
        <f t="shared" si="11"/>
        <v>公共部分装修</v>
      </c>
      <c r="R35" s="705" t="s">
        <v>14</v>
      </c>
      <c r="S35" s="706">
        <f t="shared" si="12"/>
        <v>100</v>
      </c>
      <c r="T35" s="705" t="s">
        <v>14</v>
      </c>
      <c r="U35" s="706">
        <f t="shared" si="13"/>
        <v>100</v>
      </c>
      <c r="V35" s="705" t="s">
        <v>14</v>
      </c>
      <c r="W35" s="706">
        <f t="shared" si="14"/>
        <v>100</v>
      </c>
      <c r="X35" s="1355"/>
      <c r="Y35" s="37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73"/>
      <c r="Q36" s="1352" t="str">
        <f t="shared" si="11"/>
        <v>成新度</v>
      </c>
      <c r="R36" s="705" t="s">
        <v>14</v>
      </c>
      <c r="S36" s="706" t="e">
        <f t="shared" si="12"/>
        <v>#N/A</v>
      </c>
      <c r="T36" s="705" t="s">
        <v>14</v>
      </c>
      <c r="U36" s="706" t="e">
        <f t="shared" si="13"/>
        <v>#N/A</v>
      </c>
      <c r="V36" s="705" t="s">
        <v>14</v>
      </c>
      <c r="W36" s="706" t="e">
        <f t="shared" si="14"/>
        <v>#N/A</v>
      </c>
      <c r="X36" s="1355"/>
      <c r="Y36" s="37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73"/>
      <c r="Q37" s="1343" t="str">
        <f t="shared" si="11"/>
        <v>市政基础设施</v>
      </c>
      <c r="R37" s="701" t="s">
        <v>14</v>
      </c>
      <c r="S37" s="702">
        <f t="shared" si="12"/>
        <v>100</v>
      </c>
      <c r="T37" s="701" t="s">
        <v>14</v>
      </c>
      <c r="U37" s="702">
        <f t="shared" si="13"/>
        <v>100</v>
      </c>
      <c r="V37" s="701" t="s">
        <v>14</v>
      </c>
      <c r="W37" s="702">
        <f t="shared" si="14"/>
        <v>100</v>
      </c>
      <c r="X37" s="703"/>
      <c r="Y37" s="37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73" t="s">
        <v>1696</v>
      </c>
      <c r="Q38" s="1352" t="str">
        <f t="shared" si="11"/>
        <v>业态</v>
      </c>
      <c r="R38" s="705" t="s">
        <v>14</v>
      </c>
      <c r="S38" s="706">
        <f t="shared" si="12"/>
        <v>100</v>
      </c>
      <c r="T38" s="705" t="s">
        <v>14</v>
      </c>
      <c r="U38" s="706">
        <f t="shared" si="13"/>
        <v>100</v>
      </c>
      <c r="V38" s="705" t="s">
        <v>14</v>
      </c>
      <c r="W38" s="706">
        <f t="shared" si="14"/>
        <v>100</v>
      </c>
      <c r="X38" s="1355"/>
      <c r="Y38" s="37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73"/>
      <c r="Q39" s="1352" t="str">
        <f t="shared" si="11"/>
        <v>层高</v>
      </c>
      <c r="R39" s="705" t="s">
        <v>14</v>
      </c>
      <c r="S39" s="706">
        <f t="shared" si="12"/>
        <v>100</v>
      </c>
      <c r="T39" s="705" t="s">
        <v>14</v>
      </c>
      <c r="U39" s="706">
        <f t="shared" si="13"/>
        <v>100</v>
      </c>
      <c r="V39" s="705" t="s">
        <v>14</v>
      </c>
      <c r="W39" s="706">
        <f t="shared" si="14"/>
        <v>100</v>
      </c>
      <c r="X39" s="1355"/>
      <c r="Y39" s="37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73"/>
      <c r="Q40" s="1352" t="str">
        <f t="shared" si="11"/>
        <v>单套建筑面积</v>
      </c>
      <c r="R40" s="705" t="s">
        <v>14</v>
      </c>
      <c r="S40" s="706">
        <f t="shared" si="12"/>
        <v>100</v>
      </c>
      <c r="T40" s="705" t="s">
        <v>14</v>
      </c>
      <c r="U40" s="706">
        <f t="shared" si="13"/>
        <v>100</v>
      </c>
      <c r="V40" s="705" t="s">
        <v>14</v>
      </c>
      <c r="W40" s="706">
        <f t="shared" si="14"/>
        <v>100</v>
      </c>
      <c r="X40" s="1355"/>
      <c r="Y40" s="37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73"/>
      <c r="Q41" s="707" t="str">
        <f t="shared" si="11"/>
        <v>进深比</v>
      </c>
      <c r="R41" s="708" t="s">
        <v>14</v>
      </c>
      <c r="S41" s="709">
        <f t="shared" si="12"/>
        <v>100</v>
      </c>
      <c r="T41" s="708" t="s">
        <v>14</v>
      </c>
      <c r="U41" s="709">
        <f t="shared" si="13"/>
        <v>100</v>
      </c>
      <c r="V41" s="708" t="s">
        <v>14</v>
      </c>
      <c r="W41" s="709">
        <f t="shared" si="14"/>
        <v>100</v>
      </c>
      <c r="X41" s="710"/>
      <c r="Y41" s="37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73"/>
      <c r="Q42" s="1352" t="str">
        <f t="shared" si="11"/>
        <v>内部装修</v>
      </c>
      <c r="R42" s="705" t="s">
        <v>14</v>
      </c>
      <c r="S42" s="706">
        <f t="shared" si="12"/>
        <v>100</v>
      </c>
      <c r="T42" s="705" t="s">
        <v>14</v>
      </c>
      <c r="U42" s="706">
        <f t="shared" si="13"/>
        <v>100</v>
      </c>
      <c r="V42" s="705" t="s">
        <v>14</v>
      </c>
      <c r="W42" s="706">
        <f t="shared" si="14"/>
        <v>100</v>
      </c>
      <c r="X42" s="1355"/>
      <c r="Y42" s="37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73"/>
      <c r="Q43" s="1352" t="str">
        <f t="shared" si="11"/>
        <v>内部装修维护情况</v>
      </c>
      <c r="R43" s="705" t="s">
        <v>14</v>
      </c>
      <c r="S43" s="706">
        <f t="shared" si="12"/>
        <v>100</v>
      </c>
      <c r="T43" s="705" t="s">
        <v>14</v>
      </c>
      <c r="U43" s="706">
        <f t="shared" si="13"/>
        <v>100</v>
      </c>
      <c r="V43" s="705" t="s">
        <v>14</v>
      </c>
      <c r="W43" s="706">
        <f t="shared" si="14"/>
        <v>100</v>
      </c>
      <c r="X43" s="1355"/>
      <c r="Y43" s="37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73"/>
      <c r="Q44" s="1343">
        <f t="shared" si="11"/>
        <v>111</v>
      </c>
      <c r="R44" s="701" t="s">
        <v>14</v>
      </c>
      <c r="S44" s="702">
        <f t="shared" si="12"/>
        <v>100</v>
      </c>
      <c r="T44" s="701" t="s">
        <v>14</v>
      </c>
      <c r="U44" s="702">
        <f t="shared" si="13"/>
        <v>100</v>
      </c>
      <c r="V44" s="701" t="s">
        <v>14</v>
      </c>
      <c r="W44" s="702">
        <f t="shared" si="14"/>
        <v>100</v>
      </c>
      <c r="X44" s="703"/>
      <c r="Y44" s="37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73"/>
      <c r="Q45" s="1352">
        <f t="shared" si="11"/>
        <v>111</v>
      </c>
      <c r="R45" s="705" t="s">
        <v>14</v>
      </c>
      <c r="S45" s="706">
        <f t="shared" si="12"/>
        <v>100</v>
      </c>
      <c r="T45" s="705" t="s">
        <v>14</v>
      </c>
      <c r="U45" s="706">
        <f t="shared" si="13"/>
        <v>100</v>
      </c>
      <c r="V45" s="705" t="s">
        <v>14</v>
      </c>
      <c r="W45" s="706">
        <f t="shared" si="14"/>
        <v>100</v>
      </c>
      <c r="X45" s="1355"/>
      <c r="Y45" s="37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74"/>
      <c r="Q46" s="1352">
        <f t="shared" si="11"/>
        <v>111</v>
      </c>
      <c r="R46" s="705" t="s">
        <v>14</v>
      </c>
      <c r="S46" s="706">
        <f t="shared" si="12"/>
        <v>100</v>
      </c>
      <c r="T46" s="705" t="s">
        <v>14</v>
      </c>
      <c r="U46" s="706">
        <f t="shared" si="13"/>
        <v>100</v>
      </c>
      <c r="V46" s="705" t="s">
        <v>14</v>
      </c>
      <c r="W46" s="706">
        <f t="shared" si="14"/>
        <v>100</v>
      </c>
      <c r="X46" s="1355"/>
      <c r="Y46" s="37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68" t="str">
        <f>A47</f>
        <v>成交单价（元/平方米）</v>
      </c>
      <c r="Q47" s="3768"/>
      <c r="R47" s="3762">
        <f>E47</f>
        <v>0</v>
      </c>
      <c r="S47" s="3762"/>
      <c r="T47" s="3762">
        <f>G47</f>
        <v>0</v>
      </c>
      <c r="U47" s="3762"/>
      <c r="V47" s="3762">
        <f>I47</f>
        <v>0</v>
      </c>
      <c r="W47" s="376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2019-12</v>
      </c>
      <c r="D58" s="1185">
        <f>EDATE(C58,-1)</f>
        <v>43770</v>
      </c>
      <c r="E58" s="1185">
        <f t="shared" ref="E58:N58" si="16">EDATE(D58,-1)</f>
        <v>43739</v>
      </c>
      <c r="F58" s="1185">
        <f t="shared" si="16"/>
        <v>43709</v>
      </c>
      <c r="G58" s="1185">
        <f t="shared" si="16"/>
        <v>43678</v>
      </c>
      <c r="H58" s="1185">
        <f t="shared" si="16"/>
        <v>43647</v>
      </c>
      <c r="I58" s="1185">
        <f t="shared" si="16"/>
        <v>43617</v>
      </c>
      <c r="J58" s="1185">
        <f t="shared" si="16"/>
        <v>43586</v>
      </c>
      <c r="K58" s="1185">
        <f t="shared" si="16"/>
        <v>43556</v>
      </c>
      <c r="L58" s="1185">
        <f t="shared" si="16"/>
        <v>43525</v>
      </c>
      <c r="M58" s="1185">
        <f t="shared" si="16"/>
        <v>43497</v>
      </c>
      <c r="N58" s="1185">
        <f t="shared" si="16"/>
        <v>43466</v>
      </c>
      <c r="O58" s="1185">
        <f>EDATE(N58,-1)</f>
        <v>43435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50" t="s">
        <v>1770</v>
      </c>
      <c r="D4" s="3751"/>
      <c r="E4" s="3752" t="s">
        <v>1771</v>
      </c>
      <c r="F4" s="3753"/>
      <c r="G4" s="3750" t="s">
        <v>1772</v>
      </c>
      <c r="H4" s="3751"/>
      <c r="I4" s="3750" t="s">
        <v>1773</v>
      </c>
      <c r="J4" s="3751"/>
      <c r="K4" s="559" t="s">
        <v>1774</v>
      </c>
      <c r="L4" s="2714"/>
      <c r="M4" s="2715"/>
      <c r="N4" s="2715"/>
      <c r="O4" s="2715"/>
      <c r="P4" s="3801" t="s">
        <v>1775</v>
      </c>
      <c r="Q4" s="3802"/>
      <c r="R4" s="3796" t="s">
        <v>1771</v>
      </c>
      <c r="S4" s="3797"/>
      <c r="T4" s="3796" t="s">
        <v>1772</v>
      </c>
      <c r="U4" s="3797"/>
      <c r="V4" s="3805" t="s">
        <v>1773</v>
      </c>
      <c r="W4" s="3805"/>
      <c r="X4" s="1958"/>
      <c r="Y4" s="3796" t="s">
        <v>1775</v>
      </c>
      <c r="Z4" s="3797"/>
      <c r="AA4" s="3795" t="s">
        <v>1771</v>
      </c>
      <c r="AB4" s="3795" t="s">
        <v>1772</v>
      </c>
      <c r="AC4" s="3798" t="s">
        <v>1773</v>
      </c>
    </row>
    <row r="5" spans="1:29" ht="15">
      <c r="A5" s="358"/>
      <c r="B5" s="359"/>
      <c r="C5" s="3743" t="s">
        <v>1673</v>
      </c>
      <c r="D5" s="3744"/>
      <c r="E5" s="3794" t="s">
        <v>1674</v>
      </c>
      <c r="F5" s="3742"/>
      <c r="G5" s="3743" t="s">
        <v>1675</v>
      </c>
      <c r="H5" s="3744"/>
      <c r="I5" s="3743" t="s">
        <v>1676</v>
      </c>
      <c r="J5" s="3744"/>
      <c r="K5" s="559"/>
      <c r="L5" s="2714"/>
      <c r="M5" s="2715"/>
      <c r="N5" s="2715"/>
      <c r="O5" s="2715"/>
      <c r="P5" s="3803"/>
      <c r="Q5" s="3757"/>
      <c r="R5" s="3739"/>
      <c r="S5" s="3740"/>
      <c r="T5" s="3739"/>
      <c r="U5" s="3740"/>
      <c r="V5" s="3762"/>
      <c r="W5" s="3762"/>
      <c r="X5" s="1355"/>
      <c r="Y5" s="3739"/>
      <c r="Z5" s="3740"/>
      <c r="AA5" s="3733"/>
      <c r="AB5" s="3733"/>
      <c r="AC5" s="3799"/>
    </row>
    <row r="6" spans="1:29" ht="15.75" thickBot="1">
      <c r="A6" s="360"/>
      <c r="B6" s="361"/>
      <c r="C6" s="3745" t="s">
        <v>1677</v>
      </c>
      <c r="D6" s="3746"/>
      <c r="E6" s="3747" t="s">
        <v>1677</v>
      </c>
      <c r="F6" s="3748"/>
      <c r="G6" s="3745" t="s">
        <v>1677</v>
      </c>
      <c r="H6" s="3746"/>
      <c r="I6" s="3745" t="s">
        <v>1677</v>
      </c>
      <c r="J6" s="3746"/>
      <c r="K6" s="559" t="s">
        <v>1678</v>
      </c>
      <c r="L6" s="2714"/>
      <c r="M6" s="2715"/>
      <c r="N6" s="2715"/>
      <c r="O6" s="2715"/>
      <c r="P6" s="3804"/>
      <c r="Q6" s="3759"/>
      <c r="R6" s="3739"/>
      <c r="S6" s="3740"/>
      <c r="T6" s="3760"/>
      <c r="U6" s="3761"/>
      <c r="V6" s="3762"/>
      <c r="W6" s="3762"/>
      <c r="X6" s="1355"/>
      <c r="Y6" s="3760"/>
      <c r="Z6" s="3761"/>
      <c r="AA6" s="3734"/>
      <c r="AB6" s="3734"/>
      <c r="AC6" s="3800"/>
    </row>
    <row r="7" spans="1:29" s="108" customFormat="1" ht="15.75" thickBot="1">
      <c r="A7" s="362" t="s">
        <v>1679</v>
      </c>
      <c r="B7" s="363"/>
      <c r="C7" s="364">
        <f>'数据-取费表'!B2</f>
        <v>43819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06" t="s">
        <v>1680</v>
      </c>
      <c r="Q7" s="3764"/>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06"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49"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49"/>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49"/>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49"/>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49"/>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7" t="s">
        <v>1691</v>
      </c>
      <c r="Q15" s="1352" t="str">
        <f t="shared" si="6"/>
        <v>办公集聚程度</v>
      </c>
      <c r="R15" s="705" t="s">
        <v>14</v>
      </c>
      <c r="S15" s="706">
        <f t="shared" si="0"/>
        <v>100</v>
      </c>
      <c r="T15" s="705" t="s">
        <v>14</v>
      </c>
      <c r="U15" s="706">
        <f t="shared" si="1"/>
        <v>100</v>
      </c>
      <c r="V15" s="705" t="s">
        <v>14</v>
      </c>
      <c r="W15" s="706">
        <f t="shared" si="2"/>
        <v>100</v>
      </c>
      <c r="X15" s="1355"/>
      <c r="Y15" s="37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78"/>
      <c r="Q16" s="1352"/>
      <c r="R16" s="705"/>
      <c r="S16" s="706"/>
      <c r="T16" s="705"/>
      <c r="U16" s="706"/>
      <c r="V16" s="705"/>
      <c r="W16" s="706"/>
      <c r="X16" s="1355"/>
      <c r="Y16" s="37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78"/>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78"/>
      <c r="Q18" s="1352"/>
      <c r="R18" s="705"/>
      <c r="S18" s="706"/>
      <c r="T18" s="705"/>
      <c r="U18" s="706"/>
      <c r="V18" s="705"/>
      <c r="W18" s="706"/>
      <c r="X18" s="1355"/>
      <c r="Y18" s="37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78"/>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78"/>
      <c r="Q20" s="1352"/>
      <c r="R20" s="705"/>
      <c r="S20" s="706"/>
      <c r="T20" s="705"/>
      <c r="U20" s="706"/>
      <c r="V20" s="705"/>
      <c r="W20" s="706"/>
      <c r="X20" s="1355"/>
      <c r="Y20" s="37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78"/>
      <c r="Q22" s="1352"/>
      <c r="R22" s="705"/>
      <c r="S22" s="706"/>
      <c r="T22" s="705"/>
      <c r="U22" s="706"/>
      <c r="V22" s="705"/>
      <c r="W22" s="706"/>
      <c r="X22" s="1355"/>
      <c r="Y22" s="37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78"/>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78"/>
      <c r="Q24" s="1352"/>
      <c r="R24" s="705"/>
      <c r="S24" s="706"/>
      <c r="T24" s="705"/>
      <c r="U24" s="706"/>
      <c r="V24" s="705"/>
      <c r="W24" s="706"/>
      <c r="X24" s="1355"/>
      <c r="Y24" s="37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78"/>
      <c r="Q25" s="1352" t="str">
        <f>B25</f>
        <v>毗邻道路的类型与等级</v>
      </c>
      <c r="R25" s="705" t="s">
        <v>14</v>
      </c>
      <c r="S25" s="706">
        <f>F25</f>
        <v>100</v>
      </c>
      <c r="T25" s="705" t="s">
        <v>14</v>
      </c>
      <c r="U25" s="706">
        <f>H25</f>
        <v>100</v>
      </c>
      <c r="V25" s="705" t="s">
        <v>14</v>
      </c>
      <c r="W25" s="706">
        <f>J25</f>
        <v>100</v>
      </c>
      <c r="X25" s="1355"/>
      <c r="Y25" s="37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78"/>
      <c r="Q26" s="1352"/>
      <c r="R26" s="705"/>
      <c r="S26" s="706"/>
      <c r="T26" s="705"/>
      <c r="U26" s="706"/>
      <c r="V26" s="705"/>
      <c r="W26" s="706"/>
      <c r="X26" s="1355"/>
      <c r="Y26" s="37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78"/>
      <c r="Q27" s="1352" t="str">
        <f t="shared" ref="Q27:Q47" si="11">B27</f>
        <v>楼层</v>
      </c>
      <c r="R27" s="705" t="s">
        <v>14</v>
      </c>
      <c r="S27" s="706">
        <f>F27</f>
        <v>100</v>
      </c>
      <c r="T27" s="705" t="s">
        <v>14</v>
      </c>
      <c r="U27" s="706">
        <f>H27</f>
        <v>100</v>
      </c>
      <c r="V27" s="705" t="s">
        <v>14</v>
      </c>
      <c r="W27" s="706">
        <f>J27</f>
        <v>100</v>
      </c>
      <c r="X27" s="1355"/>
      <c r="Y27" s="37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78"/>
      <c r="Q28" s="1343" t="str">
        <f t="shared" si="11"/>
        <v>朝向</v>
      </c>
      <c r="R28" s="701" t="s">
        <v>14</v>
      </c>
      <c r="S28" s="702">
        <f>F28</f>
        <v>100</v>
      </c>
      <c r="T28" s="701" t="s">
        <v>14</v>
      </c>
      <c r="U28" s="702">
        <f>H28</f>
        <v>100</v>
      </c>
      <c r="V28" s="701" t="s">
        <v>14</v>
      </c>
      <c r="W28" s="702">
        <f>J28</f>
        <v>100</v>
      </c>
      <c r="X28" s="703"/>
      <c r="Y28" s="37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78"/>
      <c r="Q29" s="1352">
        <f t="shared" si="11"/>
        <v>111</v>
      </c>
      <c r="R29" s="705" t="s">
        <v>14</v>
      </c>
      <c r="S29" s="706">
        <f t="shared" ref="S29:S47" si="12">F29</f>
        <v>100</v>
      </c>
      <c r="T29" s="705" t="s">
        <v>14</v>
      </c>
      <c r="U29" s="706">
        <f t="shared" ref="U29:U47" si="13">H29</f>
        <v>100</v>
      </c>
      <c r="V29" s="705" t="s">
        <v>14</v>
      </c>
      <c r="W29" s="706">
        <f t="shared" ref="W29:W47" si="14">J29</f>
        <v>100</v>
      </c>
      <c r="X29" s="1355"/>
      <c r="Y29" s="37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78"/>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78"/>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78"/>
      <c r="Q32" s="1352">
        <f t="shared" si="11"/>
        <v>111</v>
      </c>
      <c r="R32" s="705" t="s">
        <v>14</v>
      </c>
      <c r="S32" s="706">
        <f t="shared" si="12"/>
        <v>100</v>
      </c>
      <c r="T32" s="705" t="s">
        <v>14</v>
      </c>
      <c r="U32" s="706">
        <f t="shared" si="13"/>
        <v>100</v>
      </c>
      <c r="V32" s="705" t="s">
        <v>14</v>
      </c>
      <c r="W32" s="706">
        <f t="shared" si="14"/>
        <v>100</v>
      </c>
      <c r="X32" s="1355"/>
      <c r="Y32" s="37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72" t="s">
        <v>1696</v>
      </c>
      <c r="Q33" s="1352" t="str">
        <f t="shared" si="11"/>
        <v>建筑类型</v>
      </c>
      <c r="R33" s="705" t="s">
        <v>14</v>
      </c>
      <c r="S33" s="706">
        <f t="shared" si="12"/>
        <v>100</v>
      </c>
      <c r="T33" s="705" t="s">
        <v>14</v>
      </c>
      <c r="U33" s="706">
        <f t="shared" si="13"/>
        <v>100</v>
      </c>
      <c r="V33" s="705" t="s">
        <v>14</v>
      </c>
      <c r="W33" s="706">
        <f t="shared" si="14"/>
        <v>100</v>
      </c>
      <c r="X33" s="1355"/>
      <c r="Y33" s="37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73"/>
      <c r="Q34" s="707" t="str">
        <f t="shared" si="11"/>
        <v>项目建筑规模</v>
      </c>
      <c r="R34" s="708" t="s">
        <v>14</v>
      </c>
      <c r="S34" s="709" t="e">
        <f t="shared" si="12"/>
        <v>#N/A</v>
      </c>
      <c r="T34" s="708" t="s">
        <v>14</v>
      </c>
      <c r="U34" s="709" t="e">
        <f t="shared" si="13"/>
        <v>#N/A</v>
      </c>
      <c r="V34" s="708" t="s">
        <v>14</v>
      </c>
      <c r="W34" s="709" t="e">
        <f t="shared" si="14"/>
        <v>#N/A</v>
      </c>
      <c r="X34" s="710"/>
      <c r="Y34" s="37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73"/>
      <c r="Q35" s="1352" t="str">
        <f t="shared" si="11"/>
        <v>建筑结构</v>
      </c>
      <c r="R35" s="705" t="s">
        <v>14</v>
      </c>
      <c r="S35" s="706">
        <f t="shared" si="12"/>
        <v>100</v>
      </c>
      <c r="T35" s="705" t="s">
        <v>14</v>
      </c>
      <c r="U35" s="706">
        <f t="shared" si="13"/>
        <v>100</v>
      </c>
      <c r="V35" s="705" t="s">
        <v>14</v>
      </c>
      <c r="W35" s="706">
        <f t="shared" si="14"/>
        <v>100</v>
      </c>
      <c r="X35" s="1355"/>
      <c r="Y35" s="37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73"/>
      <c r="Q36" s="1352" t="str">
        <f t="shared" si="11"/>
        <v>公共部分装修</v>
      </c>
      <c r="R36" s="705" t="s">
        <v>14</v>
      </c>
      <c r="S36" s="706">
        <f t="shared" si="12"/>
        <v>100</v>
      </c>
      <c r="T36" s="705" t="s">
        <v>14</v>
      </c>
      <c r="U36" s="706">
        <f t="shared" si="13"/>
        <v>100</v>
      </c>
      <c r="V36" s="705" t="s">
        <v>14</v>
      </c>
      <c r="W36" s="706">
        <f t="shared" si="14"/>
        <v>100</v>
      </c>
      <c r="X36" s="1355"/>
      <c r="Y36" s="37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73"/>
      <c r="Q37" s="1352" t="str">
        <f t="shared" si="11"/>
        <v>成新度</v>
      </c>
      <c r="R37" s="705" t="s">
        <v>14</v>
      </c>
      <c r="S37" s="706" t="e">
        <f t="shared" si="12"/>
        <v>#N/A</v>
      </c>
      <c r="T37" s="705" t="s">
        <v>14</v>
      </c>
      <c r="U37" s="706" t="e">
        <f t="shared" si="13"/>
        <v>#N/A</v>
      </c>
      <c r="V37" s="705" t="s">
        <v>14</v>
      </c>
      <c r="W37" s="706" t="e">
        <f t="shared" si="14"/>
        <v>#N/A</v>
      </c>
      <c r="X37" s="1355"/>
      <c r="Y37" s="37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73"/>
      <c r="Q38" s="1343" t="str">
        <f t="shared" si="11"/>
        <v>写字楼等级</v>
      </c>
      <c r="R38" s="701" t="s">
        <v>14</v>
      </c>
      <c r="S38" s="702">
        <f t="shared" si="12"/>
        <v>100</v>
      </c>
      <c r="T38" s="701" t="s">
        <v>14</v>
      </c>
      <c r="U38" s="702">
        <f t="shared" si="13"/>
        <v>100</v>
      </c>
      <c r="V38" s="701" t="s">
        <v>14</v>
      </c>
      <c r="W38" s="702">
        <f t="shared" si="14"/>
        <v>100</v>
      </c>
      <c r="X38" s="703"/>
      <c r="Y38" s="37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73" t="s">
        <v>1696</v>
      </c>
      <c r="Q39" s="1352" t="str">
        <f t="shared" si="11"/>
        <v>物业管理</v>
      </c>
      <c r="R39" s="705" t="s">
        <v>14</v>
      </c>
      <c r="S39" s="706">
        <f t="shared" si="12"/>
        <v>100</v>
      </c>
      <c r="T39" s="705" t="s">
        <v>14</v>
      </c>
      <c r="U39" s="706">
        <f t="shared" si="13"/>
        <v>100</v>
      </c>
      <c r="V39" s="705" t="s">
        <v>14</v>
      </c>
      <c r="W39" s="706">
        <f t="shared" si="14"/>
        <v>100</v>
      </c>
      <c r="X39" s="1355"/>
      <c r="Y39" s="37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73"/>
      <c r="Q40" s="1352" t="str">
        <f t="shared" si="11"/>
        <v>市政基础设施</v>
      </c>
      <c r="R40" s="705" t="s">
        <v>14</v>
      </c>
      <c r="S40" s="706">
        <f t="shared" si="12"/>
        <v>100</v>
      </c>
      <c r="T40" s="705" t="s">
        <v>14</v>
      </c>
      <c r="U40" s="706">
        <f t="shared" si="13"/>
        <v>100</v>
      </c>
      <c r="V40" s="705" t="s">
        <v>14</v>
      </c>
      <c r="W40" s="706">
        <f t="shared" si="14"/>
        <v>100</v>
      </c>
      <c r="X40" s="1355"/>
      <c r="Y40" s="37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73"/>
      <c r="Q41" s="1352" t="str">
        <f t="shared" si="11"/>
        <v>层高</v>
      </c>
      <c r="R41" s="705" t="s">
        <v>14</v>
      </c>
      <c r="S41" s="706">
        <f t="shared" si="12"/>
        <v>100</v>
      </c>
      <c r="T41" s="705" t="s">
        <v>14</v>
      </c>
      <c r="U41" s="706">
        <f t="shared" si="13"/>
        <v>100</v>
      </c>
      <c r="V41" s="705" t="s">
        <v>14</v>
      </c>
      <c r="W41" s="706">
        <f t="shared" si="14"/>
        <v>100</v>
      </c>
      <c r="X41" s="1355"/>
      <c r="Y41" s="37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73"/>
      <c r="Q42" s="707" t="str">
        <f t="shared" si="11"/>
        <v>单套建筑面积</v>
      </c>
      <c r="R42" s="708" t="s">
        <v>14</v>
      </c>
      <c r="S42" s="709">
        <f t="shared" si="12"/>
        <v>100</v>
      </c>
      <c r="T42" s="708" t="s">
        <v>14</v>
      </c>
      <c r="U42" s="709">
        <f t="shared" si="13"/>
        <v>100</v>
      </c>
      <c r="V42" s="708" t="s">
        <v>14</v>
      </c>
      <c r="W42" s="709">
        <f t="shared" si="14"/>
        <v>100</v>
      </c>
      <c r="X42" s="710"/>
      <c r="Y42" s="37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73"/>
      <c r="Q43" s="1352" t="str">
        <f t="shared" si="11"/>
        <v>内部装修</v>
      </c>
      <c r="R43" s="705" t="s">
        <v>14</v>
      </c>
      <c r="S43" s="706">
        <f t="shared" si="12"/>
        <v>100</v>
      </c>
      <c r="T43" s="705" t="s">
        <v>14</v>
      </c>
      <c r="U43" s="706">
        <f t="shared" si="13"/>
        <v>100</v>
      </c>
      <c r="V43" s="705" t="s">
        <v>14</v>
      </c>
      <c r="W43" s="706">
        <f t="shared" si="14"/>
        <v>100</v>
      </c>
      <c r="X43" s="1355"/>
      <c r="Y43" s="37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73"/>
      <c r="Q44" s="1352" t="str">
        <f t="shared" si="11"/>
        <v>内部装修维护情况</v>
      </c>
      <c r="R44" s="705" t="s">
        <v>14</v>
      </c>
      <c r="S44" s="706">
        <f t="shared" si="12"/>
        <v>100</v>
      </c>
      <c r="T44" s="705" t="s">
        <v>14</v>
      </c>
      <c r="U44" s="706">
        <f t="shared" si="13"/>
        <v>100</v>
      </c>
      <c r="V44" s="705" t="s">
        <v>14</v>
      </c>
      <c r="W44" s="706">
        <f t="shared" si="14"/>
        <v>100</v>
      </c>
      <c r="X44" s="1355"/>
      <c r="Y44" s="37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73"/>
      <c r="Q45" s="1343">
        <f t="shared" si="11"/>
        <v>111</v>
      </c>
      <c r="R45" s="701" t="s">
        <v>14</v>
      </c>
      <c r="S45" s="702">
        <f t="shared" si="12"/>
        <v>100</v>
      </c>
      <c r="T45" s="701" t="s">
        <v>14</v>
      </c>
      <c r="U45" s="702">
        <f t="shared" si="13"/>
        <v>100</v>
      </c>
      <c r="V45" s="701" t="s">
        <v>14</v>
      </c>
      <c r="W45" s="702">
        <f t="shared" si="14"/>
        <v>100</v>
      </c>
      <c r="X45" s="703"/>
      <c r="Y45" s="37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74"/>
      <c r="Q47" s="1352">
        <f t="shared" si="11"/>
        <v>111</v>
      </c>
      <c r="R47" s="705" t="s">
        <v>14</v>
      </c>
      <c r="S47" s="706">
        <f t="shared" si="12"/>
        <v>100</v>
      </c>
      <c r="T47" s="705" t="s">
        <v>14</v>
      </c>
      <c r="U47" s="706">
        <f t="shared" si="13"/>
        <v>100</v>
      </c>
      <c r="V47" s="705" t="s">
        <v>14</v>
      </c>
      <c r="W47" s="706">
        <f t="shared" si="14"/>
        <v>100</v>
      </c>
      <c r="X47" s="1355"/>
      <c r="Y47" s="37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49" t="str">
        <f>A48</f>
        <v>成交单价（元/平方米）</v>
      </c>
      <c r="Q48" s="3768"/>
      <c r="R48" s="3769">
        <f>E48</f>
        <v>0</v>
      </c>
      <c r="S48" s="3769"/>
      <c r="T48" s="3769">
        <f>G48</f>
        <v>0</v>
      </c>
      <c r="U48" s="3769"/>
      <c r="V48" s="3769">
        <f>I48</f>
        <v>0</v>
      </c>
      <c r="W48" s="37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49" t="str">
        <f>A49</f>
        <v>比较价值（元/平方米）</v>
      </c>
      <c r="Q49" s="3768"/>
      <c r="R49" s="3769" t="e">
        <f>IF(F1="售价",ROUND(PRODUCT(R48,AA7:AA47),0),ROUND(PRODUCT(R48,AA7:AA47),1))</f>
        <v>#DIV/0!</v>
      </c>
      <c r="S49" s="3769"/>
      <c r="T49" s="3769" t="e">
        <f>IF(F1="售价",ROUND(PRODUCT(T48,AB7:AB47),0),ROUND(PRODUCT(T48,AB7:AB47),1))</f>
        <v>#DIV/0!</v>
      </c>
      <c r="U49" s="3769"/>
      <c r="V49" s="3769" t="e">
        <f>IF(F1="售价",ROUND(PRODUCT(V48,AC7:AC47),0),ROUND(PRODUCT(V48,AC7:AC47),1))</f>
        <v>#DIV/0!</v>
      </c>
      <c r="W49" s="37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2019-12</v>
      </c>
      <c r="D59" s="1185">
        <f>EDATE(C59,-1)</f>
        <v>43770</v>
      </c>
      <c r="E59" s="1185">
        <f>EDATE(D59,-1)</f>
        <v>43739</v>
      </c>
      <c r="F59" s="1185">
        <f t="shared" ref="F59:O59" si="16">EDATE(E59,-1)</f>
        <v>43709</v>
      </c>
      <c r="G59" s="1185">
        <f t="shared" si="16"/>
        <v>43678</v>
      </c>
      <c r="H59" s="1185">
        <f t="shared" si="16"/>
        <v>43647</v>
      </c>
      <c r="I59" s="1185">
        <f t="shared" si="16"/>
        <v>43617</v>
      </c>
      <c r="J59" s="1185">
        <f t="shared" si="16"/>
        <v>43586</v>
      </c>
      <c r="K59" s="1185">
        <f t="shared" si="16"/>
        <v>43556</v>
      </c>
      <c r="L59" s="1185">
        <f t="shared" si="16"/>
        <v>43525</v>
      </c>
      <c r="M59" s="1185">
        <f t="shared" si="16"/>
        <v>43497</v>
      </c>
      <c r="N59" s="1185">
        <f t="shared" si="16"/>
        <v>43466</v>
      </c>
      <c r="O59" s="1185">
        <f t="shared" si="16"/>
        <v>43435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913"/>
      <c r="M4" s="914"/>
      <c r="N4" s="914"/>
      <c r="O4" s="914"/>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94" t="s">
        <v>1674</v>
      </c>
      <c r="F5" s="3742"/>
      <c r="G5" s="3743" t="s">
        <v>1675</v>
      </c>
      <c r="H5" s="3744"/>
      <c r="I5" s="3743" t="s">
        <v>1676</v>
      </c>
      <c r="J5" s="3744"/>
      <c r="K5" s="559"/>
      <c r="L5" s="913"/>
      <c r="M5" s="914"/>
      <c r="N5" s="914"/>
      <c r="O5" s="914"/>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913"/>
      <c r="M6" s="914"/>
      <c r="N6" s="914"/>
      <c r="O6" s="914"/>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43819</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64"/>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8"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68"/>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8"/>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8"/>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8"/>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8"/>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0" t="s">
        <v>1691</v>
      </c>
      <c r="Q15" s="1352" t="str">
        <f t="shared" si="6"/>
        <v>产业集聚程度</v>
      </c>
      <c r="R15" s="705" t="s">
        <v>14</v>
      </c>
      <c r="S15" s="706">
        <f t="shared" si="0"/>
        <v>100</v>
      </c>
      <c r="T15" s="705" t="s">
        <v>14</v>
      </c>
      <c r="U15" s="706">
        <f t="shared" si="1"/>
        <v>100</v>
      </c>
      <c r="V15" s="705" t="s">
        <v>14</v>
      </c>
      <c r="W15" s="706">
        <f t="shared" si="2"/>
        <v>100</v>
      </c>
      <c r="X15" s="1355"/>
      <c r="Y15" s="37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1"/>
      <c r="Q16" s="1352"/>
      <c r="R16" s="705"/>
      <c r="S16" s="706"/>
      <c r="T16" s="705"/>
      <c r="U16" s="706"/>
      <c r="V16" s="705"/>
      <c r="W16" s="706"/>
      <c r="X16" s="1355"/>
      <c r="Y16" s="37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1"/>
      <c r="Q18" s="1352"/>
      <c r="R18" s="705"/>
      <c r="S18" s="706"/>
      <c r="T18" s="705"/>
      <c r="U18" s="706"/>
      <c r="V18" s="705"/>
      <c r="W18" s="706"/>
      <c r="X18" s="1355"/>
      <c r="Y18" s="37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1"/>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1"/>
      <c r="Q20" s="1352"/>
      <c r="R20" s="705"/>
      <c r="S20" s="706"/>
      <c r="T20" s="705"/>
      <c r="U20" s="706"/>
      <c r="V20" s="705"/>
      <c r="W20" s="706"/>
      <c r="X20" s="1355"/>
      <c r="Y20" s="37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1"/>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1"/>
      <c r="Q22" s="1352"/>
      <c r="R22" s="705"/>
      <c r="S22" s="706"/>
      <c r="T22" s="705"/>
      <c r="U22" s="706"/>
      <c r="V22" s="705"/>
      <c r="W22" s="706"/>
      <c r="X22" s="1355"/>
      <c r="Y22" s="37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1"/>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1"/>
      <c r="Q24" s="1352"/>
      <c r="R24" s="705"/>
      <c r="S24" s="706"/>
      <c r="T24" s="705"/>
      <c r="U24" s="706"/>
      <c r="V24" s="705"/>
      <c r="W24" s="706"/>
      <c r="X24" s="1355"/>
      <c r="Y24" s="37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1"/>
      <c r="Q25" s="1352">
        <f>B25</f>
        <v>111</v>
      </c>
      <c r="R25" s="705" t="s">
        <v>14</v>
      </c>
      <c r="S25" s="706">
        <f>F25</f>
        <v>100</v>
      </c>
      <c r="T25" s="705" t="s">
        <v>14</v>
      </c>
      <c r="U25" s="706">
        <f>H25</f>
        <v>100</v>
      </c>
      <c r="V25" s="705" t="s">
        <v>14</v>
      </c>
      <c r="W25" s="706">
        <f>J25</f>
        <v>100</v>
      </c>
      <c r="X25" s="1355"/>
      <c r="Y25" s="37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1"/>
      <c r="Q26" s="1352">
        <f t="shared" ref="Q26:Q40" si="11">B26</f>
        <v>111</v>
      </c>
      <c r="R26" s="705" t="s">
        <v>14</v>
      </c>
      <c r="S26" s="706">
        <f>F26</f>
        <v>100</v>
      </c>
      <c r="T26" s="705" t="s">
        <v>14</v>
      </c>
      <c r="U26" s="706">
        <f>H26</f>
        <v>100</v>
      </c>
      <c r="V26" s="705" t="s">
        <v>14</v>
      </c>
      <c r="W26" s="706">
        <f>J26</f>
        <v>100</v>
      </c>
      <c r="X26" s="1355"/>
      <c r="Y26" s="37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1"/>
      <c r="Q27" s="1343">
        <f t="shared" si="11"/>
        <v>111</v>
      </c>
      <c r="R27" s="701" t="s">
        <v>14</v>
      </c>
      <c r="S27" s="702">
        <f>F27</f>
        <v>100</v>
      </c>
      <c r="T27" s="701" t="s">
        <v>14</v>
      </c>
      <c r="U27" s="702">
        <f>H27</f>
        <v>100</v>
      </c>
      <c r="V27" s="701" t="s">
        <v>14</v>
      </c>
      <c r="W27" s="702">
        <f>J27</f>
        <v>100</v>
      </c>
      <c r="X27" s="703"/>
      <c r="Y27" s="37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1"/>
      <c r="Q28" s="1352">
        <f t="shared" si="11"/>
        <v>111</v>
      </c>
      <c r="R28" s="705" t="s">
        <v>14</v>
      </c>
      <c r="S28" s="706">
        <f t="shared" ref="S28:S40" si="12">F28</f>
        <v>100</v>
      </c>
      <c r="T28" s="705" t="s">
        <v>14</v>
      </c>
      <c r="U28" s="706">
        <f t="shared" ref="U28:U40" si="13">H28</f>
        <v>100</v>
      </c>
      <c r="V28" s="705" t="s">
        <v>14</v>
      </c>
      <c r="W28" s="706">
        <f t="shared" ref="W28:W40" si="14">J28</f>
        <v>100</v>
      </c>
      <c r="X28" s="1355"/>
      <c r="Y28" s="37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0" t="s">
        <v>1696</v>
      </c>
      <c r="Q29" s="1352" t="str">
        <f t="shared" si="11"/>
        <v>建筑类型</v>
      </c>
      <c r="R29" s="705" t="s">
        <v>14</v>
      </c>
      <c r="S29" s="706">
        <f t="shared" si="12"/>
        <v>100</v>
      </c>
      <c r="T29" s="705" t="s">
        <v>14</v>
      </c>
      <c r="U29" s="706">
        <f t="shared" si="13"/>
        <v>100</v>
      </c>
      <c r="V29" s="705" t="s">
        <v>14</v>
      </c>
      <c r="W29" s="706">
        <f t="shared" si="14"/>
        <v>100</v>
      </c>
      <c r="X29" s="1355"/>
      <c r="Y29" s="37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5"/>
      <c r="Q30" s="707" t="str">
        <f t="shared" si="11"/>
        <v>项目建筑规模</v>
      </c>
      <c r="R30" s="708" t="s">
        <v>14</v>
      </c>
      <c r="S30" s="709" t="e">
        <f t="shared" si="12"/>
        <v>#N/A</v>
      </c>
      <c r="T30" s="708" t="s">
        <v>14</v>
      </c>
      <c r="U30" s="709" t="e">
        <f t="shared" si="13"/>
        <v>#N/A</v>
      </c>
      <c r="V30" s="708" t="s">
        <v>14</v>
      </c>
      <c r="W30" s="709" t="e">
        <f t="shared" si="14"/>
        <v>#N/A</v>
      </c>
      <c r="X30" s="710"/>
      <c r="Y30" s="37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5"/>
      <c r="Q31" s="1352" t="str">
        <f t="shared" si="11"/>
        <v>建筑结构</v>
      </c>
      <c r="R31" s="705" t="s">
        <v>14</v>
      </c>
      <c r="S31" s="706">
        <f t="shared" si="12"/>
        <v>100</v>
      </c>
      <c r="T31" s="705" t="s">
        <v>14</v>
      </c>
      <c r="U31" s="706">
        <f t="shared" si="13"/>
        <v>100</v>
      </c>
      <c r="V31" s="705" t="s">
        <v>14</v>
      </c>
      <c r="W31" s="706">
        <f t="shared" si="14"/>
        <v>100</v>
      </c>
      <c r="X31" s="1355"/>
      <c r="Y31" s="37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5"/>
      <c r="Q32" s="1352" t="str">
        <f t="shared" si="11"/>
        <v>公共部分装修</v>
      </c>
      <c r="R32" s="705" t="s">
        <v>14</v>
      </c>
      <c r="S32" s="706">
        <f t="shared" si="12"/>
        <v>100</v>
      </c>
      <c r="T32" s="705" t="s">
        <v>14</v>
      </c>
      <c r="U32" s="706">
        <f t="shared" si="13"/>
        <v>100</v>
      </c>
      <c r="V32" s="705" t="s">
        <v>14</v>
      </c>
      <c r="W32" s="706">
        <f t="shared" si="14"/>
        <v>100</v>
      </c>
      <c r="X32" s="1355"/>
      <c r="Y32" s="37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5"/>
      <c r="Q33" s="1352" t="str">
        <f t="shared" si="11"/>
        <v>成新度</v>
      </c>
      <c r="R33" s="705" t="s">
        <v>14</v>
      </c>
      <c r="S33" s="706" t="e">
        <f t="shared" si="12"/>
        <v>#N/A</v>
      </c>
      <c r="T33" s="705" t="s">
        <v>14</v>
      </c>
      <c r="U33" s="706" t="e">
        <f t="shared" si="13"/>
        <v>#N/A</v>
      </c>
      <c r="V33" s="705" t="s">
        <v>14</v>
      </c>
      <c r="W33" s="706" t="e">
        <f t="shared" si="14"/>
        <v>#N/A</v>
      </c>
      <c r="X33" s="1355"/>
      <c r="Y33" s="37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5"/>
      <c r="Q34" s="1343" t="str">
        <f t="shared" si="11"/>
        <v>物业管理</v>
      </c>
      <c r="R34" s="701" t="s">
        <v>14</v>
      </c>
      <c r="S34" s="702">
        <f t="shared" si="12"/>
        <v>100</v>
      </c>
      <c r="T34" s="701" t="s">
        <v>14</v>
      </c>
      <c r="U34" s="702">
        <f t="shared" si="13"/>
        <v>100</v>
      </c>
      <c r="V34" s="701" t="s">
        <v>14</v>
      </c>
      <c r="W34" s="702">
        <f t="shared" si="14"/>
        <v>100</v>
      </c>
      <c r="X34" s="703"/>
      <c r="Y34" s="37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5" t="s">
        <v>1696</v>
      </c>
      <c r="Q35" s="1352" t="str">
        <f t="shared" si="11"/>
        <v>市政基础设施</v>
      </c>
      <c r="R35" s="705" t="s">
        <v>14</v>
      </c>
      <c r="S35" s="706">
        <f t="shared" si="12"/>
        <v>100</v>
      </c>
      <c r="T35" s="705" t="s">
        <v>14</v>
      </c>
      <c r="U35" s="706">
        <f t="shared" si="13"/>
        <v>100</v>
      </c>
      <c r="V35" s="705" t="s">
        <v>14</v>
      </c>
      <c r="W35" s="706">
        <f t="shared" si="14"/>
        <v>100</v>
      </c>
      <c r="X35" s="1355"/>
      <c r="Y35" s="37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5"/>
      <c r="Q36" s="1352" t="str">
        <f t="shared" si="11"/>
        <v>内部装修</v>
      </c>
      <c r="R36" s="705" t="s">
        <v>14</v>
      </c>
      <c r="S36" s="706">
        <f t="shared" si="12"/>
        <v>100</v>
      </c>
      <c r="T36" s="705" t="s">
        <v>14</v>
      </c>
      <c r="U36" s="706">
        <f t="shared" si="13"/>
        <v>100</v>
      </c>
      <c r="V36" s="705" t="s">
        <v>14</v>
      </c>
      <c r="W36" s="706">
        <f t="shared" si="14"/>
        <v>100</v>
      </c>
      <c r="X36" s="1355"/>
      <c r="Y36" s="37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5"/>
      <c r="Q37" s="1352" t="str">
        <f t="shared" si="11"/>
        <v>内部装修状况</v>
      </c>
      <c r="R37" s="705" t="s">
        <v>14</v>
      </c>
      <c r="S37" s="706">
        <f t="shared" si="12"/>
        <v>100</v>
      </c>
      <c r="T37" s="705" t="s">
        <v>14</v>
      </c>
      <c r="U37" s="706">
        <f t="shared" si="13"/>
        <v>100</v>
      </c>
      <c r="V37" s="705" t="s">
        <v>14</v>
      </c>
      <c r="W37" s="706">
        <f t="shared" si="14"/>
        <v>100</v>
      </c>
      <c r="X37" s="1355"/>
      <c r="Y37" s="37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5"/>
      <c r="Q38" s="707">
        <f t="shared" si="11"/>
        <v>111</v>
      </c>
      <c r="R38" s="708" t="s">
        <v>14</v>
      </c>
      <c r="S38" s="709">
        <f t="shared" si="12"/>
        <v>100</v>
      </c>
      <c r="T38" s="708" t="s">
        <v>14</v>
      </c>
      <c r="U38" s="709">
        <f t="shared" si="13"/>
        <v>100</v>
      </c>
      <c r="V38" s="708" t="s">
        <v>14</v>
      </c>
      <c r="W38" s="709">
        <f t="shared" si="14"/>
        <v>100</v>
      </c>
      <c r="X38" s="710"/>
      <c r="Y38" s="37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5"/>
      <c r="Q39" s="1352">
        <f t="shared" si="11"/>
        <v>111</v>
      </c>
      <c r="R39" s="705" t="s">
        <v>14</v>
      </c>
      <c r="S39" s="706">
        <f t="shared" si="12"/>
        <v>100</v>
      </c>
      <c r="T39" s="705" t="s">
        <v>14</v>
      </c>
      <c r="U39" s="706">
        <f t="shared" si="13"/>
        <v>100</v>
      </c>
      <c r="V39" s="705" t="s">
        <v>14</v>
      </c>
      <c r="W39" s="706">
        <f t="shared" si="14"/>
        <v>100</v>
      </c>
      <c r="X39" s="1355"/>
      <c r="Y39" s="37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6"/>
      <c r="Q40" s="1352">
        <f t="shared" si="11"/>
        <v>111</v>
      </c>
      <c r="R40" s="705" t="s">
        <v>14</v>
      </c>
      <c r="S40" s="706">
        <f t="shared" si="12"/>
        <v>100</v>
      </c>
      <c r="T40" s="705" t="s">
        <v>14</v>
      </c>
      <c r="U40" s="706">
        <f t="shared" si="13"/>
        <v>100</v>
      </c>
      <c r="V40" s="705" t="s">
        <v>14</v>
      </c>
      <c r="W40" s="706">
        <f t="shared" si="14"/>
        <v>100</v>
      </c>
      <c r="X40" s="1355"/>
      <c r="Y40" s="37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68" t="str">
        <f>A41</f>
        <v>成交单价（元/平方米）</v>
      </c>
      <c r="Q41" s="3768"/>
      <c r="R41" s="3769">
        <f>E41</f>
        <v>0</v>
      </c>
      <c r="S41" s="3769"/>
      <c r="T41" s="3769">
        <f>G41</f>
        <v>0</v>
      </c>
      <c r="U41" s="3769"/>
      <c r="V41" s="3769">
        <f>I41</f>
        <v>0</v>
      </c>
      <c r="W41" s="37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2019-12</v>
      </c>
      <c r="D52" s="1185">
        <f>EDATE(C52,-1)</f>
        <v>43770</v>
      </c>
      <c r="E52" s="1185">
        <f t="shared" ref="E52:O52" si="16">EDATE(D52,-1)</f>
        <v>43739</v>
      </c>
      <c r="F52" s="1185">
        <f t="shared" si="16"/>
        <v>43709</v>
      </c>
      <c r="G52" s="1185">
        <f t="shared" si="16"/>
        <v>43678</v>
      </c>
      <c r="H52" s="1185">
        <f t="shared" si="16"/>
        <v>43647</v>
      </c>
      <c r="I52" s="1185">
        <f t="shared" si="16"/>
        <v>43617</v>
      </c>
      <c r="J52" s="1185">
        <f t="shared" si="16"/>
        <v>43586</v>
      </c>
      <c r="K52" s="1185">
        <f t="shared" si="16"/>
        <v>43556</v>
      </c>
      <c r="L52" s="1185">
        <f t="shared" si="16"/>
        <v>43525</v>
      </c>
      <c r="M52" s="1185">
        <f t="shared" si="16"/>
        <v>43497</v>
      </c>
      <c r="N52" s="1185">
        <f t="shared" si="16"/>
        <v>43466</v>
      </c>
      <c r="O52" s="1185">
        <f t="shared" si="16"/>
        <v>43435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4"/>
      <c r="M4" s="2715"/>
      <c r="N4" s="2715"/>
      <c r="O4" s="2715"/>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94" t="s">
        <v>1674</v>
      </c>
      <c r="F5" s="3742"/>
      <c r="G5" s="3743" t="s">
        <v>1675</v>
      </c>
      <c r="H5" s="3744"/>
      <c r="I5" s="3743" t="s">
        <v>1676</v>
      </c>
      <c r="J5" s="3744"/>
      <c r="K5" s="559"/>
      <c r="L5" s="2714"/>
      <c r="M5" s="2715"/>
      <c r="N5" s="2715"/>
      <c r="O5" s="2715"/>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2714"/>
      <c r="M6" s="2715"/>
      <c r="N6" s="2715"/>
      <c r="O6" s="2715"/>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43819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5" t="s">
        <v>1680</v>
      </c>
      <c r="Q7" s="3764"/>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8"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8"/>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8"/>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8"/>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8"/>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70" t="s">
        <v>1691</v>
      </c>
      <c r="Q14" s="1352" t="str">
        <f t="shared" si="6"/>
        <v>交通便捷度</v>
      </c>
      <c r="R14" s="705" t="s">
        <v>14</v>
      </c>
      <c r="S14" s="706">
        <f t="shared" si="0"/>
        <v>100</v>
      </c>
      <c r="T14" s="705" t="s">
        <v>14</v>
      </c>
      <c r="U14" s="706">
        <f t="shared" si="1"/>
        <v>100</v>
      </c>
      <c r="V14" s="705" t="s">
        <v>14</v>
      </c>
      <c r="W14" s="706">
        <f t="shared" si="2"/>
        <v>100</v>
      </c>
      <c r="X14" s="1355"/>
      <c r="Y14" s="37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71"/>
      <c r="Q15" s="1352"/>
      <c r="R15" s="705"/>
      <c r="S15" s="706"/>
      <c r="T15" s="705"/>
      <c r="U15" s="706"/>
      <c r="V15" s="705"/>
      <c r="W15" s="706"/>
      <c r="X15" s="1355"/>
      <c r="Y15" s="37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71"/>
      <c r="Q17" s="1352"/>
      <c r="R17" s="705"/>
      <c r="S17" s="706"/>
      <c r="T17" s="705"/>
      <c r="U17" s="706"/>
      <c r="V17" s="705"/>
      <c r="W17" s="706"/>
      <c r="X17" s="1355"/>
      <c r="Y17" s="37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71"/>
      <c r="Q19" s="1352"/>
      <c r="R19" s="705"/>
      <c r="S19" s="706"/>
      <c r="T19" s="705"/>
      <c r="U19" s="706"/>
      <c r="V19" s="705"/>
      <c r="W19" s="706"/>
      <c r="X19" s="1355"/>
      <c r="Y19" s="37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71"/>
      <c r="Q21" s="1352"/>
      <c r="R21" s="705"/>
      <c r="S21" s="706"/>
      <c r="T21" s="705"/>
      <c r="U21" s="706"/>
      <c r="V21" s="705"/>
      <c r="W21" s="706"/>
      <c r="X21" s="1355"/>
      <c r="Y21" s="37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71"/>
      <c r="Q24" s="1352">
        <f t="shared" ref="Q24:Q36"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1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75"/>
      <c r="Q27" s="707" t="str">
        <f t="shared" si="11"/>
        <v>项目停车位配比</v>
      </c>
      <c r="R27" s="708" t="s">
        <v>14</v>
      </c>
      <c r="S27" s="709">
        <f t="shared" si="12"/>
        <v>100</v>
      </c>
      <c r="T27" s="708" t="s">
        <v>14</v>
      </c>
      <c r="U27" s="709">
        <f t="shared" si="13"/>
        <v>100</v>
      </c>
      <c r="V27" s="708" t="s">
        <v>14</v>
      </c>
      <c r="W27" s="709">
        <f t="shared" si="14"/>
        <v>100</v>
      </c>
      <c r="X27" s="710"/>
      <c r="Y27" s="37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75"/>
      <c r="Q28" s="1352" t="str">
        <f t="shared" si="11"/>
        <v>公共部分装修</v>
      </c>
      <c r="R28" s="705" t="s">
        <v>14</v>
      </c>
      <c r="S28" s="706">
        <f t="shared" si="12"/>
        <v>100</v>
      </c>
      <c r="T28" s="705" t="s">
        <v>14</v>
      </c>
      <c r="U28" s="706">
        <f t="shared" si="13"/>
        <v>100</v>
      </c>
      <c r="V28" s="705" t="s">
        <v>14</v>
      </c>
      <c r="W28" s="706">
        <f t="shared" si="14"/>
        <v>100</v>
      </c>
      <c r="X28" s="1355"/>
      <c r="Y28" s="37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75"/>
      <c r="Q29" s="1352" t="str">
        <f t="shared" si="11"/>
        <v>成新率</v>
      </c>
      <c r="R29" s="705" t="s">
        <v>14</v>
      </c>
      <c r="S29" s="706" t="e">
        <f t="shared" si="12"/>
        <v>#N/A</v>
      </c>
      <c r="T29" s="705" t="s">
        <v>14</v>
      </c>
      <c r="U29" s="706" t="e">
        <f t="shared" si="13"/>
        <v>#N/A</v>
      </c>
      <c r="V29" s="705" t="s">
        <v>14</v>
      </c>
      <c r="W29" s="706" t="e">
        <f t="shared" si="14"/>
        <v>#N/A</v>
      </c>
      <c r="X29" s="1355"/>
      <c r="Y29" s="37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75"/>
      <c r="Q30" s="1352" t="str">
        <f t="shared" si="11"/>
        <v>物业等级</v>
      </c>
      <c r="R30" s="705" t="s">
        <v>14</v>
      </c>
      <c r="S30" s="706">
        <f t="shared" si="12"/>
        <v>100</v>
      </c>
      <c r="T30" s="705" t="s">
        <v>14</v>
      </c>
      <c r="U30" s="706">
        <f t="shared" si="13"/>
        <v>100</v>
      </c>
      <c r="V30" s="705" t="s">
        <v>14</v>
      </c>
      <c r="W30" s="706">
        <f t="shared" si="14"/>
        <v>100</v>
      </c>
      <c r="X30" s="1355"/>
      <c r="Y30" s="37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75"/>
      <c r="Q31" s="1343" t="str">
        <f t="shared" si="11"/>
        <v>停车位面积</v>
      </c>
      <c r="R31" s="701" t="s">
        <v>14</v>
      </c>
      <c r="S31" s="702" t="e">
        <f t="shared" si="12"/>
        <v>#N/A</v>
      </c>
      <c r="T31" s="701" t="s">
        <v>14</v>
      </c>
      <c r="U31" s="702" t="e">
        <f t="shared" si="13"/>
        <v>#N/A</v>
      </c>
      <c r="V31" s="701" t="s">
        <v>14</v>
      </c>
      <c r="W31" s="702" t="e">
        <f t="shared" si="14"/>
        <v>#N/A</v>
      </c>
      <c r="X31" s="703"/>
      <c r="Y31" s="37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75" t="s">
        <v>1696</v>
      </c>
      <c r="Q32" s="1352" t="str">
        <f t="shared" si="11"/>
        <v>车位类型</v>
      </c>
      <c r="R32" s="705" t="s">
        <v>14</v>
      </c>
      <c r="S32" s="706">
        <f t="shared" si="12"/>
        <v>100</v>
      </c>
      <c r="T32" s="705" t="s">
        <v>14</v>
      </c>
      <c r="U32" s="706">
        <f t="shared" si="13"/>
        <v>100</v>
      </c>
      <c r="V32" s="705" t="s">
        <v>14</v>
      </c>
      <c r="W32" s="706">
        <f t="shared" si="14"/>
        <v>100</v>
      </c>
      <c r="X32" s="1355"/>
      <c r="Y32" s="37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75"/>
      <c r="Q33" s="1352" t="str">
        <f t="shared" si="11"/>
        <v>是否直接入户</v>
      </c>
      <c r="R33" s="705" t="s">
        <v>14</v>
      </c>
      <c r="S33" s="706">
        <f t="shared" si="12"/>
        <v>100</v>
      </c>
      <c r="T33" s="705" t="s">
        <v>14</v>
      </c>
      <c r="U33" s="706">
        <f t="shared" si="13"/>
        <v>100</v>
      </c>
      <c r="V33" s="705" t="s">
        <v>14</v>
      </c>
      <c r="W33" s="706">
        <f t="shared" si="14"/>
        <v>100</v>
      </c>
      <c r="X33" s="1355"/>
      <c r="Y33" s="37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75"/>
      <c r="Q35" s="707">
        <f t="shared" si="11"/>
        <v>111</v>
      </c>
      <c r="R35" s="708" t="s">
        <v>14</v>
      </c>
      <c r="S35" s="709">
        <f t="shared" si="12"/>
        <v>100</v>
      </c>
      <c r="T35" s="708" t="s">
        <v>14</v>
      </c>
      <c r="U35" s="709">
        <f t="shared" si="13"/>
        <v>100</v>
      </c>
      <c r="V35" s="708" t="s">
        <v>14</v>
      </c>
      <c r="W35" s="709">
        <f t="shared" si="14"/>
        <v>100</v>
      </c>
      <c r="X35" s="710"/>
      <c r="Y35" s="37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75"/>
      <c r="Q36" s="1352">
        <f t="shared" si="11"/>
        <v>111</v>
      </c>
      <c r="R36" s="705" t="s">
        <v>14</v>
      </c>
      <c r="S36" s="706">
        <f t="shared" si="12"/>
        <v>100</v>
      </c>
      <c r="T36" s="705" t="s">
        <v>14</v>
      </c>
      <c r="U36" s="706">
        <f t="shared" si="13"/>
        <v>100</v>
      </c>
      <c r="V36" s="705" t="s">
        <v>14</v>
      </c>
      <c r="W36" s="706">
        <f t="shared" si="14"/>
        <v>100</v>
      </c>
      <c r="X36" s="1355"/>
      <c r="Y36" s="3775"/>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3"/>
      <c r="M37" s="2724"/>
      <c r="N37" s="2715"/>
      <c r="O37" s="2724"/>
      <c r="P37" s="3768" t="str">
        <f>A37</f>
        <v>成交单价</v>
      </c>
      <c r="Q37" s="3768"/>
      <c r="R37" s="3769">
        <f>E37</f>
        <v>0</v>
      </c>
      <c r="S37" s="3769"/>
      <c r="T37" s="3769">
        <f>G37</f>
        <v>0</v>
      </c>
      <c r="U37" s="3769"/>
      <c r="V37" s="3769">
        <f>I37</f>
        <v>0</v>
      </c>
      <c r="W37" s="37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65" t="str">
        <f>A39</f>
        <v>估价对象XX用房的比较价值（楼面单价，元/平方米）</v>
      </c>
      <c r="Q39" s="3766"/>
      <c r="R39" s="3811" t="e">
        <f>IF(F1="售价",ROUND(IF(D38="简单平均",AVERAGE(R38:W38),R38*F38+T38*H38+V38*J38),0),ROUND(IF(D38="简单平均",AVERAGE(R38:V38),R38*F38+T38*H38+V38*J38),1))</f>
        <v>#DIV/0!</v>
      </c>
      <c r="S39" s="3811"/>
      <c r="T39" s="3811"/>
      <c r="U39" s="3811"/>
      <c r="V39" s="3811"/>
      <c r="W39" s="381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2019-12</v>
      </c>
      <c r="D48" s="1185">
        <f>EDATE(C48,-1)</f>
        <v>43770</v>
      </c>
      <c r="E48" s="1185">
        <f t="shared" ref="E48:O48" si="16">EDATE(D48,-1)</f>
        <v>43739</v>
      </c>
      <c r="F48" s="1185">
        <f t="shared" si="16"/>
        <v>43709</v>
      </c>
      <c r="G48" s="1185">
        <f t="shared" si="16"/>
        <v>43678</v>
      </c>
      <c r="H48" s="1185">
        <f t="shared" si="16"/>
        <v>43647</v>
      </c>
      <c r="I48" s="1185">
        <f t="shared" si="16"/>
        <v>43617</v>
      </c>
      <c r="J48" s="1185">
        <f t="shared" si="16"/>
        <v>43586</v>
      </c>
      <c r="K48" s="1185">
        <f t="shared" si="16"/>
        <v>43556</v>
      </c>
      <c r="L48" s="1185">
        <f t="shared" si="16"/>
        <v>43525</v>
      </c>
      <c r="M48" s="1185">
        <f t="shared" si="16"/>
        <v>43497</v>
      </c>
      <c r="N48" s="1185">
        <f t="shared" si="16"/>
        <v>43466</v>
      </c>
      <c r="O48" s="1185">
        <f t="shared" si="16"/>
        <v>43435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4"/>
      <c r="M4" s="2715"/>
      <c r="N4" s="2715"/>
      <c r="O4" s="2715"/>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94" t="s">
        <v>1674</v>
      </c>
      <c r="F5" s="3742"/>
      <c r="G5" s="3743" t="s">
        <v>1675</v>
      </c>
      <c r="H5" s="3744"/>
      <c r="I5" s="3743" t="s">
        <v>1676</v>
      </c>
      <c r="J5" s="3744"/>
      <c r="K5" s="559"/>
      <c r="L5" s="2714"/>
      <c r="M5" s="2715"/>
      <c r="N5" s="2715"/>
      <c r="O5" s="2715"/>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2714"/>
      <c r="M6" s="2715"/>
      <c r="N6" s="2715"/>
      <c r="O6" s="2715"/>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43819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5" t="s">
        <v>1680</v>
      </c>
      <c r="Q7" s="3764"/>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8"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8"/>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8"/>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8"/>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68"/>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70" t="s">
        <v>1691</v>
      </c>
      <c r="Q14" s="1352" t="str">
        <f t="shared" si="6"/>
        <v>交通便捷度</v>
      </c>
      <c r="R14" s="705" t="s">
        <v>14</v>
      </c>
      <c r="S14" s="706">
        <f t="shared" si="0"/>
        <v>100</v>
      </c>
      <c r="T14" s="705" t="s">
        <v>14</v>
      </c>
      <c r="U14" s="706">
        <f t="shared" si="1"/>
        <v>100</v>
      </c>
      <c r="V14" s="705" t="s">
        <v>14</v>
      </c>
      <c r="W14" s="706">
        <f t="shared" si="2"/>
        <v>100</v>
      </c>
      <c r="X14" s="1355"/>
      <c r="Y14" s="37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71"/>
      <c r="Q15" s="1352"/>
      <c r="R15" s="705"/>
      <c r="S15" s="706"/>
      <c r="T15" s="705"/>
      <c r="U15" s="706"/>
      <c r="V15" s="705"/>
      <c r="W15" s="706"/>
      <c r="X15" s="1355"/>
      <c r="Y15" s="37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71"/>
      <c r="Q17" s="1352"/>
      <c r="R17" s="705"/>
      <c r="S17" s="706"/>
      <c r="T17" s="705"/>
      <c r="U17" s="706"/>
      <c r="V17" s="705"/>
      <c r="W17" s="706"/>
      <c r="X17" s="1355"/>
      <c r="Y17" s="37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71"/>
      <c r="Q19" s="1352"/>
      <c r="R19" s="705"/>
      <c r="S19" s="706"/>
      <c r="T19" s="705"/>
      <c r="U19" s="706"/>
      <c r="V19" s="705"/>
      <c r="W19" s="706"/>
      <c r="X19" s="1355"/>
      <c r="Y19" s="37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71"/>
      <c r="Q21" s="1352"/>
      <c r="R21" s="705"/>
      <c r="S21" s="706"/>
      <c r="T21" s="705"/>
      <c r="U21" s="706"/>
      <c r="V21" s="705"/>
      <c r="W21" s="706"/>
      <c r="X21" s="1355"/>
      <c r="Y21" s="37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71"/>
      <c r="Q24" s="1352">
        <f t="shared" ref="Q24:Q34"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81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75"/>
      <c r="Q27" s="707" t="str">
        <f t="shared" si="11"/>
        <v>成新率</v>
      </c>
      <c r="R27" s="708" t="s">
        <v>14</v>
      </c>
      <c r="S27" s="709" t="e">
        <f t="shared" si="12"/>
        <v>#N/A</v>
      </c>
      <c r="T27" s="708" t="s">
        <v>14</v>
      </c>
      <c r="U27" s="709" t="e">
        <f t="shared" si="13"/>
        <v>#N/A</v>
      </c>
      <c r="V27" s="708" t="s">
        <v>14</v>
      </c>
      <c r="W27" s="709" t="e">
        <f t="shared" si="14"/>
        <v>#N/A</v>
      </c>
      <c r="X27" s="710"/>
      <c r="Y27" s="37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75"/>
      <c r="Q28" s="1352" t="str">
        <f t="shared" si="11"/>
        <v>物业等级</v>
      </c>
      <c r="R28" s="705" t="s">
        <v>14</v>
      </c>
      <c r="S28" s="706">
        <f t="shared" si="12"/>
        <v>100</v>
      </c>
      <c r="T28" s="705" t="s">
        <v>14</v>
      </c>
      <c r="U28" s="706">
        <f t="shared" si="13"/>
        <v>100</v>
      </c>
      <c r="V28" s="705" t="s">
        <v>14</v>
      </c>
      <c r="W28" s="706">
        <f t="shared" si="14"/>
        <v>100</v>
      </c>
      <c r="X28" s="1355"/>
      <c r="Y28" s="37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75"/>
      <c r="Q29" s="1352" t="str">
        <f t="shared" si="11"/>
        <v>有无电梯</v>
      </c>
      <c r="R29" s="705" t="s">
        <v>14</v>
      </c>
      <c r="S29" s="706">
        <f t="shared" si="12"/>
        <v>100</v>
      </c>
      <c r="T29" s="705" t="s">
        <v>14</v>
      </c>
      <c r="U29" s="706">
        <f t="shared" si="13"/>
        <v>100</v>
      </c>
      <c r="V29" s="705" t="s">
        <v>14</v>
      </c>
      <c r="W29" s="706">
        <f t="shared" si="14"/>
        <v>100</v>
      </c>
      <c r="X29" s="1355"/>
      <c r="Y29" s="37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75"/>
      <c r="Q30" s="1352" t="str">
        <f t="shared" si="11"/>
        <v>建筑面积</v>
      </c>
      <c r="R30" s="705" t="s">
        <v>14</v>
      </c>
      <c r="S30" s="706" t="e">
        <f t="shared" si="12"/>
        <v>#N/A</v>
      </c>
      <c r="T30" s="705" t="s">
        <v>14</v>
      </c>
      <c r="U30" s="706" t="e">
        <f t="shared" si="13"/>
        <v>#N/A</v>
      </c>
      <c r="V30" s="705" t="s">
        <v>14</v>
      </c>
      <c r="W30" s="706" t="e">
        <f t="shared" si="14"/>
        <v>#N/A</v>
      </c>
      <c r="X30" s="1355"/>
      <c r="Y30" s="37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75"/>
      <c r="Q31" s="1343" t="str">
        <f t="shared" si="11"/>
        <v>是否封闭</v>
      </c>
      <c r="R31" s="701" t="s">
        <v>14</v>
      </c>
      <c r="S31" s="702">
        <f t="shared" si="12"/>
        <v>100</v>
      </c>
      <c r="T31" s="701" t="s">
        <v>14</v>
      </c>
      <c r="U31" s="702">
        <f t="shared" si="13"/>
        <v>100</v>
      </c>
      <c r="V31" s="701" t="s">
        <v>14</v>
      </c>
      <c r="W31" s="702">
        <f t="shared" si="14"/>
        <v>100</v>
      </c>
      <c r="X31" s="703"/>
      <c r="Y31" s="37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75" t="s">
        <v>1696</v>
      </c>
      <c r="Q32" s="1352">
        <f t="shared" si="11"/>
        <v>111</v>
      </c>
      <c r="R32" s="705" t="s">
        <v>14</v>
      </c>
      <c r="S32" s="706">
        <f t="shared" si="12"/>
        <v>100</v>
      </c>
      <c r="T32" s="705" t="s">
        <v>14</v>
      </c>
      <c r="U32" s="706">
        <f t="shared" si="13"/>
        <v>100</v>
      </c>
      <c r="V32" s="705" t="s">
        <v>14</v>
      </c>
      <c r="W32" s="706">
        <f t="shared" si="14"/>
        <v>100</v>
      </c>
      <c r="X32" s="1355"/>
      <c r="Y32" s="37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75"/>
      <c r="Q33" s="1352">
        <f t="shared" si="11"/>
        <v>111</v>
      </c>
      <c r="R33" s="705" t="s">
        <v>14</v>
      </c>
      <c r="S33" s="706">
        <f t="shared" si="12"/>
        <v>100</v>
      </c>
      <c r="T33" s="705" t="s">
        <v>14</v>
      </c>
      <c r="U33" s="706">
        <f t="shared" si="13"/>
        <v>100</v>
      </c>
      <c r="V33" s="705" t="s">
        <v>14</v>
      </c>
      <c r="W33" s="706">
        <f t="shared" si="14"/>
        <v>100</v>
      </c>
      <c r="X33" s="1355"/>
      <c r="Y33" s="37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68" t="str">
        <f>A35</f>
        <v>成交单价（元/平方米）</v>
      </c>
      <c r="Q35" s="3768"/>
      <c r="R35" s="3769">
        <f>E35</f>
        <v>0</v>
      </c>
      <c r="S35" s="3769"/>
      <c r="T35" s="3769">
        <f>G35</f>
        <v>0</v>
      </c>
      <c r="U35" s="3769"/>
      <c r="V35" s="3769">
        <f>I35</f>
        <v>0</v>
      </c>
      <c r="W35" s="37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65" t="str">
        <f>A37</f>
        <v>估价对象XX用房的比较价值（楼面单价，元/平方米）</v>
      </c>
      <c r="Q37" s="3766"/>
      <c r="R37" s="3811" t="e">
        <f>IF(F1="售价",ROUND(IF(D36="简单平均",AVERAGE(R36:W36),R36*F36+T36*H36+V36*J36),0),ROUND(IF(D36="简单平均",AVERAGE(R36:V36),R36*F36+T36*H36+V36*J36),1))</f>
        <v>#DIV/0!</v>
      </c>
      <c r="S37" s="3811"/>
      <c r="T37" s="3811"/>
      <c r="U37" s="3811"/>
      <c r="V37" s="3811"/>
      <c r="W37" s="381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2019-12</v>
      </c>
      <c r="D46" s="1185">
        <f>EDATE(C46,-1)</f>
        <v>43770</v>
      </c>
      <c r="E46" s="1185">
        <f t="shared" ref="E46:O46" si="16">EDATE(D46,-1)</f>
        <v>43739</v>
      </c>
      <c r="F46" s="1185">
        <f t="shared" si="16"/>
        <v>43709</v>
      </c>
      <c r="G46" s="1185">
        <f t="shared" si="16"/>
        <v>43678</v>
      </c>
      <c r="H46" s="1185">
        <f t="shared" si="16"/>
        <v>43647</v>
      </c>
      <c r="I46" s="1185">
        <f t="shared" si="16"/>
        <v>43617</v>
      </c>
      <c r="J46" s="1185">
        <f t="shared" si="16"/>
        <v>43586</v>
      </c>
      <c r="K46" s="1185">
        <f t="shared" si="16"/>
        <v>43556</v>
      </c>
      <c r="L46" s="1185">
        <f t="shared" si="16"/>
        <v>43525</v>
      </c>
      <c r="M46" s="1185">
        <f t="shared" si="16"/>
        <v>43497</v>
      </c>
      <c r="N46" s="1185">
        <f t="shared" si="16"/>
        <v>43466</v>
      </c>
      <c r="O46" s="1185">
        <f t="shared" si="16"/>
        <v>43435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50" t="s">
        <v>1770</v>
      </c>
      <c r="D4" s="3751"/>
      <c r="E4" s="3752" t="s">
        <v>1771</v>
      </c>
      <c r="F4" s="3753"/>
      <c r="G4" s="3750" t="s">
        <v>1772</v>
      </c>
      <c r="H4" s="3751"/>
      <c r="I4" s="3750" t="s">
        <v>1773</v>
      </c>
      <c r="J4" s="3751"/>
      <c r="K4" s="559" t="s">
        <v>1774</v>
      </c>
      <c r="L4" s="2714"/>
      <c r="M4" s="2715"/>
      <c r="N4" s="2715"/>
      <c r="O4" s="2715"/>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30" ht="15">
      <c r="A5" s="358"/>
      <c r="B5" s="359"/>
      <c r="C5" s="3743" t="s">
        <v>1673</v>
      </c>
      <c r="D5" s="3744"/>
      <c r="E5" s="3794" t="s">
        <v>1674</v>
      </c>
      <c r="F5" s="3742"/>
      <c r="G5" s="3743" t="s">
        <v>1675</v>
      </c>
      <c r="H5" s="3744"/>
      <c r="I5" s="3743" t="s">
        <v>1676</v>
      </c>
      <c r="J5" s="3744"/>
      <c r="K5" s="559"/>
      <c r="L5" s="2714"/>
      <c r="M5" s="2715"/>
      <c r="N5" s="2715"/>
      <c r="O5" s="2715"/>
      <c r="P5" s="3756"/>
      <c r="Q5" s="3757"/>
      <c r="R5" s="3739"/>
      <c r="S5" s="3740"/>
      <c r="T5" s="3739"/>
      <c r="U5" s="3740"/>
      <c r="V5" s="3762"/>
      <c r="W5" s="3762"/>
      <c r="X5" s="1355"/>
      <c r="Y5" s="3739"/>
      <c r="Z5" s="3740"/>
      <c r="AA5" s="3733"/>
      <c r="AB5" s="3733"/>
      <c r="AC5" s="3733"/>
    </row>
    <row r="6" spans="1:30" ht="15.75" thickBot="1">
      <c r="A6" s="360"/>
      <c r="B6" s="361"/>
      <c r="C6" s="3745" t="s">
        <v>1677</v>
      </c>
      <c r="D6" s="3746"/>
      <c r="E6" s="3747" t="s">
        <v>1677</v>
      </c>
      <c r="F6" s="3748"/>
      <c r="G6" s="3745" t="s">
        <v>1677</v>
      </c>
      <c r="H6" s="3746"/>
      <c r="I6" s="3745" t="s">
        <v>1677</v>
      </c>
      <c r="J6" s="3746"/>
      <c r="K6" s="559" t="s">
        <v>1678</v>
      </c>
      <c r="L6" s="2714"/>
      <c r="M6" s="2715"/>
      <c r="N6" s="2715"/>
      <c r="O6" s="2715"/>
      <c r="P6" s="3758"/>
      <c r="Q6" s="3759"/>
      <c r="R6" s="3739"/>
      <c r="S6" s="3740"/>
      <c r="T6" s="3760"/>
      <c r="U6" s="3761"/>
      <c r="V6" s="3762"/>
      <c r="W6" s="3762"/>
      <c r="X6" s="1355"/>
      <c r="Y6" s="3760"/>
      <c r="Z6" s="3761"/>
      <c r="AA6" s="3734"/>
      <c r="AB6" s="3734"/>
      <c r="AC6" s="3734"/>
    </row>
    <row r="7" spans="1:30" s="108" customFormat="1" ht="15.75" thickBot="1">
      <c r="A7" s="362" t="s">
        <v>1679</v>
      </c>
      <c r="B7" s="363"/>
      <c r="C7" s="364">
        <f>'数据-取费表'!B2</f>
        <v>43819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5" t="s">
        <v>1680</v>
      </c>
      <c r="Q7" s="3764"/>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68"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68"/>
      <c r="Q10" s="1343"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68"/>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68"/>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68"/>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68"/>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70" t="s">
        <v>1691</v>
      </c>
      <c r="Q15" s="1352" t="str">
        <f t="shared" si="6"/>
        <v>居住社区成熟度</v>
      </c>
      <c r="R15" s="705" t="s">
        <v>14</v>
      </c>
      <c r="S15" s="706">
        <f t="shared" si="0"/>
        <v>100</v>
      </c>
      <c r="T15" s="705" t="s">
        <v>14</v>
      </c>
      <c r="U15" s="706">
        <f t="shared" si="1"/>
        <v>100</v>
      </c>
      <c r="V15" s="705" t="s">
        <v>14</v>
      </c>
      <c r="W15" s="706">
        <f t="shared" si="2"/>
        <v>100</v>
      </c>
      <c r="X15" s="1355"/>
      <c r="Y15" s="37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71"/>
      <c r="Q16" s="1352"/>
      <c r="R16" s="705"/>
      <c r="S16" s="706"/>
      <c r="T16" s="705"/>
      <c r="U16" s="706"/>
      <c r="V16" s="705"/>
      <c r="W16" s="706"/>
      <c r="X16" s="1355"/>
      <c r="Y16" s="37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71"/>
      <c r="Q17" s="1352" t="str">
        <f>B17</f>
        <v>商业繁华度</v>
      </c>
      <c r="R17" s="705" t="s">
        <v>14</v>
      </c>
      <c r="S17" s="706">
        <f>F17</f>
        <v>100</v>
      </c>
      <c r="T17" s="705" t="s">
        <v>14</v>
      </c>
      <c r="U17" s="706">
        <f>H17</f>
        <v>100</v>
      </c>
      <c r="V17" s="705" t="s">
        <v>14</v>
      </c>
      <c r="W17" s="706">
        <f>J17</f>
        <v>100</v>
      </c>
      <c r="X17" s="1355"/>
      <c r="Y17" s="37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71"/>
      <c r="Q18" s="1352"/>
      <c r="R18" s="705"/>
      <c r="S18" s="706"/>
      <c r="T18" s="705"/>
      <c r="U18" s="706"/>
      <c r="V18" s="705"/>
      <c r="W18" s="706"/>
      <c r="X18" s="1355"/>
      <c r="Y18" s="37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71"/>
      <c r="Q19" s="1352" t="str">
        <f>B19</f>
        <v>办公集聚程度</v>
      </c>
      <c r="R19" s="705" t="s">
        <v>14</v>
      </c>
      <c r="S19" s="706">
        <f>F19</f>
        <v>100</v>
      </c>
      <c r="T19" s="705" t="s">
        <v>14</v>
      </c>
      <c r="U19" s="706">
        <f>H19</f>
        <v>100</v>
      </c>
      <c r="V19" s="705" t="s">
        <v>14</v>
      </c>
      <c r="W19" s="706">
        <f>J19</f>
        <v>100</v>
      </c>
      <c r="X19" s="1355"/>
      <c r="Y19" s="37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71"/>
      <c r="Q20" s="1352"/>
      <c r="R20" s="705"/>
      <c r="S20" s="706"/>
      <c r="T20" s="705"/>
      <c r="U20" s="706"/>
      <c r="V20" s="705"/>
      <c r="W20" s="706"/>
      <c r="X20" s="1355"/>
      <c r="Y20" s="37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71"/>
      <c r="Q21" s="1352" t="str">
        <f>B21</f>
        <v>交通便捷度</v>
      </c>
      <c r="R21" s="705" t="s">
        <v>14</v>
      </c>
      <c r="S21" s="706">
        <f>F21</f>
        <v>100</v>
      </c>
      <c r="T21" s="705" t="s">
        <v>14</v>
      </c>
      <c r="U21" s="706">
        <f>H21</f>
        <v>100</v>
      </c>
      <c r="V21" s="705" t="s">
        <v>14</v>
      </c>
      <c r="W21" s="706">
        <f>J21</f>
        <v>100</v>
      </c>
      <c r="X21" s="1355"/>
      <c r="Y21" s="37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71"/>
      <c r="Q22" s="1352"/>
      <c r="R22" s="705"/>
      <c r="S22" s="706"/>
      <c r="T22" s="705"/>
      <c r="U22" s="706"/>
      <c r="V22" s="705"/>
      <c r="W22" s="706"/>
      <c r="X22" s="1355"/>
      <c r="Y22" s="37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71"/>
      <c r="Q23" s="1352" t="str">
        <f t="shared" ref="Q23:Q37" si="8">B23</f>
        <v>区域土地利用方向</v>
      </c>
      <c r="R23" s="705" t="s">
        <v>14</v>
      </c>
      <c r="S23" s="706">
        <f>F23</f>
        <v>100</v>
      </c>
      <c r="T23" s="705" t="s">
        <v>14</v>
      </c>
      <c r="U23" s="706">
        <f>H23</f>
        <v>100</v>
      </c>
      <c r="V23" s="705" t="s">
        <v>14</v>
      </c>
      <c r="W23" s="706">
        <f>J23</f>
        <v>100</v>
      </c>
      <c r="X23" s="1355"/>
      <c r="Y23" s="37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71"/>
      <c r="Q24" s="1352"/>
      <c r="R24" s="705"/>
      <c r="S24" s="706"/>
      <c r="T24" s="705"/>
      <c r="U24" s="706"/>
      <c r="V24" s="705"/>
      <c r="W24" s="706"/>
      <c r="X24" s="1355"/>
      <c r="Y24" s="37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71"/>
      <c r="Q25" s="1352" t="str">
        <f t="shared" si="8"/>
        <v>自然及人文环境状况</v>
      </c>
      <c r="R25" s="705" t="s">
        <v>14</v>
      </c>
      <c r="S25" s="706">
        <f>F25</f>
        <v>100</v>
      </c>
      <c r="T25" s="705" t="s">
        <v>14</v>
      </c>
      <c r="U25" s="706">
        <f>H25</f>
        <v>100</v>
      </c>
      <c r="V25" s="705" t="s">
        <v>14</v>
      </c>
      <c r="W25" s="706">
        <f>J25</f>
        <v>100</v>
      </c>
      <c r="X25" s="1355"/>
      <c r="Y25" s="37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71"/>
      <c r="Q26" s="1352"/>
      <c r="R26" s="705"/>
      <c r="S26" s="706"/>
      <c r="T26" s="705"/>
      <c r="U26" s="706"/>
      <c r="V26" s="705"/>
      <c r="W26" s="706"/>
      <c r="X26" s="1355"/>
      <c r="Y26" s="37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71"/>
      <c r="Q27" s="1343" t="str">
        <f t="shared" si="8"/>
        <v>公共配套设施</v>
      </c>
      <c r="R27" s="701" t="s">
        <v>14</v>
      </c>
      <c r="S27" s="702">
        <f>F27</f>
        <v>100</v>
      </c>
      <c r="T27" s="701" t="s">
        <v>14</v>
      </c>
      <c r="U27" s="702">
        <f>H27</f>
        <v>100</v>
      </c>
      <c r="V27" s="701" t="s">
        <v>14</v>
      </c>
      <c r="W27" s="702">
        <f>J27</f>
        <v>100</v>
      </c>
      <c r="X27" s="703"/>
      <c r="Y27" s="37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71"/>
      <c r="Q28" s="1343"/>
      <c r="R28" s="701"/>
      <c r="S28" s="702"/>
      <c r="T28" s="701"/>
      <c r="U28" s="702"/>
      <c r="V28" s="701"/>
      <c r="W28" s="702"/>
      <c r="X28" s="703"/>
      <c r="Y28" s="37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71"/>
      <c r="Q29" s="1343" t="str">
        <f t="shared" ref="Q29" si="9">B29</f>
        <v>基础设施水平</v>
      </c>
      <c r="R29" s="701" t="s">
        <v>14</v>
      </c>
      <c r="S29" s="702">
        <f>F29</f>
        <v>100</v>
      </c>
      <c r="T29" s="701" t="s">
        <v>14</v>
      </c>
      <c r="U29" s="702">
        <f>H29</f>
        <v>100</v>
      </c>
      <c r="V29" s="701" t="s">
        <v>14</v>
      </c>
      <c r="W29" s="702">
        <f>J29</f>
        <v>100</v>
      </c>
      <c r="X29" s="703"/>
      <c r="Y29" s="37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71"/>
      <c r="Q30" s="1343"/>
      <c r="R30" s="701"/>
      <c r="S30" s="702"/>
      <c r="T30" s="701"/>
      <c r="U30" s="702"/>
      <c r="V30" s="701"/>
      <c r="W30" s="702"/>
      <c r="X30" s="703"/>
      <c r="Y30" s="37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71"/>
      <c r="Q32" s="1352" t="str">
        <f t="shared" si="8"/>
        <v>毗邻道路的类型与等级</v>
      </c>
      <c r="R32" s="705" t="s">
        <v>14</v>
      </c>
      <c r="S32" s="706">
        <f t="shared" si="10"/>
        <v>100</v>
      </c>
      <c r="T32" s="705" t="s">
        <v>14</v>
      </c>
      <c r="U32" s="706">
        <f t="shared" si="11"/>
        <v>100</v>
      </c>
      <c r="V32" s="705" t="s">
        <v>14</v>
      </c>
      <c r="W32" s="706">
        <f t="shared" si="12"/>
        <v>100</v>
      </c>
      <c r="X32" s="1355"/>
      <c r="Y32" s="37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71"/>
      <c r="Q33" s="1352"/>
      <c r="R33" s="705"/>
      <c r="S33" s="706"/>
      <c r="T33" s="705"/>
      <c r="U33" s="706"/>
      <c r="V33" s="705"/>
      <c r="W33" s="706"/>
      <c r="X33" s="1355"/>
      <c r="Y33" s="37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71"/>
      <c r="Q34" s="1352" t="str">
        <f t="shared" si="8"/>
        <v>土地级别</v>
      </c>
      <c r="R34" s="705" t="s">
        <v>14</v>
      </c>
      <c r="S34" s="706">
        <f t="shared" si="10"/>
        <v>100</v>
      </c>
      <c r="T34" s="705" t="s">
        <v>14</v>
      </c>
      <c r="U34" s="706">
        <f t="shared" si="11"/>
        <v>100</v>
      </c>
      <c r="V34" s="705" t="s">
        <v>14</v>
      </c>
      <c r="W34" s="706">
        <f t="shared" si="12"/>
        <v>100</v>
      </c>
      <c r="X34" s="1355"/>
      <c r="Y34" s="37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71"/>
      <c r="Q35" s="1352">
        <f t="shared" si="8"/>
        <v>111</v>
      </c>
      <c r="R35" s="705" t="s">
        <v>14</v>
      </c>
      <c r="S35" s="706">
        <f t="shared" si="10"/>
        <v>100</v>
      </c>
      <c r="T35" s="705" t="s">
        <v>14</v>
      </c>
      <c r="U35" s="706">
        <f t="shared" si="11"/>
        <v>100</v>
      </c>
      <c r="V35" s="705" t="s">
        <v>14</v>
      </c>
      <c r="W35" s="706">
        <f t="shared" si="12"/>
        <v>100</v>
      </c>
      <c r="X35" s="1355"/>
      <c r="Y35" s="37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10" t="s">
        <v>1696</v>
      </c>
      <c r="Q36" s="1352">
        <f t="shared" si="8"/>
        <v>111</v>
      </c>
      <c r="R36" s="705" t="s">
        <v>14</v>
      </c>
      <c r="S36" s="706">
        <f t="shared" si="10"/>
        <v>100</v>
      </c>
      <c r="T36" s="705" t="s">
        <v>14</v>
      </c>
      <c r="U36" s="706">
        <f t="shared" si="11"/>
        <v>100</v>
      </c>
      <c r="V36" s="705" t="s">
        <v>14</v>
      </c>
      <c r="W36" s="706">
        <f t="shared" si="12"/>
        <v>100</v>
      </c>
      <c r="X36" s="1355"/>
      <c r="Y36" s="37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75"/>
      <c r="Q37" s="1352">
        <f t="shared" si="8"/>
        <v>111</v>
      </c>
      <c r="R37" s="708" t="s">
        <v>14</v>
      </c>
      <c r="S37" s="709">
        <f t="shared" si="10"/>
        <v>100</v>
      </c>
      <c r="T37" s="708" t="s">
        <v>14</v>
      </c>
      <c r="U37" s="709">
        <f t="shared" si="11"/>
        <v>100</v>
      </c>
      <c r="V37" s="708" t="s">
        <v>14</v>
      </c>
      <c r="W37" s="709">
        <f t="shared" si="12"/>
        <v>100</v>
      </c>
      <c r="X37" s="710"/>
      <c r="Y37" s="37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75"/>
      <c r="Q38" s="1352" t="str">
        <f>B38</f>
        <v>宗地面积</v>
      </c>
      <c r="R38" s="705" t="s">
        <v>14</v>
      </c>
      <c r="S38" s="706" t="e">
        <f t="shared" si="10"/>
        <v>#N/A</v>
      </c>
      <c r="T38" s="705" t="s">
        <v>14</v>
      </c>
      <c r="U38" s="706" t="e">
        <f t="shared" si="11"/>
        <v>#N/A</v>
      </c>
      <c r="V38" s="705" t="s">
        <v>14</v>
      </c>
      <c r="W38" s="706" t="e">
        <f t="shared" si="12"/>
        <v>#N/A</v>
      </c>
      <c r="X38" s="1355"/>
      <c r="Y38" s="37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75"/>
      <c r="Q39" s="1352" t="str">
        <f t="shared" ref="Q39:Q45" si="14">B39</f>
        <v>宗地形状</v>
      </c>
      <c r="R39" s="705" t="s">
        <v>14</v>
      </c>
      <c r="S39" s="706">
        <f t="shared" si="10"/>
        <v>100</v>
      </c>
      <c r="T39" s="705" t="s">
        <v>14</v>
      </c>
      <c r="U39" s="706">
        <f t="shared" si="11"/>
        <v>100</v>
      </c>
      <c r="V39" s="705" t="s">
        <v>14</v>
      </c>
      <c r="W39" s="706">
        <f t="shared" si="12"/>
        <v>100</v>
      </c>
      <c r="X39" s="1355"/>
      <c r="Y39" s="37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75"/>
      <c r="Q40" s="1352" t="str">
        <f t="shared" si="14"/>
        <v>临街宽度及深度</v>
      </c>
      <c r="R40" s="705" t="s">
        <v>14</v>
      </c>
      <c r="S40" s="706">
        <f t="shared" si="10"/>
        <v>100</v>
      </c>
      <c r="T40" s="705" t="s">
        <v>14</v>
      </c>
      <c r="U40" s="706">
        <f t="shared" si="11"/>
        <v>100</v>
      </c>
      <c r="V40" s="705" t="s">
        <v>14</v>
      </c>
      <c r="W40" s="706">
        <f t="shared" si="12"/>
        <v>100</v>
      </c>
      <c r="X40" s="1355"/>
      <c r="Y40" s="37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75"/>
      <c r="Q41" s="1352" t="str">
        <f t="shared" si="14"/>
        <v>宗地开发程度</v>
      </c>
      <c r="R41" s="701" t="s">
        <v>14</v>
      </c>
      <c r="S41" s="702">
        <f t="shared" si="10"/>
        <v>100</v>
      </c>
      <c r="T41" s="701" t="s">
        <v>14</v>
      </c>
      <c r="U41" s="702">
        <f t="shared" si="11"/>
        <v>100</v>
      </c>
      <c r="V41" s="701" t="s">
        <v>14</v>
      </c>
      <c r="W41" s="702">
        <f t="shared" si="12"/>
        <v>100</v>
      </c>
      <c r="X41" s="703"/>
      <c r="Y41" s="37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75" t="s">
        <v>1696</v>
      </c>
      <c r="Q42" s="1352" t="str">
        <f t="shared" si="14"/>
        <v>工程地质条件</v>
      </c>
      <c r="R42" s="705" t="s">
        <v>14</v>
      </c>
      <c r="S42" s="706">
        <f t="shared" si="10"/>
        <v>100</v>
      </c>
      <c r="T42" s="705" t="s">
        <v>14</v>
      </c>
      <c r="U42" s="706">
        <f t="shared" si="11"/>
        <v>100</v>
      </c>
      <c r="V42" s="705" t="s">
        <v>14</v>
      </c>
      <c r="W42" s="706">
        <f t="shared" si="12"/>
        <v>100</v>
      </c>
      <c r="X42" s="1355"/>
      <c r="Y42" s="37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75"/>
      <c r="Q43" s="1352">
        <f t="shared" si="14"/>
        <v>111</v>
      </c>
      <c r="R43" s="705" t="s">
        <v>14</v>
      </c>
      <c r="S43" s="706">
        <f t="shared" si="10"/>
        <v>100</v>
      </c>
      <c r="T43" s="705" t="s">
        <v>14</v>
      </c>
      <c r="U43" s="706">
        <f t="shared" si="11"/>
        <v>100</v>
      </c>
      <c r="V43" s="705" t="s">
        <v>14</v>
      </c>
      <c r="W43" s="706">
        <f t="shared" si="12"/>
        <v>100</v>
      </c>
      <c r="X43" s="1355"/>
      <c r="Y43" s="37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75"/>
      <c r="Q44" s="1352">
        <f t="shared" si="14"/>
        <v>111</v>
      </c>
      <c r="R44" s="705" t="s">
        <v>14</v>
      </c>
      <c r="S44" s="706">
        <f t="shared" si="10"/>
        <v>100</v>
      </c>
      <c r="T44" s="705" t="s">
        <v>14</v>
      </c>
      <c r="U44" s="706">
        <f t="shared" si="11"/>
        <v>100</v>
      </c>
      <c r="V44" s="705" t="s">
        <v>14</v>
      </c>
      <c r="W44" s="706">
        <f t="shared" si="12"/>
        <v>100</v>
      </c>
      <c r="X44" s="1355"/>
      <c r="Y44" s="37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75"/>
      <c r="Q45" s="1352">
        <f t="shared" si="14"/>
        <v>111</v>
      </c>
      <c r="R45" s="708" t="s">
        <v>14</v>
      </c>
      <c r="S45" s="709">
        <f t="shared" si="10"/>
        <v>100</v>
      </c>
      <c r="T45" s="708" t="s">
        <v>14</v>
      </c>
      <c r="U45" s="709">
        <f t="shared" si="11"/>
        <v>100</v>
      </c>
      <c r="V45" s="708" t="s">
        <v>14</v>
      </c>
      <c r="W45" s="709">
        <f t="shared" si="12"/>
        <v>100</v>
      </c>
      <c r="X45" s="710"/>
      <c r="Y45" s="37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68" t="str">
        <f>A46</f>
        <v>成交单价</v>
      </c>
      <c r="Q46" s="3768"/>
      <c r="R46" s="3762">
        <f>E46</f>
        <v>0</v>
      </c>
      <c r="S46" s="3762"/>
      <c r="T46" s="3762">
        <f>G46</f>
        <v>0</v>
      </c>
      <c r="U46" s="3762"/>
      <c r="V46" s="3762">
        <f>I46</f>
        <v>0</v>
      </c>
      <c r="W46" s="376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68" t="str">
        <f>A47</f>
        <v>比较价值（元/平方米）</v>
      </c>
      <c r="Q47" s="3768"/>
      <c r="R47" s="3812" t="e">
        <f>ROUND(PRODUCT(R46,AA7:AA45),0)</f>
        <v>#DIV/0!</v>
      </c>
      <c r="S47" s="3812"/>
      <c r="T47" s="3812" t="e">
        <f>ROUND(PRODUCT(T46,AB7:AB45),0)</f>
        <v>#DIV/0!</v>
      </c>
      <c r="U47" s="3812"/>
      <c r="V47" s="3812" t="e">
        <f>ROUND(PRODUCT(V46,AC7:AC45),0)</f>
        <v>#DIV/0!</v>
      </c>
      <c r="W47" s="381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65" t="str">
        <f>A48</f>
        <v>估价对象XX用房的比较价值（楼面单价，元/平方米）</v>
      </c>
      <c r="Q48" s="3766"/>
      <c r="R48" s="3813" t="e">
        <f>ROUND(IF(D47="简单平均",AVERAGE(R47:W47),R47*F47+T47*H47+V47*J47),0)</f>
        <v>#DIV/0!</v>
      </c>
      <c r="S48" s="3813"/>
      <c r="T48" s="3813"/>
      <c r="U48" s="3813"/>
      <c r="V48" s="3813"/>
      <c r="W48" s="381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50" t="s">
        <v>1887</v>
      </c>
      <c r="H55" s="381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62.1</v>
      </c>
      <c r="F56" s="886" t="e">
        <f t="shared" ref="F56:F64" si="15">ROUND(B56*E56/10000,0)</f>
        <v>#DIV/0!</v>
      </c>
      <c r="G56" s="3749"/>
      <c r="H56" s="376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62.1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2019-12-1</v>
      </c>
      <c r="D67" s="692">
        <f>EDATE(C67,-3)</f>
        <v>43709</v>
      </c>
      <c r="E67" s="692">
        <f>EDATE(D67,-3)</f>
        <v>43617</v>
      </c>
      <c r="F67" s="692">
        <f t="shared" ref="F67:O67" si="18">EDATE(E67,-3)</f>
        <v>43525</v>
      </c>
      <c r="G67" s="692">
        <f t="shared" si="18"/>
        <v>43435</v>
      </c>
      <c r="H67" s="692">
        <f t="shared" si="18"/>
        <v>43344</v>
      </c>
      <c r="I67" s="692">
        <f t="shared" si="18"/>
        <v>43252</v>
      </c>
      <c r="J67" s="692">
        <f t="shared" si="18"/>
        <v>43160</v>
      </c>
      <c r="K67" s="692">
        <f t="shared" si="18"/>
        <v>43070</v>
      </c>
      <c r="L67" s="692">
        <f t="shared" si="18"/>
        <v>42979</v>
      </c>
      <c r="M67" s="692">
        <f t="shared" si="18"/>
        <v>42887</v>
      </c>
      <c r="N67" s="692">
        <f t="shared" si="18"/>
        <v>42795</v>
      </c>
      <c r="O67" s="692">
        <f t="shared" si="18"/>
        <v>42705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2019-4</v>
      </c>
      <c r="D69" s="1182" t="str">
        <f>YEAR(D67)&amp;"-"&amp;ROUNDUP(MONTH(D67)/3,0)</f>
        <v>2019-3</v>
      </c>
      <c r="E69" s="1182" t="str">
        <f t="shared" ref="E69:O69" si="19">YEAR(E67)&amp;"-"&amp;ROUNDUP(MONTH(E67)/3,0)</f>
        <v>2019-2</v>
      </c>
      <c r="F69" s="1182" t="str">
        <f t="shared" si="19"/>
        <v>2019-1</v>
      </c>
      <c r="G69" s="1182" t="str">
        <f t="shared" si="19"/>
        <v>2018-4</v>
      </c>
      <c r="H69" s="1182" t="str">
        <f t="shared" si="19"/>
        <v>2018-3</v>
      </c>
      <c r="I69" s="1182" t="str">
        <f t="shared" si="19"/>
        <v>2018-2</v>
      </c>
      <c r="J69" s="1182" t="str">
        <f t="shared" si="19"/>
        <v>2018-1</v>
      </c>
      <c r="K69" s="1182" t="str">
        <f t="shared" si="19"/>
        <v>2017-4</v>
      </c>
      <c r="L69" s="1182" t="str">
        <f t="shared" si="19"/>
        <v>2017-3</v>
      </c>
      <c r="M69" s="1182" t="str">
        <f t="shared" si="19"/>
        <v>2017-2</v>
      </c>
      <c r="N69" s="1182" t="str">
        <f t="shared" si="19"/>
        <v>2017-1</v>
      </c>
      <c r="O69" s="1182" t="str">
        <f t="shared" si="19"/>
        <v>2016-4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北京市平均增长率2.19%</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4"/>
      <c r="M4" s="2715"/>
      <c r="N4" s="2715"/>
      <c r="O4" s="2715"/>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94" t="s">
        <v>1674</v>
      </c>
      <c r="F5" s="3742"/>
      <c r="G5" s="3743" t="s">
        <v>1675</v>
      </c>
      <c r="H5" s="3744"/>
      <c r="I5" s="3743" t="s">
        <v>1676</v>
      </c>
      <c r="J5" s="3744"/>
      <c r="K5" s="559"/>
      <c r="L5" s="2714"/>
      <c r="M5" s="2715"/>
      <c r="N5" s="2715"/>
      <c r="O5" s="2715"/>
      <c r="P5" s="3756"/>
      <c r="Q5" s="3757"/>
      <c r="R5" s="3739"/>
      <c r="S5" s="3740"/>
      <c r="T5" s="3739"/>
      <c r="U5" s="3740"/>
      <c r="V5" s="3762"/>
      <c r="W5" s="3762"/>
      <c r="X5" s="1355"/>
      <c r="Y5" s="3739"/>
      <c r="Z5" s="3740"/>
      <c r="AA5" s="3733"/>
      <c r="AB5" s="3733"/>
      <c r="AC5" s="3733"/>
    </row>
    <row r="6" spans="1:29" ht="15.75" thickBot="1">
      <c r="A6" s="360"/>
      <c r="B6" s="361"/>
      <c r="C6" s="3815" t="s">
        <v>1919</v>
      </c>
      <c r="D6" s="3816"/>
      <c r="E6" s="3817" t="s">
        <v>1919</v>
      </c>
      <c r="F6" s="3818"/>
      <c r="G6" s="3815" t="s">
        <v>1919</v>
      </c>
      <c r="H6" s="3816"/>
      <c r="I6" s="3815" t="s">
        <v>1919</v>
      </c>
      <c r="J6" s="3816"/>
      <c r="K6" s="559" t="s">
        <v>1678</v>
      </c>
      <c r="L6" s="2714"/>
      <c r="M6" s="2715"/>
      <c r="N6" s="2715"/>
      <c r="O6" s="2715"/>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43819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5" t="s">
        <v>1680</v>
      </c>
      <c r="Q7" s="3764"/>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68"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68"/>
      <c r="Q10" s="1343"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68"/>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68"/>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68"/>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68"/>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70" t="s">
        <v>1691</v>
      </c>
      <c r="Q15" s="1352" t="str">
        <f t="shared" si="6"/>
        <v>产业集聚程度</v>
      </c>
      <c r="R15" s="705" t="s">
        <v>14</v>
      </c>
      <c r="S15" s="706">
        <f t="shared" si="0"/>
        <v>100</v>
      </c>
      <c r="T15" s="705" t="s">
        <v>14</v>
      </c>
      <c r="U15" s="706">
        <f t="shared" si="1"/>
        <v>100</v>
      </c>
      <c r="V15" s="705" t="s">
        <v>14</v>
      </c>
      <c r="W15" s="706">
        <f t="shared" si="2"/>
        <v>100</v>
      </c>
      <c r="X15" s="1355"/>
      <c r="Y15" s="37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71"/>
      <c r="Q16" s="1352"/>
      <c r="R16" s="705"/>
      <c r="S16" s="706"/>
      <c r="T16" s="705"/>
      <c r="U16" s="706"/>
      <c r="V16" s="705"/>
      <c r="W16" s="706"/>
      <c r="X16" s="1355"/>
      <c r="Y16" s="37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71"/>
      <c r="Q18" s="1352"/>
      <c r="R18" s="705"/>
      <c r="S18" s="706"/>
      <c r="T18" s="705"/>
      <c r="U18" s="706"/>
      <c r="V18" s="705"/>
      <c r="W18" s="706"/>
      <c r="X18" s="1355"/>
      <c r="Y18" s="37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71"/>
      <c r="Q19" s="1352" t="str">
        <f t="shared" ref="Q19:Q33" si="8">B19</f>
        <v>区域土地利用方向</v>
      </c>
      <c r="R19" s="705" t="s">
        <v>14</v>
      </c>
      <c r="S19" s="706">
        <f>F19</f>
        <v>100</v>
      </c>
      <c r="T19" s="705" t="s">
        <v>14</v>
      </c>
      <c r="U19" s="706">
        <f>H19</f>
        <v>100</v>
      </c>
      <c r="V19" s="705" t="s">
        <v>14</v>
      </c>
      <c r="W19" s="706">
        <f>J19</f>
        <v>100</v>
      </c>
      <c r="X19" s="1355"/>
      <c r="Y19" s="37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71"/>
      <c r="Q20" s="1352"/>
      <c r="R20" s="705"/>
      <c r="S20" s="706"/>
      <c r="T20" s="705"/>
      <c r="U20" s="706"/>
      <c r="V20" s="705"/>
      <c r="W20" s="706"/>
      <c r="X20" s="1355"/>
      <c r="Y20" s="37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71"/>
      <c r="Q21" s="1352" t="str">
        <f t="shared" si="8"/>
        <v>环境状况</v>
      </c>
      <c r="R21" s="705" t="s">
        <v>14</v>
      </c>
      <c r="S21" s="706">
        <f>F21</f>
        <v>100</v>
      </c>
      <c r="T21" s="705" t="s">
        <v>14</v>
      </c>
      <c r="U21" s="706">
        <f>H21</f>
        <v>100</v>
      </c>
      <c r="V21" s="705" t="s">
        <v>14</v>
      </c>
      <c r="W21" s="706">
        <f>J21</f>
        <v>100</v>
      </c>
      <c r="X21" s="1355"/>
      <c r="Y21" s="37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71"/>
      <c r="Q22" s="1352"/>
      <c r="R22" s="705"/>
      <c r="S22" s="706"/>
      <c r="T22" s="705"/>
      <c r="U22" s="706"/>
      <c r="V22" s="705"/>
      <c r="W22" s="706"/>
      <c r="X22" s="1355"/>
      <c r="Y22" s="37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71"/>
      <c r="Q23" s="1343" t="str">
        <f t="shared" si="8"/>
        <v>公共配套设施</v>
      </c>
      <c r="R23" s="701" t="s">
        <v>14</v>
      </c>
      <c r="S23" s="702">
        <f>F23</f>
        <v>100</v>
      </c>
      <c r="T23" s="701" t="s">
        <v>14</v>
      </c>
      <c r="U23" s="702">
        <f>H23</f>
        <v>100</v>
      </c>
      <c r="V23" s="701" t="s">
        <v>14</v>
      </c>
      <c r="W23" s="702">
        <f>J23</f>
        <v>100</v>
      </c>
      <c r="X23" s="703"/>
      <c r="Y23" s="37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71"/>
      <c r="Q24" s="1343"/>
      <c r="R24" s="701"/>
      <c r="S24" s="702"/>
      <c r="T24" s="701"/>
      <c r="U24" s="702"/>
      <c r="V24" s="701"/>
      <c r="W24" s="702"/>
      <c r="X24" s="703"/>
      <c r="Y24" s="37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71"/>
      <c r="Q25" s="1343" t="str">
        <f t="shared" ref="Q25" si="9">B25</f>
        <v>基础设施水平</v>
      </c>
      <c r="R25" s="701" t="s">
        <v>14</v>
      </c>
      <c r="S25" s="702">
        <f>F25</f>
        <v>100</v>
      </c>
      <c r="T25" s="701" t="s">
        <v>14</v>
      </c>
      <c r="U25" s="702">
        <f>H25</f>
        <v>100</v>
      </c>
      <c r="V25" s="701" t="s">
        <v>14</v>
      </c>
      <c r="W25" s="702">
        <f>J25</f>
        <v>100</v>
      </c>
      <c r="X25" s="703"/>
      <c r="Y25" s="37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71"/>
      <c r="Q26" s="1343"/>
      <c r="R26" s="701"/>
      <c r="S26" s="702"/>
      <c r="T26" s="701"/>
      <c r="U26" s="702"/>
      <c r="V26" s="701"/>
      <c r="W26" s="702"/>
      <c r="X26" s="703"/>
      <c r="Y26" s="37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71"/>
      <c r="Q28" s="1352" t="str">
        <f t="shared" si="8"/>
        <v>毗邻道路的类型与等级</v>
      </c>
      <c r="R28" s="705" t="s">
        <v>14</v>
      </c>
      <c r="S28" s="706">
        <f t="shared" si="10"/>
        <v>100</v>
      </c>
      <c r="T28" s="705" t="s">
        <v>14</v>
      </c>
      <c r="U28" s="706">
        <f t="shared" si="11"/>
        <v>100</v>
      </c>
      <c r="V28" s="705" t="s">
        <v>14</v>
      </c>
      <c r="W28" s="706">
        <f t="shared" si="12"/>
        <v>100</v>
      </c>
      <c r="X28" s="1355"/>
      <c r="Y28" s="37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71"/>
      <c r="Q29" s="1352"/>
      <c r="R29" s="705"/>
      <c r="S29" s="706"/>
      <c r="T29" s="705"/>
      <c r="U29" s="706"/>
      <c r="V29" s="705"/>
      <c r="W29" s="706"/>
      <c r="X29" s="1355"/>
      <c r="Y29" s="37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71"/>
      <c r="Q30" s="1352" t="str">
        <f t="shared" si="8"/>
        <v>土地级别</v>
      </c>
      <c r="R30" s="705" t="s">
        <v>14</v>
      </c>
      <c r="S30" s="706">
        <f t="shared" si="10"/>
        <v>100</v>
      </c>
      <c r="T30" s="705" t="s">
        <v>14</v>
      </c>
      <c r="U30" s="706">
        <f t="shared" si="11"/>
        <v>100</v>
      </c>
      <c r="V30" s="705" t="s">
        <v>14</v>
      </c>
      <c r="W30" s="706">
        <f t="shared" si="12"/>
        <v>100</v>
      </c>
      <c r="X30" s="1355"/>
      <c r="Y30" s="37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71"/>
      <c r="Q31" s="1352">
        <f t="shared" si="8"/>
        <v>111</v>
      </c>
      <c r="R31" s="705" t="s">
        <v>14</v>
      </c>
      <c r="S31" s="706">
        <f t="shared" si="10"/>
        <v>100</v>
      </c>
      <c r="T31" s="705" t="s">
        <v>14</v>
      </c>
      <c r="U31" s="706">
        <f t="shared" si="11"/>
        <v>100</v>
      </c>
      <c r="V31" s="705" t="s">
        <v>14</v>
      </c>
      <c r="W31" s="706">
        <f t="shared" si="12"/>
        <v>100</v>
      </c>
      <c r="X31" s="1355"/>
      <c r="Y31" s="37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10" t="s">
        <v>1696</v>
      </c>
      <c r="Q32" s="1352">
        <f t="shared" si="8"/>
        <v>111</v>
      </c>
      <c r="R32" s="705" t="s">
        <v>14</v>
      </c>
      <c r="S32" s="706">
        <f t="shared" si="10"/>
        <v>100</v>
      </c>
      <c r="T32" s="705" t="s">
        <v>14</v>
      </c>
      <c r="U32" s="706">
        <f t="shared" si="11"/>
        <v>100</v>
      </c>
      <c r="V32" s="705" t="s">
        <v>14</v>
      </c>
      <c r="W32" s="706">
        <f t="shared" si="12"/>
        <v>100</v>
      </c>
      <c r="X32" s="1355"/>
      <c r="Y32" s="37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75"/>
      <c r="Q33" s="1352">
        <f t="shared" si="8"/>
        <v>111</v>
      </c>
      <c r="R33" s="708" t="s">
        <v>14</v>
      </c>
      <c r="S33" s="709">
        <f t="shared" si="10"/>
        <v>100</v>
      </c>
      <c r="T33" s="708" t="s">
        <v>14</v>
      </c>
      <c r="U33" s="709">
        <f t="shared" si="11"/>
        <v>100</v>
      </c>
      <c r="V33" s="708" t="s">
        <v>14</v>
      </c>
      <c r="W33" s="709">
        <f t="shared" si="12"/>
        <v>100</v>
      </c>
      <c r="X33" s="710"/>
      <c r="Y33" s="37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75"/>
      <c r="Q34" s="1352" t="str">
        <f>B34</f>
        <v>宗地面积</v>
      </c>
      <c r="R34" s="705" t="s">
        <v>14</v>
      </c>
      <c r="S34" s="706" t="e">
        <f t="shared" si="10"/>
        <v>#N/A</v>
      </c>
      <c r="T34" s="705" t="s">
        <v>14</v>
      </c>
      <c r="U34" s="706" t="e">
        <f t="shared" si="11"/>
        <v>#N/A</v>
      </c>
      <c r="V34" s="705" t="s">
        <v>14</v>
      </c>
      <c r="W34" s="706" t="e">
        <f t="shared" si="12"/>
        <v>#N/A</v>
      </c>
      <c r="X34" s="1355"/>
      <c r="Y34" s="37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75"/>
      <c r="Q35" s="1352" t="str">
        <f t="shared" ref="Q35:Q40" si="14">B35</f>
        <v>宗地形状</v>
      </c>
      <c r="R35" s="705" t="s">
        <v>14</v>
      </c>
      <c r="S35" s="706">
        <f t="shared" si="10"/>
        <v>100</v>
      </c>
      <c r="T35" s="705" t="s">
        <v>14</v>
      </c>
      <c r="U35" s="706">
        <f t="shared" si="11"/>
        <v>100</v>
      </c>
      <c r="V35" s="705" t="s">
        <v>14</v>
      </c>
      <c r="W35" s="706">
        <f t="shared" si="12"/>
        <v>100</v>
      </c>
      <c r="X35" s="1355"/>
      <c r="Y35" s="37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75"/>
      <c r="Q36" s="1352" t="str">
        <f t="shared" si="14"/>
        <v>宗地开发程度</v>
      </c>
      <c r="R36" s="701" t="s">
        <v>14</v>
      </c>
      <c r="S36" s="702">
        <f t="shared" si="10"/>
        <v>100</v>
      </c>
      <c r="T36" s="701" t="s">
        <v>14</v>
      </c>
      <c r="U36" s="702">
        <f t="shared" si="11"/>
        <v>100</v>
      </c>
      <c r="V36" s="701" t="s">
        <v>14</v>
      </c>
      <c r="W36" s="702">
        <f t="shared" si="12"/>
        <v>100</v>
      </c>
      <c r="X36" s="703"/>
      <c r="Y36" s="37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75" t="s">
        <v>1696</v>
      </c>
      <c r="Q37" s="1352" t="str">
        <f t="shared" si="14"/>
        <v>工程地质条件</v>
      </c>
      <c r="R37" s="705" t="s">
        <v>14</v>
      </c>
      <c r="S37" s="706">
        <f t="shared" si="10"/>
        <v>100</v>
      </c>
      <c r="T37" s="705" t="s">
        <v>14</v>
      </c>
      <c r="U37" s="706">
        <f t="shared" si="11"/>
        <v>100</v>
      </c>
      <c r="V37" s="705" t="s">
        <v>14</v>
      </c>
      <c r="W37" s="706">
        <f t="shared" si="12"/>
        <v>100</v>
      </c>
      <c r="X37" s="1355"/>
      <c r="Y37" s="37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75"/>
      <c r="Q38" s="1352">
        <f t="shared" si="14"/>
        <v>111</v>
      </c>
      <c r="R38" s="705" t="s">
        <v>14</v>
      </c>
      <c r="S38" s="706">
        <f t="shared" si="10"/>
        <v>100</v>
      </c>
      <c r="T38" s="705" t="s">
        <v>14</v>
      </c>
      <c r="U38" s="706">
        <f t="shared" si="11"/>
        <v>100</v>
      </c>
      <c r="V38" s="705" t="s">
        <v>14</v>
      </c>
      <c r="W38" s="706">
        <f t="shared" si="12"/>
        <v>100</v>
      </c>
      <c r="X38" s="1355"/>
      <c r="Y38" s="37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75"/>
      <c r="Q39" s="1352">
        <f t="shared" si="14"/>
        <v>111</v>
      </c>
      <c r="R39" s="705" t="s">
        <v>14</v>
      </c>
      <c r="S39" s="706">
        <f t="shared" si="10"/>
        <v>100</v>
      </c>
      <c r="T39" s="705" t="s">
        <v>14</v>
      </c>
      <c r="U39" s="706">
        <f t="shared" si="11"/>
        <v>100</v>
      </c>
      <c r="V39" s="705" t="s">
        <v>14</v>
      </c>
      <c r="W39" s="706">
        <f t="shared" si="12"/>
        <v>100</v>
      </c>
      <c r="X39" s="1355"/>
      <c r="Y39" s="37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75"/>
      <c r="Q40" s="1352">
        <f t="shared" si="14"/>
        <v>111</v>
      </c>
      <c r="R40" s="708" t="s">
        <v>14</v>
      </c>
      <c r="S40" s="709">
        <f t="shared" si="10"/>
        <v>100</v>
      </c>
      <c r="T40" s="708" t="s">
        <v>14</v>
      </c>
      <c r="U40" s="709">
        <f t="shared" si="11"/>
        <v>100</v>
      </c>
      <c r="V40" s="708" t="s">
        <v>14</v>
      </c>
      <c r="W40" s="709">
        <f t="shared" si="12"/>
        <v>100</v>
      </c>
      <c r="X40" s="710"/>
      <c r="Y40" s="37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68" t="str">
        <f>A41</f>
        <v>成交单价</v>
      </c>
      <c r="Q41" s="3768"/>
      <c r="R41" s="3762">
        <f>E41</f>
        <v>0</v>
      </c>
      <c r="S41" s="3762"/>
      <c r="T41" s="3762">
        <f>G41</f>
        <v>0</v>
      </c>
      <c r="U41" s="3762"/>
      <c r="V41" s="3762">
        <f>I41</f>
        <v>0</v>
      </c>
      <c r="W41" s="376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68" t="str">
        <f>A42</f>
        <v>比较价值（元/平方米）</v>
      </c>
      <c r="Q42" s="3768"/>
      <c r="R42" s="3812" t="e">
        <f>ROUND(PRODUCT(R41,AA7:AA40),0)</f>
        <v>#DIV/0!</v>
      </c>
      <c r="S42" s="3812"/>
      <c r="T42" s="3812" t="e">
        <f>ROUND(PRODUCT(T41,AB7:AB40),0)</f>
        <v>#DIV/0!</v>
      </c>
      <c r="U42" s="3812"/>
      <c r="V42" s="3812" t="e">
        <f>ROUND(PRODUCT(V41,AC7:AC40),0)</f>
        <v>#DIV/0!</v>
      </c>
      <c r="W42" s="381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65" t="str">
        <f>A43</f>
        <v>估价对象XX用房的比较价值（楼面单价，元/平方米）</v>
      </c>
      <c r="Q43" s="3766"/>
      <c r="R43" s="3813" t="e">
        <f>ROUND(IF(D42="简单平均",AVERAGE(R42:W42),R42*F42+T42*H42+V42*J42),0)</f>
        <v>#DIV/0!</v>
      </c>
      <c r="S43" s="3813"/>
      <c r="T43" s="3813"/>
      <c r="U43" s="3813"/>
      <c r="V43" s="3813"/>
      <c r="W43" s="381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50" t="s">
        <v>1887</v>
      </c>
      <c r="H50" s="381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62.1</v>
      </c>
      <c r="F51" s="639" t="e">
        <f t="shared" ref="F51:F60" si="15">ROUND(B51*E51/10000,0)</f>
        <v>#DIV/0!</v>
      </c>
      <c r="G51" s="3749"/>
      <c r="H51" s="376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2019-12-1</v>
      </c>
      <c r="D63" s="692">
        <f>EDATE(C63,-3)</f>
        <v>43709</v>
      </c>
      <c r="E63" s="692">
        <f>EDATE(D63,-3)</f>
        <v>43617</v>
      </c>
      <c r="F63" s="692">
        <f t="shared" ref="F63:O63" si="18">EDATE(E63,-3)</f>
        <v>43525</v>
      </c>
      <c r="G63" s="692">
        <f t="shared" si="18"/>
        <v>43435</v>
      </c>
      <c r="H63" s="692">
        <f t="shared" si="18"/>
        <v>43344</v>
      </c>
      <c r="I63" s="692">
        <f t="shared" si="18"/>
        <v>43252</v>
      </c>
      <c r="J63" s="692">
        <f t="shared" si="18"/>
        <v>43160</v>
      </c>
      <c r="K63" s="692">
        <f t="shared" si="18"/>
        <v>43070</v>
      </c>
      <c r="L63" s="692">
        <f t="shared" si="18"/>
        <v>42979</v>
      </c>
      <c r="M63" s="692">
        <f t="shared" si="18"/>
        <v>42887</v>
      </c>
      <c r="N63" s="692">
        <f t="shared" si="18"/>
        <v>42795</v>
      </c>
      <c r="O63" s="692">
        <f t="shared" si="18"/>
        <v>42705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2019-4</v>
      </c>
      <c r="D65" s="1182" t="str">
        <f t="shared" ref="D65:O65" si="19">YEAR(D63)&amp;"-"&amp;ROUNDUP(MONTH(D63)/3,0)</f>
        <v>2019-3</v>
      </c>
      <c r="E65" s="1182" t="str">
        <f t="shared" si="19"/>
        <v>2019-2</v>
      </c>
      <c r="F65" s="1182" t="str">
        <f t="shared" si="19"/>
        <v>2019-1</v>
      </c>
      <c r="G65" s="1182" t="str">
        <f t="shared" si="19"/>
        <v>2018-4</v>
      </c>
      <c r="H65" s="1182" t="str">
        <f t="shared" si="19"/>
        <v>2018-3</v>
      </c>
      <c r="I65" s="1182" t="str">
        <f t="shared" si="19"/>
        <v>2018-2</v>
      </c>
      <c r="J65" s="1182" t="str">
        <f t="shared" si="19"/>
        <v>2018-1</v>
      </c>
      <c r="K65" s="1182" t="str">
        <f t="shared" si="19"/>
        <v>2017-4</v>
      </c>
      <c r="L65" s="1182" t="str">
        <f t="shared" si="19"/>
        <v>2017-3</v>
      </c>
      <c r="M65" s="1182" t="str">
        <f t="shared" si="19"/>
        <v>2017-2</v>
      </c>
      <c r="N65" s="1182" t="str">
        <f t="shared" si="19"/>
        <v>2017-1</v>
      </c>
      <c r="O65" s="1182" t="str">
        <f t="shared" si="19"/>
        <v>2016-4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北京市平均增长率1.40%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2" t="s">
        <v>2084</v>
      </c>
      <c r="D1" s="3823"/>
      <c r="E1" s="3823"/>
      <c r="F1" s="3823"/>
      <c r="G1" s="3823"/>
      <c r="H1" s="3823"/>
      <c r="I1" s="3823"/>
      <c r="J1" s="3823"/>
      <c r="K1" s="3823"/>
      <c r="L1" s="3823"/>
      <c r="M1" s="3823"/>
      <c r="N1" s="3823"/>
      <c r="O1" s="3823"/>
      <c r="P1" s="3823"/>
      <c r="Q1" s="3823"/>
      <c r="R1" s="3823"/>
      <c r="S1" s="382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9" t="s">
        <v>27</v>
      </c>
      <c r="D22" s="3820"/>
      <c r="E22" s="3820"/>
      <c r="F22" s="3820"/>
      <c r="G22" s="3820"/>
      <c r="H22" s="3820"/>
      <c r="I22" s="3820"/>
      <c r="J22" s="3820"/>
      <c r="K22" s="3820"/>
      <c r="L22" s="3820"/>
      <c r="M22" s="3820"/>
      <c r="N22" s="3820"/>
      <c r="O22" s="3820"/>
      <c r="P22" s="3820"/>
      <c r="Q22" s="382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估价结果一览表（市场价值不需“结果表-1”）</v>
      </c>
      <c r="B3" s="3507"/>
      <c r="C3" s="3507"/>
      <c r="D3" s="3507"/>
      <c r="E3" s="3507"/>
    </row>
    <row r="4" spans="1:5" ht="19.5" thickBot="1">
      <c r="A4" s="1493"/>
      <c r="B4" s="3505" t="s">
        <v>917</v>
      </c>
      <c r="C4" s="3505"/>
      <c r="D4" s="3505"/>
      <c r="E4" s="1493"/>
    </row>
    <row r="5" spans="1:5" ht="16.5" thickTop="1">
      <c r="A5" s="1491"/>
      <c r="B5" s="3503" t="s">
        <v>909</v>
      </c>
      <c r="C5" s="1494" t="s">
        <v>910</v>
      </c>
      <c r="D5" s="850" t="e">
        <f ca="1">结果表!H101</f>
        <v>#REF!</v>
      </c>
      <c r="E5" s="1491"/>
    </row>
    <row r="6" spans="1:5" ht="15.75">
      <c r="A6" s="1491"/>
      <c r="B6" s="3503"/>
      <c r="C6" s="1494" t="s">
        <v>911</v>
      </c>
      <c r="D6" s="850" t="e">
        <f ca="1">NUMBERSTRING(INT(D5*10000),2)&amp;"元整"</f>
        <v>#REF!</v>
      </c>
      <c r="E6" s="1491"/>
    </row>
    <row r="7" spans="1:5" ht="15.75">
      <c r="A7" s="1491"/>
      <c r="B7" s="3508"/>
      <c r="C7" s="1495" t="s">
        <v>912</v>
      </c>
      <c r="D7" s="851" t="e">
        <f ca="1">结果表!H102</f>
        <v>#REF!</v>
      </c>
      <c r="E7" s="1491"/>
    </row>
    <row r="8" spans="1:5" ht="15.75">
      <c r="A8" s="1491"/>
      <c r="B8" s="3509" t="str">
        <f>结果表!E103</f>
        <v>2.估价师知悉的法定优先受偿款</v>
      </c>
      <c r="C8" s="1496" t="s">
        <v>913</v>
      </c>
      <c r="D8" s="851">
        <f>结果表!H103</f>
        <v>0</v>
      </c>
      <c r="E8" s="1491"/>
    </row>
    <row r="9" spans="1:5" ht="15.75">
      <c r="A9" s="1491"/>
      <c r="B9" s="351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2" t="str">
        <f>结果表!E107</f>
        <v>3.房地产抵押价值</v>
      </c>
      <c r="C13" s="1499" t="s">
        <v>910</v>
      </c>
      <c r="D13" s="853" t="e">
        <f ca="1">结果表!H107</f>
        <v>#REF!</v>
      </c>
      <c r="E13" s="1491"/>
    </row>
    <row r="14" spans="1:5" ht="15.75">
      <c r="A14" s="1491"/>
      <c r="B14" s="3503"/>
      <c r="C14" s="1494" t="s">
        <v>911</v>
      </c>
      <c r="D14" s="850" t="e">
        <f ca="1">NUMBERSTRING(INT(D13*10000),2)&amp;"元整"</f>
        <v>#REF!</v>
      </c>
      <c r="E14" s="1491"/>
    </row>
    <row r="15" spans="1:5" ht="15">
      <c r="A15" s="1491"/>
      <c r="B15" s="3508"/>
      <c r="C15" s="1495" t="s">
        <v>921</v>
      </c>
      <c r="D15" s="859" t="e">
        <f ca="1">结果表!H108</f>
        <v>#REF!</v>
      </c>
      <c r="E15" s="1491"/>
    </row>
    <row r="16" spans="1:5" ht="15">
      <c r="A16" s="1491"/>
      <c r="B16" s="3509" t="str">
        <f>结果表!E109</f>
        <v>——</v>
      </c>
      <c r="C16" s="1499" t="s">
        <v>922</v>
      </c>
      <c r="D16" s="1500" t="str">
        <f>结果表!H109</f>
        <v>——</v>
      </c>
      <c r="E16" s="1491"/>
    </row>
    <row r="17" spans="1:5" ht="15.75">
      <c r="A17" s="1491"/>
      <c r="B17" s="3510"/>
      <c r="C17" s="1494" t="s">
        <v>923</v>
      </c>
      <c r="D17" s="850" t="e">
        <f>NUMBERSTRING(INT(D16*10000),2)&amp;"元整"</f>
        <v>#VALUE!</v>
      </c>
      <c r="E17" s="1491"/>
    </row>
    <row r="18" spans="1:5" ht="15">
      <c r="A18" s="1491"/>
      <c r="B18" s="3511"/>
      <c r="C18" s="1495" t="s">
        <v>912</v>
      </c>
      <c r="D18" s="859" t="str">
        <f>结果表!H110</f>
        <v>——</v>
      </c>
      <c r="E18" s="1491"/>
    </row>
    <row r="19" spans="1:5" ht="15.75">
      <c r="A19" s="1491"/>
      <c r="B19" s="3502" t="str">
        <f>结果表!E111</f>
        <v>——</v>
      </c>
      <c r="C19" s="1499" t="s">
        <v>910</v>
      </c>
      <c r="D19" s="851" t="str">
        <f>结果表!H111</f>
        <v>——</v>
      </c>
      <c r="E19" s="1491"/>
    </row>
    <row r="20" spans="1:5" ht="15.75">
      <c r="A20" s="1491"/>
      <c r="B20" s="3503"/>
      <c r="C20" s="1494" t="s">
        <v>923</v>
      </c>
      <c r="D20" s="850" t="e">
        <f>NUMBERSTRING(INT(D19*10000),2)&amp;"元整"</f>
        <v>#VALUE!</v>
      </c>
      <c r="E20" s="1491"/>
    </row>
    <row r="21" spans="1:5" ht="15.75" thickBot="1">
      <c r="A21" s="1491"/>
      <c r="B21" s="350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32" t="s">
        <v>2608</v>
      </c>
      <c r="B20" s="3825" t="s">
        <v>2629</v>
      </c>
      <c r="C20" s="3102" t="s">
        <v>2440</v>
      </c>
      <c r="D20" s="3103"/>
      <c r="E20" s="3104">
        <v>1</v>
      </c>
      <c r="F20" s="3105" t="s">
        <v>2441</v>
      </c>
      <c r="G20" s="3105"/>
    </row>
    <row r="21" spans="1:13" ht="19.5" customHeight="1">
      <c r="A21" s="3833"/>
      <c r="B21" s="3826"/>
      <c r="C21" s="3106" t="s">
        <v>2442</v>
      </c>
      <c r="D21" s="3107"/>
      <c r="E21" s="3108">
        <v>1</v>
      </c>
      <c r="F21" s="3105" t="s">
        <v>2443</v>
      </c>
      <c r="G21" s="3105"/>
    </row>
    <row r="22" spans="1:13" ht="19.5" customHeight="1">
      <c r="A22" s="3833"/>
      <c r="B22" s="3826"/>
      <c r="C22" s="3106" t="s">
        <v>2444</v>
      </c>
      <c r="D22" s="3107"/>
      <c r="E22" s="3108">
        <v>0.9</v>
      </c>
      <c r="F22" s="3105" t="s">
        <v>2445</v>
      </c>
      <c r="G22" s="3105"/>
    </row>
    <row r="23" spans="1:13" ht="19.5" customHeight="1">
      <c r="A23" s="3833"/>
      <c r="B23" s="3826"/>
      <c r="C23" s="3106" t="s">
        <v>2446</v>
      </c>
      <c r="D23" s="3107"/>
      <c r="E23" s="3108">
        <v>0.9</v>
      </c>
      <c r="F23" s="3105" t="s">
        <v>2447</v>
      </c>
      <c r="G23" s="3105"/>
    </row>
    <row r="24" spans="1:13" ht="19.5" customHeight="1">
      <c r="A24" s="3833"/>
      <c r="B24" s="3826"/>
      <c r="C24" s="3106" t="s">
        <v>2448</v>
      </c>
      <c r="D24" s="3107"/>
      <c r="E24" s="3108">
        <v>0.8</v>
      </c>
      <c r="F24" s="3105" t="s">
        <v>2449</v>
      </c>
      <c r="G24" s="3105"/>
    </row>
    <row r="25" spans="1:13" ht="19.5" customHeight="1" thickBot="1">
      <c r="A25" s="3834"/>
      <c r="B25" s="3827"/>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28" t="s">
        <v>2632</v>
      </c>
      <c r="B27" s="3825" t="s">
        <v>2613</v>
      </c>
      <c r="C27" s="3102" t="s">
        <v>2453</v>
      </c>
      <c r="D27" s="3103"/>
      <c r="E27" s="3104">
        <v>1</v>
      </c>
      <c r="F27" s="3105" t="s">
        <v>2454</v>
      </c>
      <c r="G27" s="3105"/>
    </row>
    <row r="28" spans="1:13" ht="19.5" customHeight="1">
      <c r="A28" s="3829"/>
      <c r="B28" s="3826"/>
      <c r="C28" s="3106" t="s">
        <v>2455</v>
      </c>
      <c r="D28" s="3107"/>
      <c r="E28" s="3108">
        <v>1</v>
      </c>
      <c r="F28" s="3105" t="s">
        <v>2456</v>
      </c>
      <c r="G28" s="3105"/>
    </row>
    <row r="29" spans="1:13" ht="19.5" customHeight="1">
      <c r="A29" s="3829"/>
      <c r="B29" s="3826"/>
      <c r="C29" s="3106" t="s">
        <v>2457</v>
      </c>
      <c r="D29" s="3107"/>
      <c r="E29" s="3108">
        <v>0.8</v>
      </c>
      <c r="F29" s="3105" t="s">
        <v>2458</v>
      </c>
      <c r="G29" s="3105"/>
    </row>
    <row r="30" spans="1:13" ht="19.5" customHeight="1">
      <c r="A30" s="3829"/>
      <c r="B30" s="3826"/>
      <c r="C30" s="3106" t="s">
        <v>2459</v>
      </c>
      <c r="D30" s="3107"/>
      <c r="E30" s="3108">
        <v>0.8</v>
      </c>
      <c r="F30" s="3105" t="s">
        <v>2460</v>
      </c>
      <c r="G30" s="3105"/>
    </row>
    <row r="31" spans="1:13" ht="19.5" customHeight="1">
      <c r="A31" s="3829"/>
      <c r="B31" s="3826"/>
      <c r="C31" s="3106" t="s">
        <v>2461</v>
      </c>
      <c r="D31" s="3107"/>
      <c r="E31" s="3108">
        <v>0.8</v>
      </c>
      <c r="F31" s="3105" t="s">
        <v>2462</v>
      </c>
      <c r="G31" s="3105"/>
    </row>
    <row r="32" spans="1:13" ht="19.5" customHeight="1">
      <c r="A32" s="3829"/>
      <c r="B32" s="3826"/>
      <c r="C32" s="3106" t="s">
        <v>2463</v>
      </c>
      <c r="D32" s="3107"/>
      <c r="E32" s="3108">
        <v>0.7</v>
      </c>
      <c r="F32" s="3105" t="s">
        <v>2464</v>
      </c>
      <c r="G32" s="3105"/>
    </row>
    <row r="33" spans="1:7" ht="19.5" customHeight="1">
      <c r="A33" s="3829"/>
      <c r="B33" s="3826"/>
      <c r="C33" s="3106" t="s">
        <v>2465</v>
      </c>
      <c r="D33" s="3107"/>
      <c r="E33" s="3108">
        <v>0.8</v>
      </c>
      <c r="F33" s="3105" t="s">
        <v>2466</v>
      </c>
      <c r="G33" s="3105"/>
    </row>
    <row r="34" spans="1:7" ht="19.5" customHeight="1">
      <c r="A34" s="3829"/>
      <c r="B34" s="3826"/>
      <c r="C34" s="3106" t="s">
        <v>2467</v>
      </c>
      <c r="D34" s="3107"/>
      <c r="E34" s="3108">
        <v>0.6</v>
      </c>
      <c r="F34" s="3105" t="s">
        <v>2468</v>
      </c>
      <c r="G34" s="3105"/>
    </row>
    <row r="35" spans="1:7" ht="19.5" customHeight="1">
      <c r="A35" s="3829"/>
      <c r="B35" s="3826"/>
      <c r="C35" s="3106" t="s">
        <v>2469</v>
      </c>
      <c r="D35" s="3107"/>
      <c r="E35" s="3108">
        <v>0.2</v>
      </c>
      <c r="F35" s="3105" t="s">
        <v>2470</v>
      </c>
      <c r="G35" s="3105"/>
    </row>
    <row r="36" spans="1:7" ht="19.5" customHeight="1">
      <c r="A36" s="3829"/>
      <c r="B36" s="3826"/>
      <c r="C36" s="3106" t="s">
        <v>2471</v>
      </c>
      <c r="D36" s="3107"/>
      <c r="E36" s="3108">
        <v>0.2</v>
      </c>
      <c r="F36" s="3105" t="s">
        <v>2472</v>
      </c>
      <c r="G36" s="3105"/>
    </row>
    <row r="37" spans="1:7" ht="19.5" customHeight="1">
      <c r="A37" s="3829"/>
      <c r="B37" s="3831" t="s">
        <v>2633</v>
      </c>
      <c r="C37" s="3106" t="s">
        <v>2473</v>
      </c>
      <c r="D37" s="3107"/>
      <c r="E37" s="3108">
        <v>0.6</v>
      </c>
      <c r="F37" s="3105" t="s">
        <v>2474</v>
      </c>
      <c r="G37" s="3105"/>
    </row>
    <row r="38" spans="1:7" ht="19.5" customHeight="1">
      <c r="A38" s="3829"/>
      <c r="B38" s="3826"/>
      <c r="C38" s="3106" t="s">
        <v>2475</v>
      </c>
      <c r="D38" s="3107"/>
      <c r="E38" s="3108">
        <v>0.6</v>
      </c>
      <c r="F38" s="3105" t="s">
        <v>2476</v>
      </c>
      <c r="G38" s="3105"/>
    </row>
    <row r="39" spans="1:7" ht="19.5" customHeight="1" thickBot="1">
      <c r="A39" s="3830"/>
      <c r="B39" s="3827"/>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32" t="s">
        <v>2611</v>
      </c>
      <c r="B41" s="3825" t="s">
        <v>2635</v>
      </c>
      <c r="C41" s="3102" t="s">
        <v>2480</v>
      </c>
      <c r="D41" s="3103"/>
      <c r="E41" s="3104">
        <v>1</v>
      </c>
      <c r="F41" s="3105" t="s">
        <v>2481</v>
      </c>
      <c r="G41" s="3105"/>
    </row>
    <row r="42" spans="1:7" ht="19.5" customHeight="1">
      <c r="A42" s="3833"/>
      <c r="B42" s="3826"/>
      <c r="C42" s="3106" t="s">
        <v>2482</v>
      </c>
      <c r="D42" s="3107"/>
      <c r="E42" s="3108">
        <v>1</v>
      </c>
      <c r="F42" s="3105" t="s">
        <v>2483</v>
      </c>
      <c r="G42" s="3105"/>
    </row>
    <row r="43" spans="1:7" ht="19.5" customHeight="1">
      <c r="A43" s="3833"/>
      <c r="B43" s="3835"/>
      <c r="C43" s="3106" t="s">
        <v>2484</v>
      </c>
      <c r="D43" s="3107"/>
      <c r="E43" s="3108">
        <v>1.5</v>
      </c>
      <c r="F43" s="3105" t="s">
        <v>2485</v>
      </c>
      <c r="G43" s="3105"/>
    </row>
    <row r="44" spans="1:7" ht="19.5" customHeight="1">
      <c r="A44" s="3833"/>
      <c r="B44" s="3117" t="s">
        <v>2636</v>
      </c>
      <c r="C44" s="3106" t="s">
        <v>2637</v>
      </c>
      <c r="D44" s="3107"/>
      <c r="E44" s="3108">
        <v>2</v>
      </c>
      <c r="F44" s="3105" t="s">
        <v>2486</v>
      </c>
      <c r="G44" s="3105"/>
    </row>
    <row r="45" spans="1:7" ht="19.5" customHeight="1">
      <c r="A45" s="3833"/>
      <c r="B45" s="3831" t="s">
        <v>2638</v>
      </c>
      <c r="C45" s="3106" t="s">
        <v>2487</v>
      </c>
      <c r="D45" s="3107"/>
      <c r="E45" s="3108">
        <v>1</v>
      </c>
      <c r="F45" s="3105" t="s">
        <v>2488</v>
      </c>
      <c r="G45" s="3105"/>
    </row>
    <row r="46" spans="1:7" ht="19.5" customHeight="1">
      <c r="A46" s="3833"/>
      <c r="B46" s="3826"/>
      <c r="C46" s="3106" t="s">
        <v>2489</v>
      </c>
      <c r="D46" s="3107"/>
      <c r="E46" s="3108">
        <v>1</v>
      </c>
      <c r="F46" s="3105" t="s">
        <v>2490</v>
      </c>
      <c r="G46" s="3105"/>
    </row>
    <row r="47" spans="1:7" ht="19.5" customHeight="1">
      <c r="A47" s="3833"/>
      <c r="B47" s="3826"/>
      <c r="C47" s="3106" t="s">
        <v>2491</v>
      </c>
      <c r="D47" s="3107"/>
      <c r="E47" s="3108">
        <v>1</v>
      </c>
      <c r="F47" s="3105" t="s">
        <v>2492</v>
      </c>
      <c r="G47" s="3105"/>
    </row>
    <row r="48" spans="1:7" ht="19.5" customHeight="1">
      <c r="A48" s="3833"/>
      <c r="B48" s="3826"/>
      <c r="C48" s="3106" t="s">
        <v>2493</v>
      </c>
      <c r="D48" s="3107"/>
      <c r="E48" s="3108">
        <v>1</v>
      </c>
      <c r="F48" s="3105" t="s">
        <v>2494</v>
      </c>
      <c r="G48" s="3105"/>
    </row>
    <row r="49" spans="1:7" ht="19.5" customHeight="1">
      <c r="A49" s="3833"/>
      <c r="B49" s="3826"/>
      <c r="C49" s="3106" t="s">
        <v>2495</v>
      </c>
      <c r="D49" s="3107"/>
      <c r="E49" s="3108">
        <v>1</v>
      </c>
      <c r="F49" s="3105" t="s">
        <v>2496</v>
      </c>
      <c r="G49" s="3105"/>
    </row>
    <row r="50" spans="1:7" ht="19.5" customHeight="1">
      <c r="A50" s="3833"/>
      <c r="B50" s="3826"/>
      <c r="C50" s="3106" t="s">
        <v>2497</v>
      </c>
      <c r="D50" s="3107"/>
      <c r="E50" s="3108">
        <v>1</v>
      </c>
      <c r="F50" s="3105" t="s">
        <v>2498</v>
      </c>
      <c r="G50" s="3105"/>
    </row>
    <row r="51" spans="1:7" ht="19.5" customHeight="1" thickBot="1">
      <c r="A51" s="3834"/>
      <c r="B51" s="3827"/>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31" t="s">
        <v>2652</v>
      </c>
      <c r="C73" s="3091" t="s">
        <v>2653</v>
      </c>
      <c r="D73" s="3091" t="s">
        <v>2654</v>
      </c>
      <c r="E73" s="3117">
        <v>0.2</v>
      </c>
      <c r="F73" s="3117">
        <v>25</v>
      </c>
    </row>
    <row r="74" spans="1:7" ht="24">
      <c r="A74" s="3117">
        <v>2</v>
      </c>
      <c r="B74" s="3826"/>
      <c r="C74" s="3091" t="s">
        <v>2655</v>
      </c>
      <c r="D74" s="3091" t="s">
        <v>2656</v>
      </c>
      <c r="E74" s="3117">
        <v>0.2</v>
      </c>
      <c r="F74" s="3117">
        <v>25</v>
      </c>
    </row>
    <row r="75" spans="1:7" ht="24">
      <c r="A75" s="3117">
        <v>3</v>
      </c>
      <c r="B75" s="3826"/>
      <c r="C75" s="3091" t="s">
        <v>2657</v>
      </c>
      <c r="D75" s="3091" t="s">
        <v>2658</v>
      </c>
      <c r="E75" s="3117">
        <v>0.2</v>
      </c>
      <c r="F75" s="3117">
        <v>25</v>
      </c>
    </row>
    <row r="76" spans="1:7" ht="13.5">
      <c r="A76" s="3117">
        <v>4</v>
      </c>
      <c r="B76" s="3826"/>
      <c r="C76" s="3091" t="s">
        <v>2659</v>
      </c>
      <c r="D76" s="3091" t="s">
        <v>2660</v>
      </c>
      <c r="E76" s="3117">
        <v>0.15</v>
      </c>
      <c r="F76" s="3117">
        <v>20</v>
      </c>
    </row>
    <row r="77" spans="1:7" ht="24">
      <c r="A77" s="3117">
        <v>5</v>
      </c>
      <c r="B77" s="3826"/>
      <c r="C77" s="3091" t="s">
        <v>2661</v>
      </c>
      <c r="D77" s="3091" t="s">
        <v>2662</v>
      </c>
      <c r="E77" s="3117">
        <v>0.15</v>
      </c>
      <c r="F77" s="3117">
        <v>20</v>
      </c>
    </row>
    <row r="78" spans="1:7" ht="24">
      <c r="A78" s="3117">
        <v>6</v>
      </c>
      <c r="B78" s="3826"/>
      <c r="C78" s="3091" t="s">
        <v>2663</v>
      </c>
      <c r="D78" s="3091" t="s">
        <v>2664</v>
      </c>
      <c r="E78" s="3117">
        <v>0.15</v>
      </c>
      <c r="F78" s="3117">
        <v>20</v>
      </c>
    </row>
    <row r="79" spans="1:7" ht="24">
      <c r="A79" s="3117">
        <v>7</v>
      </c>
      <c r="B79" s="3826"/>
      <c r="C79" s="3091" t="s">
        <v>2665</v>
      </c>
      <c r="D79" s="3091" t="s">
        <v>2666</v>
      </c>
      <c r="E79" s="3117">
        <v>0.15</v>
      </c>
      <c r="F79" s="3117">
        <v>20</v>
      </c>
    </row>
    <row r="80" spans="1:7" ht="24">
      <c r="A80" s="3117">
        <v>8</v>
      </c>
      <c r="B80" s="3826"/>
      <c r="C80" s="3091" t="s">
        <v>2667</v>
      </c>
      <c r="D80" s="3091" t="s">
        <v>2668</v>
      </c>
      <c r="E80" s="3117">
        <v>0.1</v>
      </c>
      <c r="F80" s="3117">
        <v>15</v>
      </c>
    </row>
    <row r="81" spans="1:6" ht="24">
      <c r="A81" s="3117">
        <v>9</v>
      </c>
      <c r="B81" s="3826"/>
      <c r="C81" s="3091" t="s">
        <v>2669</v>
      </c>
      <c r="D81" s="3091" t="s">
        <v>2670</v>
      </c>
      <c r="E81" s="3117">
        <v>0.1</v>
      </c>
      <c r="F81" s="3117">
        <v>15</v>
      </c>
    </row>
    <row r="82" spans="1:6" ht="24">
      <c r="A82" s="3117">
        <v>10</v>
      </c>
      <c r="B82" s="3826"/>
      <c r="C82" s="3091" t="s">
        <v>2671</v>
      </c>
      <c r="D82" s="3091" t="s">
        <v>2672</v>
      </c>
      <c r="E82" s="3117">
        <v>0.1</v>
      </c>
      <c r="F82" s="3117">
        <v>15</v>
      </c>
    </row>
    <row r="83" spans="1:6" ht="24">
      <c r="A83" s="3117">
        <v>11</v>
      </c>
      <c r="B83" s="3826"/>
      <c r="C83" s="3091" t="s">
        <v>2673</v>
      </c>
      <c r="D83" s="3091" t="s">
        <v>2674</v>
      </c>
      <c r="E83" s="3117">
        <v>0.1</v>
      </c>
      <c r="F83" s="3117">
        <v>15</v>
      </c>
    </row>
    <row r="84" spans="1:6" ht="24">
      <c r="A84" s="3117">
        <v>12</v>
      </c>
      <c r="B84" s="3826"/>
      <c r="C84" s="3091" t="s">
        <v>2675</v>
      </c>
      <c r="D84" s="3091" t="s">
        <v>2676</v>
      </c>
      <c r="E84" s="3117">
        <v>0.1</v>
      </c>
      <c r="F84" s="3117">
        <v>15</v>
      </c>
    </row>
    <row r="85" spans="1:6" ht="13.5">
      <c r="A85" s="3117">
        <v>13</v>
      </c>
      <c r="B85" s="3826"/>
      <c r="C85" s="3091" t="s">
        <v>2677</v>
      </c>
      <c r="D85" s="3091" t="s">
        <v>2678</v>
      </c>
      <c r="E85" s="3117">
        <v>0.1</v>
      </c>
      <c r="F85" s="3117">
        <v>15</v>
      </c>
    </row>
    <row r="86" spans="1:6" ht="13.5">
      <c r="A86" s="3117">
        <v>14</v>
      </c>
      <c r="B86" s="3826"/>
      <c r="C86" s="3091" t="s">
        <v>2679</v>
      </c>
      <c r="D86" s="3091" t="s">
        <v>2680</v>
      </c>
      <c r="E86" s="3117">
        <v>0.1</v>
      </c>
      <c r="F86" s="3117">
        <v>15</v>
      </c>
    </row>
    <row r="87" spans="1:6" ht="13.5">
      <c r="A87" s="3117">
        <v>15</v>
      </c>
      <c r="B87" s="3826"/>
      <c r="C87" s="3091" t="s">
        <v>2681</v>
      </c>
      <c r="D87" s="3091" t="s">
        <v>2682</v>
      </c>
      <c r="E87" s="3117">
        <v>0.1</v>
      </c>
      <c r="F87" s="3117">
        <v>15</v>
      </c>
    </row>
    <row r="88" spans="1:6" ht="24">
      <c r="A88" s="3117">
        <v>16</v>
      </c>
      <c r="B88" s="3826"/>
      <c r="C88" s="3091" t="s">
        <v>2683</v>
      </c>
      <c r="D88" s="3091" t="s">
        <v>2684</v>
      </c>
      <c r="E88" s="3117">
        <v>0.1</v>
      </c>
      <c r="F88" s="3117">
        <v>15</v>
      </c>
    </row>
    <row r="89" spans="1:6" ht="24">
      <c r="A89" s="3117">
        <v>17</v>
      </c>
      <c r="B89" s="3835"/>
      <c r="C89" s="3091" t="s">
        <v>2685</v>
      </c>
      <c r="D89" s="3091" t="s">
        <v>2686</v>
      </c>
      <c r="E89" s="3117">
        <v>0.1</v>
      </c>
      <c r="F89" s="3117">
        <v>15</v>
      </c>
    </row>
    <row r="90" spans="1:6" ht="13.5">
      <c r="A90" s="3117">
        <v>18</v>
      </c>
      <c r="B90" s="3831" t="s">
        <v>2687</v>
      </c>
      <c r="C90" s="3091" t="s">
        <v>2688</v>
      </c>
      <c r="D90" s="3091" t="s">
        <v>2689</v>
      </c>
      <c r="E90" s="3117">
        <v>0.2</v>
      </c>
      <c r="F90" s="3117">
        <v>25</v>
      </c>
    </row>
    <row r="91" spans="1:6" ht="24">
      <c r="A91" s="3117">
        <v>19</v>
      </c>
      <c r="B91" s="3826"/>
      <c r="C91" s="3091" t="s">
        <v>2690</v>
      </c>
      <c r="D91" s="3091" t="s">
        <v>2691</v>
      </c>
      <c r="E91" s="3117">
        <v>0.2</v>
      </c>
      <c r="F91" s="3117">
        <v>25</v>
      </c>
    </row>
    <row r="92" spans="1:6" ht="13.5">
      <c r="A92" s="3117">
        <v>20</v>
      </c>
      <c r="B92" s="3826"/>
      <c r="C92" s="3091" t="s">
        <v>2692</v>
      </c>
      <c r="D92" s="3091" t="s">
        <v>2693</v>
      </c>
      <c r="E92" s="3117">
        <v>0.15</v>
      </c>
      <c r="F92" s="3117">
        <v>20</v>
      </c>
    </row>
    <row r="93" spans="1:6" ht="13.5">
      <c r="A93" s="3117">
        <v>21</v>
      </c>
      <c r="B93" s="3826"/>
      <c r="C93" s="3091" t="s">
        <v>2694</v>
      </c>
      <c r="D93" s="3091" t="s">
        <v>2695</v>
      </c>
      <c r="E93" s="3117">
        <v>0.15</v>
      </c>
      <c r="F93" s="3117">
        <v>20</v>
      </c>
    </row>
    <row r="94" spans="1:6" ht="13.5">
      <c r="A94" s="3117">
        <v>22</v>
      </c>
      <c r="B94" s="3826"/>
      <c r="C94" s="3091" t="s">
        <v>2696</v>
      </c>
      <c r="D94" s="3091" t="s">
        <v>2697</v>
      </c>
      <c r="E94" s="3117">
        <v>0.15</v>
      </c>
      <c r="F94" s="3117">
        <v>20</v>
      </c>
    </row>
    <row r="95" spans="1:6" ht="36">
      <c r="A95" s="3117">
        <v>23</v>
      </c>
      <c r="B95" s="3826"/>
      <c r="C95" s="3091" t="s">
        <v>2698</v>
      </c>
      <c r="D95" s="3091" t="s">
        <v>2699</v>
      </c>
      <c r="E95" s="3117">
        <v>0.15</v>
      </c>
      <c r="F95" s="3117">
        <v>20</v>
      </c>
    </row>
    <row r="96" spans="1:6" ht="13.5">
      <c r="A96" s="3117">
        <v>24</v>
      </c>
      <c r="B96" s="3826"/>
      <c r="C96" s="3091" t="s">
        <v>2700</v>
      </c>
      <c r="D96" s="3091" t="s">
        <v>2701</v>
      </c>
      <c r="E96" s="3117">
        <v>0.1</v>
      </c>
      <c r="F96" s="3117">
        <v>15</v>
      </c>
    </row>
    <row r="97" spans="1:6" ht="13.5">
      <c r="A97" s="3117">
        <v>25</v>
      </c>
      <c r="B97" s="3826"/>
      <c r="C97" s="3091" t="s">
        <v>2702</v>
      </c>
      <c r="D97" s="3091" t="s">
        <v>2703</v>
      </c>
      <c r="E97" s="3117">
        <v>0.1</v>
      </c>
      <c r="F97" s="3117">
        <v>15</v>
      </c>
    </row>
    <row r="98" spans="1:6" ht="24">
      <c r="A98" s="3117">
        <v>26</v>
      </c>
      <c r="B98" s="3826"/>
      <c r="C98" s="3091" t="s">
        <v>2704</v>
      </c>
      <c r="D98" s="3091" t="s">
        <v>2705</v>
      </c>
      <c r="E98" s="3117">
        <v>0.1</v>
      </c>
      <c r="F98" s="3117">
        <v>15</v>
      </c>
    </row>
    <row r="99" spans="1:6" ht="24">
      <c r="A99" s="3117">
        <v>27</v>
      </c>
      <c r="B99" s="3826"/>
      <c r="C99" s="3091" t="s">
        <v>2706</v>
      </c>
      <c r="D99" s="3091" t="s">
        <v>2707</v>
      </c>
      <c r="E99" s="3117">
        <v>0.1</v>
      </c>
      <c r="F99" s="3117">
        <v>15</v>
      </c>
    </row>
    <row r="100" spans="1:6" ht="13.5">
      <c r="A100" s="3117">
        <v>28</v>
      </c>
      <c r="B100" s="3826"/>
      <c r="C100" s="3091" t="s">
        <v>2708</v>
      </c>
      <c r="D100" s="3091" t="s">
        <v>2709</v>
      </c>
      <c r="E100" s="3117">
        <v>0.1</v>
      </c>
      <c r="F100" s="3117">
        <v>15</v>
      </c>
    </row>
    <row r="101" spans="1:6" ht="13.5">
      <c r="A101" s="3117">
        <v>29</v>
      </c>
      <c r="B101" s="3826"/>
      <c r="C101" s="3091" t="s">
        <v>2710</v>
      </c>
      <c r="D101" s="3091" t="s">
        <v>2711</v>
      </c>
      <c r="E101" s="3117">
        <v>0.1</v>
      </c>
      <c r="F101" s="3117">
        <v>15</v>
      </c>
    </row>
    <row r="102" spans="1:6" ht="13.5">
      <c r="A102" s="3117">
        <v>30</v>
      </c>
      <c r="B102" s="3826"/>
      <c r="C102" s="3091" t="s">
        <v>2712</v>
      </c>
      <c r="D102" s="3091" t="s">
        <v>2713</v>
      </c>
      <c r="E102" s="3117">
        <v>0.1</v>
      </c>
      <c r="F102" s="3117">
        <v>15</v>
      </c>
    </row>
    <row r="103" spans="1:6" ht="24">
      <c r="A103" s="3117">
        <v>31</v>
      </c>
      <c r="B103" s="3826"/>
      <c r="C103" s="3091" t="s">
        <v>2714</v>
      </c>
      <c r="D103" s="3091" t="s">
        <v>2715</v>
      </c>
      <c r="E103" s="3117">
        <v>0.1</v>
      </c>
      <c r="F103" s="3117">
        <v>15</v>
      </c>
    </row>
    <row r="104" spans="1:6" ht="24">
      <c r="A104" s="3117">
        <v>32</v>
      </c>
      <c r="B104" s="3826"/>
      <c r="C104" s="3091" t="s">
        <v>2716</v>
      </c>
      <c r="D104" s="3091" t="s">
        <v>2717</v>
      </c>
      <c r="E104" s="3117">
        <v>0.1</v>
      </c>
      <c r="F104" s="3117">
        <v>15</v>
      </c>
    </row>
    <row r="105" spans="1:6" ht="24">
      <c r="A105" s="3117">
        <v>33</v>
      </c>
      <c r="B105" s="3826"/>
      <c r="C105" s="3091" t="s">
        <v>2718</v>
      </c>
      <c r="D105" s="3091" t="s">
        <v>2719</v>
      </c>
      <c r="E105" s="3117">
        <v>0.1</v>
      </c>
      <c r="F105" s="3117">
        <v>15</v>
      </c>
    </row>
    <row r="106" spans="1:6" ht="24">
      <c r="A106" s="3117">
        <v>34</v>
      </c>
      <c r="B106" s="3835"/>
      <c r="C106" s="3091" t="s">
        <v>2720</v>
      </c>
      <c r="D106" s="3091" t="s">
        <v>2721</v>
      </c>
      <c r="E106" s="3117">
        <v>0.1</v>
      </c>
      <c r="F106" s="3117">
        <v>15</v>
      </c>
    </row>
    <row r="107" spans="1:6" ht="24">
      <c r="A107" s="3117">
        <v>35</v>
      </c>
      <c r="B107" s="3831" t="s">
        <v>2722</v>
      </c>
      <c r="C107" s="3117" t="s">
        <v>2723</v>
      </c>
      <c r="D107" s="3091" t="s">
        <v>2724</v>
      </c>
      <c r="E107" s="3117">
        <v>0.15</v>
      </c>
      <c r="F107" s="3117">
        <v>20</v>
      </c>
    </row>
    <row r="108" spans="1:6" ht="13.5">
      <c r="A108" s="3117">
        <v>36</v>
      </c>
      <c r="B108" s="3826"/>
      <c r="C108" s="3117" t="s">
        <v>2725</v>
      </c>
      <c r="D108" s="3091" t="s">
        <v>2726</v>
      </c>
      <c r="E108" s="3117">
        <v>0.15</v>
      </c>
      <c r="F108" s="3117">
        <v>20</v>
      </c>
    </row>
    <row r="109" spans="1:6" ht="13.5">
      <c r="A109" s="3117">
        <v>37</v>
      </c>
      <c r="B109" s="3826"/>
      <c r="C109" s="3117" t="s">
        <v>2727</v>
      </c>
      <c r="D109" s="3091" t="s">
        <v>2728</v>
      </c>
      <c r="E109" s="3117">
        <v>0.15</v>
      </c>
      <c r="F109" s="3117">
        <v>20</v>
      </c>
    </row>
    <row r="110" spans="1:6" ht="13.5">
      <c r="A110" s="3117">
        <v>38</v>
      </c>
      <c r="B110" s="3826"/>
      <c r="C110" s="3117" t="s">
        <v>2729</v>
      </c>
      <c r="D110" s="3091" t="s">
        <v>2730</v>
      </c>
      <c r="E110" s="3117">
        <v>0.1</v>
      </c>
      <c r="F110" s="3117">
        <v>15</v>
      </c>
    </row>
    <row r="111" spans="1:6" ht="24">
      <c r="A111" s="3117">
        <v>39</v>
      </c>
      <c r="B111" s="3826"/>
      <c r="C111" s="3117" t="s">
        <v>2731</v>
      </c>
      <c r="D111" s="3091" t="s">
        <v>2732</v>
      </c>
      <c r="E111" s="3117">
        <v>0.1</v>
      </c>
      <c r="F111" s="3117">
        <v>15</v>
      </c>
    </row>
    <row r="112" spans="1:6" ht="24">
      <c r="A112" s="3117">
        <v>40</v>
      </c>
      <c r="B112" s="3835"/>
      <c r="C112" s="3117" t="s">
        <v>2733</v>
      </c>
      <c r="D112" s="3091" t="s">
        <v>2734</v>
      </c>
      <c r="E112" s="3117">
        <v>0.1</v>
      </c>
      <c r="F112" s="3117">
        <v>15</v>
      </c>
    </row>
    <row r="113" spans="1:6" ht="13.5">
      <c r="A113" s="3117">
        <v>41</v>
      </c>
      <c r="B113" s="3836" t="s">
        <v>2735</v>
      </c>
      <c r="C113" s="3117" t="s">
        <v>2736</v>
      </c>
      <c r="D113" s="3091" t="s">
        <v>2737</v>
      </c>
      <c r="E113" s="3117">
        <v>0.1</v>
      </c>
      <c r="F113" s="3117">
        <v>15</v>
      </c>
    </row>
    <row r="114" spans="1:6" ht="13.5">
      <c r="A114" s="3117">
        <v>42</v>
      </c>
      <c r="B114" s="3836"/>
      <c r="C114" s="3117" t="s">
        <v>2738</v>
      </c>
      <c r="D114" s="3091" t="s">
        <v>2739</v>
      </c>
      <c r="E114" s="3117">
        <v>0.1</v>
      </c>
      <c r="F114" s="3117">
        <v>15</v>
      </c>
    </row>
    <row r="115" spans="1:6" ht="24">
      <c r="A115" s="3117">
        <v>43</v>
      </c>
      <c r="B115" s="3836"/>
      <c r="C115" s="3117" t="s">
        <v>2740</v>
      </c>
      <c r="D115" s="3091" t="s">
        <v>2741</v>
      </c>
      <c r="E115" s="3117">
        <v>0.1</v>
      </c>
      <c r="F115" s="3117">
        <v>15</v>
      </c>
    </row>
    <row r="116" spans="1:6" ht="13.5">
      <c r="A116" s="3117">
        <v>44</v>
      </c>
      <c r="B116" s="3831" t="s">
        <v>2742</v>
      </c>
      <c r="C116" s="3117" t="s">
        <v>2743</v>
      </c>
      <c r="D116" s="3091" t="s">
        <v>2744</v>
      </c>
      <c r="E116" s="3117">
        <v>0.1</v>
      </c>
      <c r="F116" s="3117">
        <v>15</v>
      </c>
    </row>
    <row r="117" spans="1:6" ht="24">
      <c r="A117" s="3117">
        <v>45</v>
      </c>
      <c r="B117" s="3835"/>
      <c r="C117" s="3091" t="s">
        <v>2745</v>
      </c>
      <c r="D117" s="3091" t="s">
        <v>2746</v>
      </c>
      <c r="E117" s="3117">
        <v>0.1</v>
      </c>
      <c r="F117" s="3117">
        <v>15</v>
      </c>
    </row>
    <row r="118" spans="1:6" ht="24">
      <c r="A118" s="3117">
        <v>46</v>
      </c>
      <c r="B118" s="3831" t="s">
        <v>2747</v>
      </c>
      <c r="C118" s="3117" t="s">
        <v>2748</v>
      </c>
      <c r="D118" s="3091" t="s">
        <v>2749</v>
      </c>
      <c r="E118" s="3117">
        <v>0.1</v>
      </c>
      <c r="F118" s="3117">
        <v>15</v>
      </c>
    </row>
    <row r="119" spans="1:6" ht="24">
      <c r="A119" s="3117">
        <v>47</v>
      </c>
      <c r="B119" s="3835"/>
      <c r="C119" s="3117" t="s">
        <v>2750</v>
      </c>
      <c r="D119" s="3091" t="s">
        <v>2751</v>
      </c>
      <c r="E119" s="3117">
        <v>0.1</v>
      </c>
      <c r="F119" s="3117">
        <v>15</v>
      </c>
    </row>
    <row r="120" spans="1:6" ht="13.5">
      <c r="A120" s="3117">
        <v>48</v>
      </c>
      <c r="B120" s="3831" t="s">
        <v>2752</v>
      </c>
      <c r="C120" s="3117" t="s">
        <v>2753</v>
      </c>
      <c r="D120" s="3091" t="s">
        <v>2754</v>
      </c>
      <c r="E120" s="3117">
        <v>0.1</v>
      </c>
      <c r="F120" s="3117">
        <v>15</v>
      </c>
    </row>
    <row r="121" spans="1:6" ht="13.5">
      <c r="A121" s="3117">
        <v>49</v>
      </c>
      <c r="B121" s="3835"/>
      <c r="C121" s="3117" t="s">
        <v>2755</v>
      </c>
      <c r="D121" s="3091" t="s">
        <v>2756</v>
      </c>
      <c r="E121" s="3117">
        <v>0.1</v>
      </c>
      <c r="F121" s="3117">
        <v>15</v>
      </c>
    </row>
    <row r="122" spans="1:6" ht="24">
      <c r="A122" s="3117">
        <v>50</v>
      </c>
      <c r="B122" s="3836" t="s">
        <v>2757</v>
      </c>
      <c r="C122" s="3117" t="s">
        <v>2758</v>
      </c>
      <c r="D122" s="3091" t="s">
        <v>2759</v>
      </c>
      <c r="E122" s="3117">
        <v>0.1</v>
      </c>
      <c r="F122" s="3117">
        <v>15</v>
      </c>
    </row>
    <row r="123" spans="1:6" ht="24">
      <c r="A123" s="3117">
        <v>51</v>
      </c>
      <c r="B123" s="3836"/>
      <c r="C123" s="3117" t="s">
        <v>2760</v>
      </c>
      <c r="D123" s="3091" t="s">
        <v>2761</v>
      </c>
      <c r="E123" s="3117">
        <v>0.1</v>
      </c>
      <c r="F123" s="3117">
        <v>15</v>
      </c>
    </row>
    <row r="124" spans="1:6" ht="24">
      <c r="A124" s="3117">
        <v>52</v>
      </c>
      <c r="B124" s="3836" t="s">
        <v>2762</v>
      </c>
      <c r="C124" s="3117" t="s">
        <v>2763</v>
      </c>
      <c r="D124" s="3091" t="s">
        <v>2764</v>
      </c>
      <c r="E124" s="3117">
        <v>0.1</v>
      </c>
      <c r="F124" s="3117">
        <v>15</v>
      </c>
    </row>
    <row r="125" spans="1:6" ht="24">
      <c r="A125" s="3117">
        <v>53</v>
      </c>
      <c r="B125" s="3836"/>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36" t="s">
        <v>2770</v>
      </c>
      <c r="C127" s="3117" t="s">
        <v>2771</v>
      </c>
      <c r="D127" s="3091" t="s">
        <v>2772</v>
      </c>
      <c r="E127" s="3117">
        <v>0.1</v>
      </c>
      <c r="F127" s="3117">
        <v>15</v>
      </c>
    </row>
    <row r="128" spans="1:6" ht="13.5">
      <c r="A128" s="3117">
        <v>56</v>
      </c>
      <c r="B128" s="3836"/>
      <c r="C128" s="3117" t="s">
        <v>2773</v>
      </c>
      <c r="D128" s="3091" t="s">
        <v>2774</v>
      </c>
      <c r="E128" s="3117">
        <v>0.1</v>
      </c>
      <c r="F128" s="3117">
        <v>15</v>
      </c>
    </row>
    <row r="129" spans="1:6" ht="24">
      <c r="A129" s="3117">
        <v>57</v>
      </c>
      <c r="B129" s="3836"/>
      <c r="C129" s="3117" t="s">
        <v>2775</v>
      </c>
      <c r="D129" s="3091" t="s">
        <v>2776</v>
      </c>
      <c r="E129" s="3117">
        <v>0.1</v>
      </c>
      <c r="F129" s="3117">
        <v>15</v>
      </c>
    </row>
    <row r="130" spans="1:6" ht="24">
      <c r="A130" s="3117">
        <v>58</v>
      </c>
      <c r="B130" s="3836" t="s">
        <v>2777</v>
      </c>
      <c r="C130" s="3117" t="s">
        <v>2778</v>
      </c>
      <c r="D130" s="3091" t="s">
        <v>2779</v>
      </c>
      <c r="E130" s="3117">
        <v>0.1</v>
      </c>
      <c r="F130" s="3117">
        <v>15</v>
      </c>
    </row>
    <row r="131" spans="1:6" ht="13.5">
      <c r="A131" s="3117">
        <v>59</v>
      </c>
      <c r="B131" s="3836"/>
      <c r="C131" s="3117" t="s">
        <v>2780</v>
      </c>
      <c r="D131" s="3091" t="s">
        <v>2781</v>
      </c>
      <c r="E131" s="3117">
        <v>0.1</v>
      </c>
      <c r="F131" s="3117">
        <v>15</v>
      </c>
    </row>
    <row r="132" spans="1:6" ht="13.5">
      <c r="A132" s="3117">
        <v>60</v>
      </c>
      <c r="B132" s="3831" t="s">
        <v>2782</v>
      </c>
      <c r="C132" s="3117" t="s">
        <v>2783</v>
      </c>
      <c r="D132" s="3091" t="s">
        <v>2784</v>
      </c>
      <c r="E132" s="3117">
        <v>0.1</v>
      </c>
      <c r="F132" s="3117">
        <v>15</v>
      </c>
    </row>
    <row r="133" spans="1:6" ht="13.5">
      <c r="A133" s="3117">
        <v>61</v>
      </c>
      <c r="B133" s="3835"/>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36" t="s">
        <v>2790</v>
      </c>
      <c r="C135" s="3117" t="s">
        <v>2791</v>
      </c>
      <c r="D135" s="3091" t="s">
        <v>2792</v>
      </c>
      <c r="E135" s="3117">
        <v>0.1</v>
      </c>
      <c r="F135" s="3117">
        <v>15</v>
      </c>
    </row>
    <row r="136" spans="1:6" ht="13.5">
      <c r="A136" s="3117">
        <v>64</v>
      </c>
      <c r="B136" s="3836"/>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30764</v>
      </c>
      <c r="C2" s="2" t="s">
        <v>106</v>
      </c>
      <c r="D2" s="199"/>
      <c r="E2" s="199"/>
      <c r="F2" s="199"/>
      <c r="G2" s="199"/>
    </row>
    <row r="3" spans="1:7" s="200" customFormat="1" ht="18" customHeight="1" thickBot="1">
      <c r="A3" s="203" t="s">
        <v>58</v>
      </c>
      <c r="B3" s="204">
        <f ca="1">ROUND(B2*10000/'数据-汇总表'!E3,0)</f>
        <v>4953945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4" t="s">
        <v>94</v>
      </c>
    </row>
    <row r="43" spans="1:7" ht="13.5" customHeight="1">
      <c r="A43" s="780" t="s">
        <v>347</v>
      </c>
      <c r="B43" s="215" t="s">
        <v>426</v>
      </c>
      <c r="C43" s="238">
        <f ca="1">ROUND(IF('数据-取费表'!B22&lt;=1,C39*F22*'数据-取费表'!B21/2,C39*(POWER((1+F22),'数据-取费表'!B21/2)-1)),0)</f>
        <v>0</v>
      </c>
      <c r="D43" s="238"/>
      <c r="E43" s="238"/>
      <c r="F43" s="239"/>
      <c r="G43" s="3685"/>
    </row>
    <row r="44" spans="1:7" ht="13.5" customHeight="1">
      <c r="A44" s="780" t="s">
        <v>348</v>
      </c>
      <c r="B44" s="215" t="s">
        <v>428</v>
      </c>
      <c r="C44" s="238">
        <f ca="1">ROUND(IF('数据-取费表'!B22&lt;=1,C40*F22*'数据-取费表'!B21/2,C40*(POWER((1+F22),'数据-取费表'!B21/2)-1)),4)</f>
        <v>1E-3</v>
      </c>
      <c r="D44" s="238"/>
      <c r="E44" s="238"/>
      <c r="F44" s="239"/>
      <c r="G44" s="3686"/>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30764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9" t="s">
        <v>2840</v>
      </c>
      <c r="B1" s="3839"/>
      <c r="C1" s="3839"/>
      <c r="D1" s="3839"/>
      <c r="E1" s="3839"/>
      <c r="F1" s="3839"/>
      <c r="G1" s="3840"/>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37"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38"/>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41" t="s">
        <v>3182</v>
      </c>
      <c r="B1" s="3841"/>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42" t="s">
        <v>3233</v>
      </c>
      <c r="B1" s="3842"/>
      <c r="C1" s="3842"/>
      <c r="D1" s="3842"/>
      <c r="E1" s="3842"/>
      <c r="F1" s="3843"/>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43819</v>
      </c>
      <c r="B1" s="3209" t="s">
        <v>3372</v>
      </c>
      <c r="C1" s="3210"/>
      <c r="D1" s="3210"/>
      <c r="E1" s="3210"/>
      <c r="F1" s="3210"/>
      <c r="G1" s="3210"/>
      <c r="H1" s="3210"/>
      <c r="I1" s="3210"/>
      <c r="J1" s="3164"/>
      <c r="K1" s="3210" t="s">
        <v>454</v>
      </c>
      <c r="L1" s="3210"/>
      <c r="M1" s="3210"/>
      <c r="N1" s="3210"/>
      <c r="O1" s="3210"/>
      <c r="P1" s="3210"/>
      <c r="Q1" s="3164"/>
      <c r="R1" s="3844" t="s">
        <v>456</v>
      </c>
      <c r="S1" s="3845"/>
      <c r="T1" s="3845"/>
      <c r="U1" s="3845"/>
      <c r="V1" s="3845"/>
      <c r="W1" s="3845"/>
      <c r="X1" s="3164"/>
      <c r="Y1" s="3844" t="s">
        <v>457</v>
      </c>
      <c r="Z1" s="3845"/>
      <c r="AA1" s="3845"/>
      <c r="AB1" s="3845"/>
      <c r="AC1" s="3845"/>
      <c r="AD1" s="3845"/>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3378</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3379</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3381</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3376</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3375</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3371</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3370</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3369</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3365</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3356</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3367</v>
      </c>
    </row>
    <row r="22" spans="1:30" s="3008" customFormat="1">
      <c r="I22" s="3207" t="s">
        <v>2826</v>
      </c>
    </row>
    <row r="23" spans="1:30" s="3008" customFormat="1"/>
    <row r="24" spans="1:30" s="3208" customFormat="1" ht="12.75">
      <c r="B24" s="3209" t="s">
        <v>3373</v>
      </c>
      <c r="C24" s="3210"/>
      <c r="D24" s="3210"/>
      <c r="E24" s="3210"/>
      <c r="F24" s="3210"/>
      <c r="G24" s="3210"/>
      <c r="H24" s="3210"/>
      <c r="I24" s="3210"/>
      <c r="J24" s="3164"/>
      <c r="K24" s="3210" t="s">
        <v>2827</v>
      </c>
      <c r="L24" s="3210"/>
      <c r="M24" s="3210"/>
      <c r="N24" s="3210"/>
      <c r="O24" s="3210"/>
      <c r="P24" s="3210"/>
      <c r="Q24" s="3164"/>
      <c r="R24" s="3844" t="s">
        <v>2828</v>
      </c>
      <c r="S24" s="3845"/>
      <c r="T24" s="3845"/>
      <c r="U24" s="3845"/>
      <c r="V24" s="3845"/>
      <c r="W24" s="3845"/>
      <c r="X24" s="3164"/>
      <c r="Y24" s="3844" t="s">
        <v>2829</v>
      </c>
      <c r="Z24" s="3845"/>
      <c r="AA24" s="3845"/>
      <c r="AB24" s="3845"/>
      <c r="AC24" s="3845"/>
      <c r="AD24" s="3845"/>
    </row>
    <row r="25" spans="1:30" s="3142" customFormat="1" ht="14.2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2.75">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3378</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3379</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3380</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3377</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3375</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3374</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3370</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3369</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3366</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3356</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7"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43819</v>
      </c>
      <c r="D1" s="1302" t="s">
        <v>603</v>
      </c>
      <c r="E1" s="1297">
        <f>'数据-取费表'!B22</f>
        <v>2</v>
      </c>
      <c r="F1" s="1302" t="s">
        <v>604</v>
      </c>
      <c r="G1" s="1298">
        <f ca="1">INDIRECT("d"&amp;$K$1)/100</f>
        <v>4.1500000000000002E-2</v>
      </c>
      <c r="H1" s="1302" t="s">
        <v>634</v>
      </c>
      <c r="I1" s="1298">
        <f ca="1">F4/100</f>
        <v>1.4999999999999999E-2</v>
      </c>
      <c r="J1" s="1303">
        <f>IF(C1&gt;C13,0,MATCH(C1,C$13:C$113,-1))+IF(SUMIF(C13:C113,C1,D13:D113)=0,13,12)</f>
        <v>23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4.1500000000000004</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4.1500000000000004</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4.1500000000000004</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4.1500000000000004</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4.8</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2" t="str">
        <f>IF(项目基本情况!B9="房地产市场价值","估价结果一览表","结果表-2")</f>
        <v>估价结果一览表</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房地产市场价值</v>
      </c>
      <c r="I2" s="3513"/>
    </row>
    <row r="3" spans="1:9" ht="15">
      <c r="A3" s="3514"/>
      <c r="B3" s="3514"/>
      <c r="C3" s="3514"/>
      <c r="D3" s="854" t="s">
        <v>925</v>
      </c>
      <c r="E3" s="854" t="s">
        <v>931</v>
      </c>
      <c r="F3" s="854" t="s">
        <v>925</v>
      </c>
      <c r="G3" s="854" t="s">
        <v>926</v>
      </c>
      <c r="H3" s="854" t="s">
        <v>925</v>
      </c>
      <c r="I3" s="854" t="s">
        <v>926</v>
      </c>
    </row>
    <row r="4" spans="1:9" ht="15">
      <c r="A4" s="1505" t="str">
        <f>项目基本情况!S2</f>
        <v>北京市房地产</v>
      </c>
      <c r="B4" s="854">
        <f>项目基本情况!C17</f>
        <v>62.1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75">
      <c r="A6" s="3515" t="str">
        <f>结果表!A120</f>
        <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75">
      <c r="A8" s="3515" t="str">
        <f>结果表!A122</f>
        <v/>
      </c>
      <c r="B8" s="3515"/>
      <c r="C8" s="3515"/>
      <c r="D8" s="3515" t="e">
        <f ca="1">结果表!D122</f>
        <v>#REF!</v>
      </c>
      <c r="E8" s="3515"/>
      <c r="F8" s="3515"/>
      <c r="G8" s="3515"/>
      <c r="H8" s="3515"/>
      <c r="I8" s="3515"/>
    </row>
    <row r="9" spans="1:9" ht="15">
      <c r="A9" s="3514" t="s">
        <v>927</v>
      </c>
      <c r="B9" s="3514"/>
      <c r="C9" s="3514"/>
      <c r="D9" s="3514" t="e">
        <f ca="1">结果表!D123</f>
        <v>#REF!</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1" t="s">
        <v>949</v>
      </c>
      <c r="B1" s="3521"/>
      <c r="C1" s="3521"/>
      <c r="D1" s="3521"/>
    </row>
    <row r="2" spans="1:4" ht="18">
      <c r="A2" s="3522" t="s">
        <v>933</v>
      </c>
      <c r="B2" s="3522"/>
      <c r="C2" s="3522"/>
      <c r="D2" s="352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2" t="s">
        <v>939</v>
      </c>
      <c r="B6" s="3522"/>
      <c r="C6" s="3522"/>
      <c r="D6" s="352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3"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4" t="str">
        <f>IF(项目基本情况!B8="抵押","3.抵押双方在办理抵押登记手续时，应使用本公司出具的正式《房地产评估报告》，特提醒报告使用者注意。","——")</f>
        <v>——</v>
      </c>
      <c r="B13" s="3525"/>
      <c r="C13" s="3525"/>
      <c r="D13" s="3525"/>
    </row>
    <row r="14" spans="1:4" ht="15.75" customHeight="1">
      <c r="A14" s="3524" t="str">
        <f>IF(项目基本情况!B8="抵押","4.本次评估估价师所知悉的法定优先受偿款情况说明如下：","——")</f>
        <v>——</v>
      </c>
      <c r="B14" s="3525"/>
      <c r="C14" s="3525"/>
      <c r="D14" s="3525"/>
    </row>
    <row r="15" spans="1:4" ht="42" customHeight="1">
      <c r="A15" s="3524" t="str">
        <f>IF(项目基本情况!B8="抵押","（1）"&amp;CONCATENATE(项目基本情况!L20,项目基本情况!L21,项目基本情况!L22),"——")</f>
        <v>——</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5" t="s">
        <v>956</v>
      </c>
      <c r="B15" s="3530" t="s">
        <v>109</v>
      </c>
      <c r="C15" s="3531"/>
    </row>
    <row r="16" spans="1:7" ht="13.5">
      <c r="A16" s="3536"/>
      <c r="B16" s="3530" t="s">
        <v>42</v>
      </c>
      <c r="C16" s="3531"/>
    </row>
    <row r="17" spans="1:3" ht="13.5">
      <c r="A17" s="3536"/>
      <c r="B17" s="3533" t="s">
        <v>957</v>
      </c>
      <c r="C17" s="1532" t="s">
        <v>956</v>
      </c>
    </row>
    <row r="18" spans="1:3" ht="13.5">
      <c r="A18" s="3536"/>
      <c r="B18" s="3533"/>
      <c r="C18" s="1532" t="s">
        <v>958</v>
      </c>
    </row>
    <row r="19" spans="1:3" ht="13.5">
      <c r="A19" s="3536"/>
      <c r="B19" s="3533"/>
      <c r="C19" s="1532" t="s">
        <v>959</v>
      </c>
    </row>
    <row r="20" spans="1:3" ht="13.5">
      <c r="A20" s="3537"/>
      <c r="B20" s="3532" t="s">
        <v>960</v>
      </c>
      <c r="C20" s="3531"/>
    </row>
    <row r="21" spans="1:3" ht="13.5">
      <c r="A21" s="1533" t="s">
        <v>961</v>
      </c>
      <c r="B21" s="1534"/>
      <c r="C21" s="1535"/>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2" t="s">
        <v>967</v>
      </c>
    </row>
    <row r="26" spans="1:3" ht="13.5">
      <c r="A26" s="3534"/>
      <c r="B26" s="3533"/>
      <c r="C26" s="1532" t="s">
        <v>968</v>
      </c>
    </row>
    <row r="27" spans="1:3" ht="13.5">
      <c r="A27" s="3534"/>
      <c r="B27" s="3533"/>
      <c r="C27" s="1532" t="s">
        <v>969</v>
      </c>
    </row>
    <row r="28" spans="1:3" ht="13.5">
      <c r="A28" s="3534"/>
      <c r="B28" s="3533"/>
      <c r="C28" s="1532" t="s">
        <v>970</v>
      </c>
    </row>
    <row r="29" spans="1:3" ht="13.5">
      <c r="A29" s="3534"/>
      <c r="B29" s="3533"/>
      <c r="C29" s="1532" t="s">
        <v>971</v>
      </c>
    </row>
    <row r="30" spans="1:3" ht="13.5">
      <c r="A30" s="3534"/>
      <c r="B30" s="3533"/>
      <c r="C30" s="1532" t="s">
        <v>972</v>
      </c>
    </row>
    <row r="31" spans="1:3" ht="13.5">
      <c r="A31" s="3534"/>
      <c r="B31" s="3533"/>
      <c r="C31" s="1532" t="s">
        <v>973</v>
      </c>
    </row>
    <row r="32" spans="1:3" ht="13.5">
      <c r="A32" s="3534"/>
      <c r="B32" s="3533"/>
      <c r="C32" s="1532" t="s">
        <v>974</v>
      </c>
    </row>
    <row r="33" spans="1:3" ht="13.5">
      <c r="A33" s="3534"/>
      <c r="B33" s="353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3"/>
      <c r="E18" s="3540" t="s">
        <v>2162</v>
      </c>
      <c r="F18" s="3539"/>
      <c r="G18" s="353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Sheet4</vt:lpstr>
      <vt:lpstr>Sheet5</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2024-09-30T01:25:18Z</cp:lastPrinted>
  <dcterms:created xsi:type="dcterms:W3CDTF">2015-07-13T07:17:23Z</dcterms:created>
  <dcterms:modified xsi:type="dcterms:W3CDTF">2024-10-10T08:42:37Z</dcterms:modified>
</cp:coreProperties>
</file>