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95" windowWidth="14400" windowHeight="1560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1">项目基本情况!$A$1:$I$38</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区片价!$M$1:$M$35</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74" l="1"/>
  <c r="B14" i="74"/>
  <c r="N6" i="1" l="1"/>
  <c r="D33" i="43"/>
  <c r="Y6" i="1" l="1"/>
  <c r="F19" i="6"/>
  <c r="D3" i="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37" i="43"/>
  <c r="L37" i="43"/>
  <c r="P37" i="43" s="1"/>
  <c r="Q36" i="43"/>
  <c r="P36" i="43"/>
  <c r="O36" i="43"/>
  <c r="N36" i="43"/>
  <c r="M36" i="43"/>
  <c r="G24" i="43"/>
  <c r="I23" i="43"/>
  <c r="G17" i="43"/>
  <c r="C13" i="43"/>
  <c r="N12" i="43"/>
  <c r="G2" i="43"/>
  <c r="AB30" i="79"/>
  <c r="AA30" i="79"/>
  <c r="Z30" i="79"/>
  <c r="W30" i="79"/>
  <c r="N30" i="79"/>
  <c r="M30" i="79"/>
  <c r="P30" i="79" s="1"/>
  <c r="L30" i="79"/>
  <c r="I30" i="79"/>
  <c r="AD30" i="79" s="1"/>
  <c r="AB29" i="79"/>
  <c r="AA29" i="79"/>
  <c r="Z29" i="79"/>
  <c r="N29" i="79"/>
  <c r="U29" i="79" s="1"/>
  <c r="M29" i="79"/>
  <c r="T29" i="79" s="1"/>
  <c r="W29" i="79" s="1"/>
  <c r="L29" i="79"/>
  <c r="S29" i="79" s="1"/>
  <c r="I29" i="79"/>
  <c r="AB28" i="79"/>
  <c r="AA28" i="79"/>
  <c r="Z28" i="79"/>
  <c r="N28" i="79"/>
  <c r="U28" i="79" s="1"/>
  <c r="M28" i="79"/>
  <c r="L28" i="79"/>
  <c r="I28" i="79"/>
  <c r="AD28" i="79" s="1"/>
  <c r="AB27" i="79"/>
  <c r="AA27" i="79"/>
  <c r="Z27" i="79"/>
  <c r="N27" i="79"/>
  <c r="M27" i="79"/>
  <c r="T27" i="79" s="1"/>
  <c r="W27" i="79" s="1"/>
  <c r="L27" i="79"/>
  <c r="I27" i="79"/>
  <c r="AB26" i="79"/>
  <c r="AA26" i="79"/>
  <c r="Z26" i="79"/>
  <c r="N26" i="79"/>
  <c r="M26" i="79"/>
  <c r="L26" i="79"/>
  <c r="S26" i="79" s="1"/>
  <c r="I26" i="79"/>
  <c r="AB25" i="79"/>
  <c r="AA25" i="79"/>
  <c r="Z25" i="79"/>
  <c r="N25" i="79"/>
  <c r="M25" i="79"/>
  <c r="L25" i="79"/>
  <c r="S20" i="79" s="1"/>
  <c r="I25" i="79"/>
  <c r="AD25" i="79" s="1"/>
  <c r="AB24" i="79"/>
  <c r="AA24" i="79"/>
  <c r="Z24" i="79"/>
  <c r="N24" i="79"/>
  <c r="M24" i="79"/>
  <c r="L24" i="79"/>
  <c r="I24" i="79"/>
  <c r="AB23" i="79"/>
  <c r="AA23" i="79"/>
  <c r="Z23" i="79"/>
  <c r="N23" i="79"/>
  <c r="U23" i="79" s="1"/>
  <c r="M23" i="79"/>
  <c r="L23" i="79"/>
  <c r="I23" i="79"/>
  <c r="AD23" i="79" s="1"/>
  <c r="AB22" i="79"/>
  <c r="AB20" i="79" s="1"/>
  <c r="AA22" i="79"/>
  <c r="AA20" i="79" s="1"/>
  <c r="AD20" i="79" s="1"/>
  <c r="Z22" i="79"/>
  <c r="N22" i="79"/>
  <c r="M22" i="79"/>
  <c r="L22" i="79"/>
  <c r="I22" i="79"/>
  <c r="AD22" i="79" s="1"/>
  <c r="U20" i="79"/>
  <c r="N20" i="79"/>
  <c r="G20" i="79"/>
  <c r="F20" i="79"/>
  <c r="I20" i="79" s="1"/>
  <c r="E20" i="79"/>
  <c r="AC13" i="79"/>
  <c r="AB13" i="79"/>
  <c r="AA13" i="79"/>
  <c r="AD13" i="79" s="1"/>
  <c r="Z13" i="79"/>
  <c r="Y13" i="79"/>
  <c r="W13" i="79"/>
  <c r="P13" i="79"/>
  <c r="O13" i="79"/>
  <c r="N13" i="79"/>
  <c r="M13" i="79"/>
  <c r="L13" i="79"/>
  <c r="K13" i="79"/>
  <c r="I13" i="79"/>
  <c r="AC12" i="79"/>
  <c r="AB12" i="79"/>
  <c r="AA12" i="79"/>
  <c r="AD12" i="79" s="1"/>
  <c r="Z12" i="79"/>
  <c r="Y12" i="79"/>
  <c r="O12" i="79"/>
  <c r="V12" i="79" s="1"/>
  <c r="N12" i="79"/>
  <c r="U12" i="79" s="1"/>
  <c r="M12" i="79"/>
  <c r="P12" i="79" s="1"/>
  <c r="L12" i="79"/>
  <c r="S12" i="79" s="1"/>
  <c r="K12" i="79"/>
  <c r="R12" i="79" s="1"/>
  <c r="I12" i="79"/>
  <c r="AC11" i="79"/>
  <c r="AB11" i="79"/>
  <c r="AA11" i="79"/>
  <c r="AD11" i="79" s="1"/>
  <c r="Z11" i="79"/>
  <c r="Y11" i="79"/>
  <c r="P11" i="79"/>
  <c r="O11" i="79"/>
  <c r="V11" i="79" s="1"/>
  <c r="N11" i="79"/>
  <c r="M11" i="79"/>
  <c r="T11" i="79" s="1"/>
  <c r="W11" i="79" s="1"/>
  <c r="L11" i="79"/>
  <c r="S11" i="79" s="1"/>
  <c r="K11" i="79"/>
  <c r="I11" i="79"/>
  <c r="AC10" i="79"/>
  <c r="AB10" i="79"/>
  <c r="AA10" i="79"/>
  <c r="AD10" i="79" s="1"/>
  <c r="Z10" i="79"/>
  <c r="Y10" i="79"/>
  <c r="O10" i="79"/>
  <c r="V10" i="79" s="1"/>
  <c r="N10" i="79"/>
  <c r="U10" i="79" s="1"/>
  <c r="M10" i="79"/>
  <c r="P10" i="79" s="1"/>
  <c r="L10" i="79"/>
  <c r="K10" i="79"/>
  <c r="R10" i="79" s="1"/>
  <c r="I10" i="79"/>
  <c r="AC9" i="79"/>
  <c r="AB9" i="79"/>
  <c r="AA9" i="79"/>
  <c r="AD9" i="79" s="1"/>
  <c r="Z9" i="79"/>
  <c r="Y9" i="79"/>
  <c r="P9" i="79"/>
  <c r="O9" i="79"/>
  <c r="V9" i="79" s="1"/>
  <c r="N9" i="79"/>
  <c r="M9" i="79"/>
  <c r="T9" i="79" s="1"/>
  <c r="W9" i="79" s="1"/>
  <c r="L9" i="79"/>
  <c r="S9" i="79" s="1"/>
  <c r="K9" i="79"/>
  <c r="I9" i="79"/>
  <c r="AC8" i="79"/>
  <c r="AB8" i="79"/>
  <c r="AA8" i="79"/>
  <c r="AD8" i="79" s="1"/>
  <c r="Z8" i="79"/>
  <c r="Y8" i="79"/>
  <c r="O8" i="79"/>
  <c r="V8" i="79" s="1"/>
  <c r="N8" i="79"/>
  <c r="U8" i="79" s="1"/>
  <c r="M8" i="79"/>
  <c r="P8" i="79" s="1"/>
  <c r="L8" i="79"/>
  <c r="K8" i="79"/>
  <c r="R8" i="79" s="1"/>
  <c r="I8" i="79"/>
  <c r="AC7" i="79"/>
  <c r="AB7" i="79"/>
  <c r="AA7" i="79"/>
  <c r="AD7" i="79" s="1"/>
  <c r="Z7" i="79"/>
  <c r="Y7" i="79"/>
  <c r="O7" i="79"/>
  <c r="N7" i="79"/>
  <c r="U7" i="79" s="1"/>
  <c r="M7" i="79"/>
  <c r="T7" i="79" s="1"/>
  <c r="W7" i="79" s="1"/>
  <c r="L7" i="79"/>
  <c r="K7" i="79"/>
  <c r="I7" i="79"/>
  <c r="AC6" i="79"/>
  <c r="AB6" i="79"/>
  <c r="AA6" i="79"/>
  <c r="AD6" i="79" s="1"/>
  <c r="Z6" i="79"/>
  <c r="Y6" i="79"/>
  <c r="O6" i="79"/>
  <c r="N6" i="79"/>
  <c r="M6" i="79"/>
  <c r="P6" i="79" s="1"/>
  <c r="L6" i="79"/>
  <c r="K6" i="79"/>
  <c r="K3" i="79" s="1"/>
  <c r="I6" i="79"/>
  <c r="AC5" i="79"/>
  <c r="AB5" i="79"/>
  <c r="AB3" i="79" s="1"/>
  <c r="AA5" i="79"/>
  <c r="AD5" i="79" s="1"/>
  <c r="Z5" i="79"/>
  <c r="Z3" i="79" s="1"/>
  <c r="Y5" i="79"/>
  <c r="Y3" i="79" s="1"/>
  <c r="O5" i="79"/>
  <c r="N5" i="79"/>
  <c r="M5" i="79"/>
  <c r="T3" i="79" s="1"/>
  <c r="W3" i="79" s="1"/>
  <c r="L5" i="79"/>
  <c r="S5" i="79" s="1"/>
  <c r="K5" i="79"/>
  <c r="I5" i="79"/>
  <c r="AC3" i="79"/>
  <c r="V3" i="79"/>
  <c r="S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22" i="79" l="1"/>
  <c r="W22" i="79" s="1"/>
  <c r="U6" i="79"/>
  <c r="R7" i="79"/>
  <c r="U22" i="79"/>
  <c r="Z20" i="79"/>
  <c r="AD27" i="79"/>
  <c r="S28" i="79"/>
  <c r="U3" i="79"/>
  <c r="R5" i="79"/>
  <c r="V6" i="79"/>
  <c r="S7" i="79"/>
  <c r="U9" i="79"/>
  <c r="U11" i="79"/>
  <c r="T20" i="79"/>
  <c r="W20" i="79" s="1"/>
  <c r="AD26" i="79"/>
  <c r="S27" i="79"/>
  <c r="T28" i="79"/>
  <c r="W28" i="79" s="1"/>
  <c r="U27" i="79"/>
  <c r="N3" i="79"/>
  <c r="U5" i="79"/>
  <c r="V7" i="79"/>
  <c r="S8" i="79"/>
  <c r="S10" i="79"/>
  <c r="S24" i="79"/>
  <c r="T25" i="79"/>
  <c r="W25" i="79" s="1"/>
  <c r="U26" i="79"/>
  <c r="M3" i="79"/>
  <c r="P3" i="79" s="1"/>
  <c r="T5" i="79"/>
  <c r="W5" i="79" s="1"/>
  <c r="AD24" i="79"/>
  <c r="S25" i="79"/>
  <c r="T26" i="79"/>
  <c r="W26" i="79" s="1"/>
  <c r="O3" i="79"/>
  <c r="AA3" i="79"/>
  <c r="AD3" i="79" s="1"/>
  <c r="V5" i="79"/>
  <c r="R6" i="79"/>
  <c r="L20" i="79"/>
  <c r="U25" i="79"/>
  <c r="R3" i="79"/>
  <c r="P5" i="79"/>
  <c r="S6" i="79"/>
  <c r="R9" i="79"/>
  <c r="R11" i="79"/>
  <c r="M20" i="79"/>
  <c r="P20" i="79" s="1"/>
  <c r="U24" i="79"/>
  <c r="AD29" i="79"/>
  <c r="S23" i="79"/>
  <c r="T24" i="79"/>
  <c r="W24" i="79" s="1"/>
  <c r="S22" i="79"/>
  <c r="T23" i="79"/>
  <c r="W23" i="79" s="1"/>
  <c r="P7" i="79"/>
  <c r="Q37" i="43"/>
  <c r="C27" i="43"/>
  <c r="S6" i="43"/>
  <c r="S5" i="43"/>
  <c r="S4" i="43"/>
  <c r="S2" i="43"/>
  <c r="E93" i="43"/>
  <c r="B91" i="43" s="1"/>
  <c r="N21" i="43"/>
  <c r="S3" i="43"/>
  <c r="H116" i="43"/>
  <c r="O37"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N37" i="43"/>
  <c r="C21" i="43"/>
  <c r="E21" i="43"/>
  <c r="I21" i="43"/>
  <c r="K21" i="43"/>
  <c r="M21" i="43"/>
  <c r="O21" i="43"/>
  <c r="D21" i="43"/>
  <c r="H21" i="43"/>
  <c r="J21" i="43"/>
  <c r="L21" i="43"/>
  <c r="G18" i="43"/>
  <c r="T6" i="79"/>
  <c r="W6" i="79" s="1"/>
  <c r="T8" i="79"/>
  <c r="W8" i="79" s="1"/>
  <c r="T10" i="79"/>
  <c r="W10" i="79" s="1"/>
  <c r="T12" i="79"/>
  <c r="W12" i="79" s="1"/>
  <c r="P22" i="79"/>
  <c r="P24" i="79"/>
  <c r="P26" i="79"/>
  <c r="P28" i="79"/>
  <c r="P23" i="79"/>
  <c r="P25" i="79"/>
  <c r="P27" i="79"/>
  <c r="P29" i="79"/>
  <c r="E25" i="78"/>
  <c r="E24" i="78"/>
  <c r="F23" i="78"/>
  <c r="F24" i="78" s="1"/>
  <c r="F25" i="78" s="1"/>
  <c r="E23" i="78"/>
  <c r="E22" i="78"/>
  <c r="G22" i="78" s="1"/>
  <c r="F12" i="78"/>
  <c r="C15" i="78" s="1"/>
  <c r="F11" i="78"/>
  <c r="D7" i="78"/>
  <c r="D6" i="78"/>
  <c r="D5" i="78"/>
  <c r="C18"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D11" i="77" s="1"/>
  <c r="E11" i="77" s="1"/>
  <c r="E7" i="77" s="1"/>
  <c r="C27" i="77" s="1"/>
  <c r="R13" i="77"/>
  <c r="R12" i="77"/>
  <c r="D12" i="77"/>
  <c r="R11" i="77"/>
  <c r="R10" i="77"/>
  <c r="D10" i="77"/>
  <c r="R9" i="77"/>
  <c r="D9" i="77"/>
  <c r="R8" i="77"/>
  <c r="R7" i="77"/>
  <c r="R4" i="77"/>
  <c r="R3" i="77"/>
  <c r="D7" i="77" l="1"/>
  <c r="C26" i="77" s="1"/>
  <c r="R14" i="77"/>
  <c r="R24" i="77" s="1"/>
  <c r="C32" i="77"/>
  <c r="C38" i="77" s="1"/>
  <c r="C39"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O24" i="71"/>
  <c r="C24" i="71" s="1"/>
  <c r="C23" i="71" s="1"/>
  <c r="Q25" i="71"/>
  <c r="P25" i="71"/>
  <c r="E24" i="71"/>
  <c r="E23" i="71" s="1"/>
  <c r="E22" i="71" s="1"/>
  <c r="O25" i="71"/>
  <c r="N25" i="71"/>
  <c r="A2" i="53"/>
  <c r="K59" i="67"/>
  <c r="P61" i="67" s="1"/>
  <c r="K59" i="15"/>
  <c r="P74" i="15" s="1"/>
  <c r="D115" i="39"/>
  <c r="E115" i="39"/>
  <c r="F115" i="39"/>
  <c r="G115" i="39"/>
  <c r="H115" i="39"/>
  <c r="I115" i="39"/>
  <c r="J115" i="39"/>
  <c r="K115" i="39"/>
  <c r="L115" i="39"/>
  <c r="M115" i="39"/>
  <c r="C115" i="39"/>
  <c r="A21" i="62"/>
  <c r="B67" i="72" s="1"/>
  <c r="A20" i="62"/>
  <c r="B66" i="72" s="1"/>
  <c r="A22" i="51"/>
  <c r="A21" i="51"/>
  <c r="B16" i="72" s="1"/>
  <c r="A20" i="51"/>
  <c r="A14" i="62"/>
  <c r="B60" i="72" s="1"/>
  <c r="A13" i="62"/>
  <c r="B59" i="72"/>
  <c r="A19" i="62"/>
  <c r="B65" i="72" s="1"/>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0" i="72"/>
  <c r="C53" i="10"/>
  <c r="B51" i="10"/>
  <c r="B19" i="72"/>
  <c r="A18" i="51"/>
  <c r="B13" i="72" s="1"/>
  <c r="B49" i="48"/>
  <c r="B5" i="72" s="1"/>
  <c r="D89" i="71"/>
  <c r="F88" i="71"/>
  <c r="F87" i="71" s="1"/>
  <c r="E88" i="71"/>
  <c r="E87" i="71"/>
  <c r="E86" i="71" s="1"/>
  <c r="C88" i="71"/>
  <c r="D88" i="71"/>
  <c r="B88" i="71"/>
  <c r="B87" i="71" s="1"/>
  <c r="B86" i="71" s="1"/>
  <c r="F86" i="71"/>
  <c r="D85" i="71"/>
  <c r="F84" i="71"/>
  <c r="E84" i="71"/>
  <c r="E83" i="71" s="1"/>
  <c r="E82" i="71" s="1"/>
  <c r="C84" i="71"/>
  <c r="D84" i="71"/>
  <c r="B84" i="71"/>
  <c r="F83" i="71"/>
  <c r="F82" i="71" s="1"/>
  <c r="B83" i="71"/>
  <c r="B82" i="71"/>
  <c r="D81" i="71"/>
  <c r="Q80" i="71"/>
  <c r="P80" i="71"/>
  <c r="O80" i="71"/>
  <c r="N80" i="71"/>
  <c r="F80" i="71"/>
  <c r="V80" i="71"/>
  <c r="E80" i="71"/>
  <c r="U80" i="71" s="1"/>
  <c r="C80" i="71"/>
  <c r="T80" i="71" s="1"/>
  <c r="B80" i="71"/>
  <c r="S80" i="71" s="1"/>
  <c r="Q79" i="71"/>
  <c r="P79" i="71"/>
  <c r="O79" i="71"/>
  <c r="N79" i="71"/>
  <c r="F79" i="71"/>
  <c r="F78" i="71" s="1"/>
  <c r="Q78" i="71"/>
  <c r="P78" i="71"/>
  <c r="O78" i="71"/>
  <c r="N78" i="71"/>
  <c r="Q77" i="71"/>
  <c r="P77" i="71"/>
  <c r="O77" i="71"/>
  <c r="N77" i="71"/>
  <c r="D77" i="71"/>
  <c r="Q76" i="71"/>
  <c r="P76" i="71"/>
  <c r="O76" i="71"/>
  <c r="N76" i="71"/>
  <c r="F76" i="71"/>
  <c r="V76" i="71" s="1"/>
  <c r="E76" i="71"/>
  <c r="U76" i="71" s="1"/>
  <c r="C76" i="71"/>
  <c r="D76" i="71" s="1"/>
  <c r="T76" i="71"/>
  <c r="B76" i="71"/>
  <c r="S76" i="71"/>
  <c r="Q75" i="71"/>
  <c r="P75" i="71"/>
  <c r="O75" i="71"/>
  <c r="N75" i="7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B71" i="71"/>
  <c r="B70" i="71"/>
  <c r="Q70" i="71"/>
  <c r="P70" i="71"/>
  <c r="O70" i="71"/>
  <c r="N70" i="71"/>
  <c r="Q69" i="71"/>
  <c r="P69" i="71"/>
  <c r="O69" i="71"/>
  <c r="N69" i="71"/>
  <c r="D69" i="71"/>
  <c r="F68" i="71"/>
  <c r="V68" i="71"/>
  <c r="E68" i="71"/>
  <c r="U68" i="71" s="1"/>
  <c r="C68" i="71"/>
  <c r="B68" i="71"/>
  <c r="S68" i="71"/>
  <c r="F67" i="71"/>
  <c r="B67" i="71"/>
  <c r="D65" i="71"/>
  <c r="Q64" i="71"/>
  <c r="P64" i="71"/>
  <c r="O64" i="71"/>
  <c r="N64" i="71"/>
  <c r="Q63" i="71"/>
  <c r="P63" i="71"/>
  <c r="O63" i="71"/>
  <c r="N63" i="71"/>
  <c r="Q62" i="71"/>
  <c r="P62" i="71"/>
  <c r="O62" i="71"/>
  <c r="N62" i="71"/>
  <c r="Q61" i="71"/>
  <c r="F62" i="71"/>
  <c r="F63" i="71"/>
  <c r="F64" i="71"/>
  <c r="V64" i="71" s="1"/>
  <c r="P61" i="71"/>
  <c r="E62" i="71"/>
  <c r="O61" i="71"/>
  <c r="C62" i="71" s="1"/>
  <c r="N61" i="71"/>
  <c r="B62" i="71" s="1"/>
  <c r="B63" i="71" s="1"/>
  <c r="B64" i="71" s="1"/>
  <c r="S64" i="71" s="1"/>
  <c r="D61" i="71"/>
  <c r="Q60" i="71"/>
  <c r="P60" i="71"/>
  <c r="O60" i="71"/>
  <c r="N60" i="71"/>
  <c r="Q59" i="71"/>
  <c r="P59" i="71"/>
  <c r="O59" i="71"/>
  <c r="N59" i="71"/>
  <c r="Q58" i="71"/>
  <c r="P58" i="71"/>
  <c r="O58" i="71"/>
  <c r="N58" i="71"/>
  <c r="Q57" i="71"/>
  <c r="F58" i="71" s="1"/>
  <c r="P57" i="71"/>
  <c r="E58" i="71"/>
  <c r="E59" i="71" s="1"/>
  <c r="E60" i="71" s="1"/>
  <c r="U60" i="71" s="1"/>
  <c r="O57" i="71"/>
  <c r="C58" i="71"/>
  <c r="C59" i="71" s="1"/>
  <c r="N57" i="71"/>
  <c r="B58" i="71" s="1"/>
  <c r="B59" i="71"/>
  <c r="B60" i="71" s="1"/>
  <c r="S60" i="71" s="1"/>
  <c r="D57" i="71"/>
  <c r="Q56" i="71"/>
  <c r="P56" i="71"/>
  <c r="O56" i="71"/>
  <c r="N56" i="71"/>
  <c r="Q55" i="71"/>
  <c r="P55" i="71"/>
  <c r="O55" i="71"/>
  <c r="N55" i="71"/>
  <c r="Q54" i="71"/>
  <c r="P54" i="71"/>
  <c r="O54" i="71"/>
  <c r="N54" i="71"/>
  <c r="C54" i="71"/>
  <c r="C55" i="71" s="1"/>
  <c r="C56" i="71" s="1"/>
  <c r="Q53" i="71"/>
  <c r="F54" i="71" s="1"/>
  <c r="F55" i="71" s="1"/>
  <c r="F56" i="71" s="1"/>
  <c r="V56" i="71" s="1"/>
  <c r="P53" i="71"/>
  <c r="E54" i="71" s="1"/>
  <c r="O53" i="71"/>
  <c r="N53" i="71"/>
  <c r="B54" i="71" s="1"/>
  <c r="B55" i="71"/>
  <c r="B56" i="71"/>
  <c r="S56" i="71" s="1"/>
  <c r="D53" i="71"/>
  <c r="Q52" i="71"/>
  <c r="P52" i="71"/>
  <c r="O52" i="71"/>
  <c r="N52" i="71"/>
  <c r="Q51" i="71"/>
  <c r="P51" i="71"/>
  <c r="O51" i="71"/>
  <c r="N51" i="71"/>
  <c r="Q50" i="71"/>
  <c r="P50" i="71"/>
  <c r="O50" i="71"/>
  <c r="N50" i="71"/>
  <c r="Q49" i="71"/>
  <c r="F50" i="71"/>
  <c r="P49" i="71"/>
  <c r="E50" i="71" s="1"/>
  <c r="O49" i="71"/>
  <c r="C50" i="71"/>
  <c r="C51" i="71" s="1"/>
  <c r="N49" i="71"/>
  <c r="B50" i="7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c r="C47" i="71" s="1"/>
  <c r="N45" i="71"/>
  <c r="B46" i="71"/>
  <c r="B47" i="71" s="1"/>
  <c r="D45" i="71"/>
  <c r="Q44" i="71"/>
  <c r="P44" i="71"/>
  <c r="O44" i="71"/>
  <c r="N44" i="71"/>
  <c r="Q43" i="71"/>
  <c r="P43" i="71"/>
  <c r="O43" i="71"/>
  <c r="N43" i="71"/>
  <c r="Q42" i="71"/>
  <c r="P42" i="71"/>
  <c r="O42" i="71"/>
  <c r="N42" i="71"/>
  <c r="F42" i="71"/>
  <c r="F43" i="71" s="1"/>
  <c r="F44" i="71"/>
  <c r="V44" i="71"/>
  <c r="Q41" i="71"/>
  <c r="P41" i="71"/>
  <c r="E42" i="71"/>
  <c r="E43" i="71"/>
  <c r="E44" i="71" s="1"/>
  <c r="U44" i="71" s="1"/>
  <c r="O41" i="71"/>
  <c r="C42" i="71" s="1"/>
  <c r="N41" i="71"/>
  <c r="B42" i="71"/>
  <c r="B43" i="71"/>
  <c r="B44" i="71" s="1"/>
  <c r="S44" i="71" s="1"/>
  <c r="D41" i="71"/>
  <c r="Q40" i="71"/>
  <c r="P40" i="71"/>
  <c r="O40" i="71"/>
  <c r="N40" i="71"/>
  <c r="Q39" i="71"/>
  <c r="AB9" i="71" s="1"/>
  <c r="P39" i="71"/>
  <c r="O39" i="71"/>
  <c r="Y39" i="71"/>
  <c r="Z39" i="71" s="1"/>
  <c r="N39" i="71"/>
  <c r="X39" i="71" s="1"/>
  <c r="Q38" i="71"/>
  <c r="P38" i="71"/>
  <c r="O38" i="71"/>
  <c r="Y38" i="71" s="1"/>
  <c r="Z38" i="71" s="1"/>
  <c r="N38" i="71"/>
  <c r="F38" i="71"/>
  <c r="F39" i="71"/>
  <c r="Q37" i="71"/>
  <c r="P37" i="71"/>
  <c r="O37" i="71"/>
  <c r="N37" i="71"/>
  <c r="X34" i="71" s="1"/>
  <c r="D37" i="71"/>
  <c r="Q36" i="71"/>
  <c r="P36" i="71"/>
  <c r="O36" i="71"/>
  <c r="Y36" i="71" s="1"/>
  <c r="Z36" i="71" s="1"/>
  <c r="N36" i="71"/>
  <c r="Q35" i="71"/>
  <c r="AB35" i="71"/>
  <c r="P35" i="71"/>
  <c r="O35" i="71"/>
  <c r="N35" i="71"/>
  <c r="Q34" i="71"/>
  <c r="P34" i="71"/>
  <c r="AA34" i="71" s="1"/>
  <c r="O34" i="71"/>
  <c r="N34" i="71"/>
  <c r="F35" i="71"/>
  <c r="F36" i="71" s="1"/>
  <c r="V36" i="71" s="1"/>
  <c r="Q33" i="71"/>
  <c r="F34" i="71" s="1"/>
  <c r="P33" i="71"/>
  <c r="O33" i="71"/>
  <c r="N33" i="71"/>
  <c r="B34" i="71" s="1"/>
  <c r="B35" i="71" s="1"/>
  <c r="B36" i="71" s="1"/>
  <c r="S36" i="71" s="1"/>
  <c r="D33" i="71"/>
  <c r="Q32" i="71"/>
  <c r="AB32" i="71" s="1"/>
  <c r="P32" i="71"/>
  <c r="O32" i="71"/>
  <c r="N32" i="71"/>
  <c r="Q31" i="71"/>
  <c r="P31" i="71"/>
  <c r="AA31" i="71" s="1"/>
  <c r="O31" i="71"/>
  <c r="N31" i="71"/>
  <c r="Q30" i="71"/>
  <c r="P30" i="71"/>
  <c r="AA30" i="71" s="1"/>
  <c r="O30" i="71"/>
  <c r="N30" i="71"/>
  <c r="F30" i="71"/>
  <c r="F31" i="71" s="1"/>
  <c r="F32" i="71" s="1"/>
  <c r="V32" i="71" s="1"/>
  <c r="Q29" i="71"/>
  <c r="P29" i="71"/>
  <c r="AA29" i="71" s="1"/>
  <c r="O29" i="71"/>
  <c r="C30" i="71" s="1"/>
  <c r="N29" i="71"/>
  <c r="D29" i="71"/>
  <c r="O28" i="71"/>
  <c r="C28" i="71" s="1"/>
  <c r="N28" i="71"/>
  <c r="B30" i="71"/>
  <c r="B31" i="71"/>
  <c r="B32" i="71"/>
  <c r="S32" i="71" s="1"/>
  <c r="AA37" i="71"/>
  <c r="N68" i="71"/>
  <c r="E34" i="71"/>
  <c r="C34" i="71"/>
  <c r="D34" i="71" s="1"/>
  <c r="AA35" i="71"/>
  <c r="C38" i="71"/>
  <c r="Y37" i="71"/>
  <c r="Z37" i="71" s="1"/>
  <c r="AA38" i="71"/>
  <c r="F51" i="71"/>
  <c r="F52" i="71" s="1"/>
  <c r="V52" i="71" s="1"/>
  <c r="B28" i="71"/>
  <c r="B27" i="71" s="1"/>
  <c r="B26" i="71"/>
  <c r="C31" i="71"/>
  <c r="D30" i="71"/>
  <c r="D38" i="71"/>
  <c r="D47" i="71"/>
  <c r="D50" i="71"/>
  <c r="P28" i="71"/>
  <c r="E28" i="71" s="1"/>
  <c r="E55" i="71"/>
  <c r="E56" i="71" s="1"/>
  <c r="U56" i="71" s="1"/>
  <c r="E63" i="71"/>
  <c r="E64" i="71"/>
  <c r="U64" i="71" s="1"/>
  <c r="Q28" i="71"/>
  <c r="D54" i="71"/>
  <c r="D58" i="71"/>
  <c r="N67" i="71"/>
  <c r="B66" i="71"/>
  <c r="N66" i="71" s="1"/>
  <c r="T68" i="71"/>
  <c r="O68" i="71"/>
  <c r="D68" i="71"/>
  <c r="C67" i="71"/>
  <c r="C66" i="71" s="1"/>
  <c r="Q68" i="71"/>
  <c r="C71" i="71"/>
  <c r="C70" i="71" s="1"/>
  <c r="D70" i="71" s="1"/>
  <c r="E71" i="71"/>
  <c r="E70" i="71" s="1"/>
  <c r="D72" i="71"/>
  <c r="C75" i="71"/>
  <c r="D75" i="71" s="1"/>
  <c r="E75" i="71"/>
  <c r="E74" i="71" s="1"/>
  <c r="C79" i="71"/>
  <c r="D79" i="71" s="1"/>
  <c r="E79" i="71"/>
  <c r="E78" i="71" s="1"/>
  <c r="D80" i="71"/>
  <c r="C83" i="71"/>
  <c r="D83" i="71" s="1"/>
  <c r="C87" i="71"/>
  <c r="D87" i="71" s="1"/>
  <c r="S28" i="71"/>
  <c r="AB26" i="71"/>
  <c r="O67" i="71"/>
  <c r="D67" i="71"/>
  <c r="C82" i="71"/>
  <c r="D82" i="71"/>
  <c r="C74" i="71"/>
  <c r="D74" i="71" s="1"/>
  <c r="C86" i="71"/>
  <c r="D86" i="71" s="1"/>
  <c r="C78" i="71"/>
  <c r="D78" i="71"/>
  <c r="D71" i="71"/>
  <c r="D55" i="71"/>
  <c r="T56" i="71"/>
  <c r="D56"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c r="F94" i="40" s="1"/>
  <c r="G94" i="40" s="1"/>
  <c r="F25" i="40"/>
  <c r="S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AA18" i="35"/>
  <c r="C18" i="35"/>
  <c r="Q21" i="37"/>
  <c r="Z21" i="37" s="1"/>
  <c r="D77" i="37"/>
  <c r="E77" i="37" s="1"/>
  <c r="F77" i="37" s="1"/>
  <c r="G77" i="37" s="1"/>
  <c r="C21" i="37"/>
  <c r="Q21" i="34"/>
  <c r="Z21" i="34" s="1"/>
  <c r="D84" i="34"/>
  <c r="E84" i="34" s="1"/>
  <c r="F21" i="34"/>
  <c r="S21" i="34" s="1"/>
  <c r="C21" i="34"/>
  <c r="Q21" i="33"/>
  <c r="Z21" i="33" s="1"/>
  <c r="D83" i="33"/>
  <c r="E83" i="33"/>
  <c r="F83" i="33" s="1"/>
  <c r="G83" i="33" s="1"/>
  <c r="C21" i="33"/>
  <c r="C21" i="21"/>
  <c r="Q21" i="21"/>
  <c r="Z21" i="21" s="1"/>
  <c r="H19" i="21"/>
  <c r="D83" i="21"/>
  <c r="F21" i="21"/>
  <c r="S21" i="21" s="1"/>
  <c r="D81" i="21"/>
  <c r="G20" i="20"/>
  <c r="C22" i="20"/>
  <c r="B77" i="43" s="1"/>
  <c r="S18" i="36"/>
  <c r="H25" i="40"/>
  <c r="AB25" i="40" s="1"/>
  <c r="J25" i="40"/>
  <c r="H29" i="39"/>
  <c r="AB29" i="39" s="1"/>
  <c r="J29" i="39"/>
  <c r="AC29" i="39" s="1"/>
  <c r="J18" i="36"/>
  <c r="AC18" i="36" s="1"/>
  <c r="H18" i="35"/>
  <c r="AB18" i="35" s="1"/>
  <c r="S18" i="35"/>
  <c r="J18" i="35"/>
  <c r="AC18" i="35" s="1"/>
  <c r="H21" i="37"/>
  <c r="F21" i="37"/>
  <c r="AA21" i="37" s="1"/>
  <c r="F84" i="34"/>
  <c r="H21" i="34"/>
  <c r="U21" i="34" s="1"/>
  <c r="H21" i="33"/>
  <c r="U21" i="33" s="1"/>
  <c r="F21" i="33"/>
  <c r="E83" i="21"/>
  <c r="F83" i="21" s="1"/>
  <c r="G83" i="21" s="1"/>
  <c r="H1" i="69"/>
  <c r="AC25" i="40"/>
  <c r="W25" i="40"/>
  <c r="W29" i="39"/>
  <c r="W18" i="36"/>
  <c r="AB21" i="37"/>
  <c r="U21" i="37"/>
  <c r="S21" i="37"/>
  <c r="AB21" i="33"/>
  <c r="AA21" i="33"/>
  <c r="S21" i="33"/>
  <c r="U18" i="35"/>
  <c r="J21" i="37"/>
  <c r="AC21" i="37" s="1"/>
  <c r="G84" i="34"/>
  <c r="J21" i="34"/>
  <c r="W21" i="34" s="1"/>
  <c r="J21" i="33"/>
  <c r="H21" i="21"/>
  <c r="U21" i="21" s="1"/>
  <c r="F38" i="69"/>
  <c r="E37" i="69"/>
  <c r="F36" i="69"/>
  <c r="F35" i="69"/>
  <c r="F21" i="69"/>
  <c r="F40" i="69" s="1"/>
  <c r="F20" i="69"/>
  <c r="F39" i="69" s="1"/>
  <c r="E10" i="69"/>
  <c r="E9" i="69"/>
  <c r="C7" i="69"/>
  <c r="W21" i="37"/>
  <c r="AC21" i="33"/>
  <c r="W21" i="33"/>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A112" i="3" s="1"/>
  <c r="BE112" i="3"/>
  <c r="BD112" i="3"/>
  <c r="BC112" i="3"/>
  <c r="BB112" i="3"/>
  <c r="AX112" i="3"/>
  <c r="AW112" i="3"/>
  <c r="AV112" i="3"/>
  <c r="AC112" i="3"/>
  <c r="H112" i="3"/>
  <c r="G112" i="3" s="1"/>
  <c r="BT111" i="3"/>
  <c r="BS111" i="3"/>
  <c r="BR111" i="3"/>
  <c r="BQ111" i="3"/>
  <c r="BL111" i="3" s="1"/>
  <c r="BP111" i="3"/>
  <c r="BO111" i="3"/>
  <c r="BN111" i="3"/>
  <c r="BM111" i="3"/>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A109" i="3" s="1"/>
  <c r="BC109" i="3"/>
  <c r="BB109" i="3"/>
  <c r="AX109" i="3"/>
  <c r="AW109" i="3"/>
  <c r="AV109" i="3"/>
  <c r="AC109" i="3"/>
  <c r="H109" i="3"/>
  <c r="G109" i="3" s="1"/>
  <c r="BT108" i="3"/>
  <c r="BS108" i="3"/>
  <c r="BR108" i="3"/>
  <c r="BQ108" i="3"/>
  <c r="BP108" i="3"/>
  <c r="BO108" i="3"/>
  <c r="BL108" i="3" s="1"/>
  <c r="BN108" i="3"/>
  <c r="BM108" i="3"/>
  <c r="BK108" i="3"/>
  <c r="BJ108" i="3"/>
  <c r="BI108" i="3"/>
  <c r="BH108" i="3"/>
  <c r="BG108" i="3"/>
  <c r="BF108" i="3"/>
  <c r="BE108" i="3"/>
  <c r="BD108" i="3"/>
  <c r="BC108" i="3"/>
  <c r="BB108" i="3"/>
  <c r="BA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A106" i="3" s="1"/>
  <c r="AZ106" i="3" s="1"/>
  <c r="BC106" i="3"/>
  <c r="BB106" i="3"/>
  <c r="AX106" i="3"/>
  <c r="AW106" i="3"/>
  <c r="AV106" i="3"/>
  <c r="AC106" i="3"/>
  <c r="H106" i="3"/>
  <c r="BT105" i="3"/>
  <c r="BS105" i="3"/>
  <c r="BR105" i="3"/>
  <c r="BQ105" i="3"/>
  <c r="BP105" i="3"/>
  <c r="BO105" i="3"/>
  <c r="BN105" i="3"/>
  <c r="BM105" i="3"/>
  <c r="BL105" i="3"/>
  <c r="BK105" i="3"/>
  <c r="BJ105" i="3"/>
  <c r="BI105" i="3"/>
  <c r="BH105" i="3"/>
  <c r="BG105" i="3"/>
  <c r="BF105" i="3"/>
  <c r="BE105" i="3"/>
  <c r="BD105" i="3"/>
  <c r="BA105" i="3" s="1"/>
  <c r="BC105" i="3"/>
  <c r="BB105" i="3"/>
  <c r="AX105" i="3"/>
  <c r="AW105" i="3"/>
  <c r="AV105" i="3"/>
  <c r="AC105" i="3"/>
  <c r="H105" i="3"/>
  <c r="G105" i="3" s="1"/>
  <c r="BT104" i="3"/>
  <c r="BS104" i="3"/>
  <c r="BR104" i="3"/>
  <c r="BQ104" i="3"/>
  <c r="BP104" i="3"/>
  <c r="BO104" i="3"/>
  <c r="BN104" i="3"/>
  <c r="BM104" i="3"/>
  <c r="BK104" i="3"/>
  <c r="BJ104" i="3"/>
  <c r="BI104" i="3"/>
  <c r="BH104" i="3"/>
  <c r="BG104" i="3"/>
  <c r="BF104" i="3"/>
  <c r="BA104" i="3" s="1"/>
  <c r="BE104" i="3"/>
  <c r="BD104" i="3"/>
  <c r="BC104" i="3"/>
  <c r="BB104" i="3"/>
  <c r="AX104" i="3"/>
  <c r="AW104" i="3"/>
  <c r="AV104" i="3"/>
  <c r="AC104" i="3"/>
  <c r="H104" i="3"/>
  <c r="G104" i="3" s="1"/>
  <c r="BT103" i="3"/>
  <c r="BS103" i="3"/>
  <c r="BR103" i="3"/>
  <c r="BQ103" i="3"/>
  <c r="BL103" i="3" s="1"/>
  <c r="BP103" i="3"/>
  <c r="BO103" i="3"/>
  <c r="BN103" i="3"/>
  <c r="BM103" i="3"/>
  <c r="BK103" i="3"/>
  <c r="BJ103" i="3"/>
  <c r="BI103" i="3"/>
  <c r="BH103" i="3"/>
  <c r="BG103" i="3"/>
  <c r="BF103" i="3"/>
  <c r="BE103" i="3"/>
  <c r="BD103" i="3"/>
  <c r="BC103" i="3"/>
  <c r="BB103" i="3"/>
  <c r="BA103" i="3"/>
  <c r="AZ103" i="3" s="1"/>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BT100" i="3"/>
  <c r="BS100" i="3"/>
  <c r="BR100" i="3"/>
  <c r="BQ100" i="3"/>
  <c r="BP100" i="3"/>
  <c r="BO100" i="3"/>
  <c r="BL100" i="3" s="1"/>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L97" i="3" s="1"/>
  <c r="BK97" i="3"/>
  <c r="BJ97" i="3"/>
  <c r="BI97" i="3"/>
  <c r="BH97" i="3"/>
  <c r="BG97" i="3"/>
  <c r="BF97" i="3"/>
  <c r="BA97" i="3" s="1"/>
  <c r="BE97" i="3"/>
  <c r="BD97" i="3"/>
  <c r="BC97" i="3"/>
  <c r="BB97" i="3"/>
  <c r="AX97" i="3"/>
  <c r="AW97" i="3"/>
  <c r="AV97" i="3"/>
  <c r="AC97" i="3"/>
  <c r="H97" i="3"/>
  <c r="G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A94" i="3" s="1"/>
  <c r="BE94" i="3"/>
  <c r="BD94" i="3"/>
  <c r="BC94" i="3"/>
  <c r="BB94" i="3"/>
  <c r="AX94" i="3"/>
  <c r="AW94" i="3"/>
  <c r="AV94" i="3"/>
  <c r="AC94" i="3"/>
  <c r="H94" i="3"/>
  <c r="G94" i="3"/>
  <c r="BT93" i="3"/>
  <c r="BS93" i="3"/>
  <c r="BR93" i="3"/>
  <c r="BQ93" i="3"/>
  <c r="BP93" i="3"/>
  <c r="BO93" i="3"/>
  <c r="BN93" i="3"/>
  <c r="BM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s="1"/>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BT87" i="3"/>
  <c r="BS87" i="3"/>
  <c r="BR87" i="3"/>
  <c r="BQ87" i="3"/>
  <c r="BP87" i="3"/>
  <c r="BO87" i="3"/>
  <c r="BL87" i="3" s="1"/>
  <c r="BN87" i="3"/>
  <c r="BM87" i="3"/>
  <c r="BK87" i="3"/>
  <c r="BJ87" i="3"/>
  <c r="BI87" i="3"/>
  <c r="BH87" i="3"/>
  <c r="BG87" i="3"/>
  <c r="BF87" i="3"/>
  <c r="BE87" i="3"/>
  <c r="BD87" i="3"/>
  <c r="BC87" i="3"/>
  <c r="BB87" i="3"/>
  <c r="AX87" i="3"/>
  <c r="AW87" i="3"/>
  <c r="AV87" i="3"/>
  <c r="AC87" i="3"/>
  <c r="H87" i="3"/>
  <c r="G87" i="3"/>
  <c r="BT86" i="3"/>
  <c r="BS86" i="3"/>
  <c r="BR86" i="3"/>
  <c r="BQ86" i="3"/>
  <c r="BP86" i="3"/>
  <c r="BO86" i="3"/>
  <c r="BN86" i="3"/>
  <c r="BM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A85" i="3" s="1"/>
  <c r="BC85" i="3"/>
  <c r="BB85" i="3"/>
  <c r="AX85" i="3"/>
  <c r="AW85" i="3"/>
  <c r="AV85" i="3"/>
  <c r="AC85" i="3"/>
  <c r="H85" i="3"/>
  <c r="G85" i="3" s="1"/>
  <c r="BT84" i="3"/>
  <c r="BS84" i="3"/>
  <c r="BR84" i="3"/>
  <c r="BQ84" i="3"/>
  <c r="BP84" i="3"/>
  <c r="BO84" i="3"/>
  <c r="BN84" i="3"/>
  <c r="BM84" i="3"/>
  <c r="BL84" i="3" s="1"/>
  <c r="BK84" i="3"/>
  <c r="BJ84" i="3"/>
  <c r="BI84" i="3"/>
  <c r="BH84" i="3"/>
  <c r="BG84" i="3"/>
  <c r="BF84" i="3"/>
  <c r="BA84" i="3" s="1"/>
  <c r="BE84" i="3"/>
  <c r="BD84" i="3"/>
  <c r="BC84" i="3"/>
  <c r="BB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A81" i="3" s="1"/>
  <c r="AZ81" i="3" s="1"/>
  <c r="BC81" i="3"/>
  <c r="BB81" i="3"/>
  <c r="AX81" i="3"/>
  <c r="AW81" i="3"/>
  <c r="AV81" i="3"/>
  <c r="AC81" i="3"/>
  <c r="H81" i="3"/>
  <c r="BT80" i="3"/>
  <c r="BS80" i="3"/>
  <c r="BR80" i="3"/>
  <c r="BQ80" i="3"/>
  <c r="BP80" i="3"/>
  <c r="BO80" i="3"/>
  <c r="BL80" i="3" s="1"/>
  <c r="BN80" i="3"/>
  <c r="BM80" i="3"/>
  <c r="BK80" i="3"/>
  <c r="BJ80" i="3"/>
  <c r="BI80" i="3"/>
  <c r="BH80" i="3"/>
  <c r="BG80" i="3"/>
  <c r="BF80" i="3"/>
  <c r="BE80" i="3"/>
  <c r="BD80" i="3"/>
  <c r="BC80" i="3"/>
  <c r="BB80" i="3"/>
  <c r="AX80" i="3"/>
  <c r="AW80" i="3"/>
  <c r="AV80" i="3"/>
  <c r="AC80" i="3"/>
  <c r="H80" i="3"/>
  <c r="G80" i="3" s="1"/>
  <c r="BT79" i="3"/>
  <c r="BS79" i="3"/>
  <c r="BR79" i="3"/>
  <c r="BQ79" i="3"/>
  <c r="BL79" i="3" s="1"/>
  <c r="BP79" i="3"/>
  <c r="BO79" i="3"/>
  <c r="BN79" i="3"/>
  <c r="BM79" i="3"/>
  <c r="BK79" i="3"/>
  <c r="BJ79" i="3"/>
  <c r="BI79" i="3"/>
  <c r="BH79" i="3"/>
  <c r="BG79" i="3"/>
  <c r="BF79" i="3"/>
  <c r="BE79" i="3"/>
  <c r="BD79" i="3"/>
  <c r="BC79" i="3"/>
  <c r="BB79" i="3"/>
  <c r="BA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A77" i="3" s="1"/>
  <c r="BE77" i="3"/>
  <c r="BD77" i="3"/>
  <c r="BC77" i="3"/>
  <c r="BB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L73" i="3" s="1"/>
  <c r="BN73" i="3"/>
  <c r="BM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A71" i="3" s="1"/>
  <c r="BC71" i="3"/>
  <c r="BB71" i="3"/>
  <c r="AX71" i="3"/>
  <c r="AW71" i="3"/>
  <c r="AV71" i="3"/>
  <c r="AC71" i="3"/>
  <c r="H71" i="3"/>
  <c r="G71" i="3" s="1"/>
  <c r="BT70" i="3"/>
  <c r="BS70" i="3"/>
  <c r="BR70" i="3"/>
  <c r="BQ70" i="3"/>
  <c r="BP70" i="3"/>
  <c r="BO70" i="3"/>
  <c r="BN70" i="3"/>
  <c r="BM70" i="3"/>
  <c r="BL70" i="3" s="1"/>
  <c r="BK70" i="3"/>
  <c r="BJ70" i="3"/>
  <c r="BI70" i="3"/>
  <c r="BH70" i="3"/>
  <c r="BG70" i="3"/>
  <c r="BF70" i="3"/>
  <c r="BA70" i="3" s="1"/>
  <c r="BE70" i="3"/>
  <c r="BD70" i="3"/>
  <c r="BC70" i="3"/>
  <c r="BB70" i="3"/>
  <c r="AX70" i="3"/>
  <c r="AW70" i="3"/>
  <c r="AV70" i="3"/>
  <c r="AC70" i="3"/>
  <c r="H70" i="3"/>
  <c r="G70" i="3" s="1"/>
  <c r="BT69" i="3"/>
  <c r="BS69" i="3"/>
  <c r="BR69" i="3"/>
  <c r="BQ69" i="3"/>
  <c r="BL69" i="3" s="1"/>
  <c r="BP69" i="3"/>
  <c r="BO69" i="3"/>
  <c r="BN69" i="3"/>
  <c r="BM69" i="3"/>
  <c r="BK69" i="3"/>
  <c r="BJ69" i="3"/>
  <c r="BI69" i="3"/>
  <c r="BH69" i="3"/>
  <c r="BG69" i="3"/>
  <c r="BF69" i="3"/>
  <c r="BE69" i="3"/>
  <c r="BD69" i="3"/>
  <c r="BC69" i="3"/>
  <c r="BB69" i="3"/>
  <c r="BA69" i="3"/>
  <c r="AX69" i="3"/>
  <c r="AW69" i="3"/>
  <c r="AV69" i="3"/>
  <c r="AC69" i="3"/>
  <c r="H69" i="3"/>
  <c r="G69" i="3" s="1"/>
  <c r="BT68" i="3"/>
  <c r="BS68" i="3"/>
  <c r="BR68" i="3"/>
  <c r="BQ68" i="3"/>
  <c r="BP68" i="3"/>
  <c r="BO68" i="3"/>
  <c r="BN68" i="3"/>
  <c r="BM68" i="3"/>
  <c r="BK68" i="3"/>
  <c r="BJ68" i="3"/>
  <c r="BI68" i="3"/>
  <c r="BH68" i="3"/>
  <c r="BG68" i="3"/>
  <c r="BF68" i="3"/>
  <c r="BE68" i="3"/>
  <c r="BD68" i="3"/>
  <c r="BC68" i="3"/>
  <c r="BA68" i="3" s="1"/>
  <c r="BB68" i="3"/>
  <c r="AX68" i="3"/>
  <c r="AW68" i="3"/>
  <c r="AV68" i="3"/>
  <c r="AC68" i="3"/>
  <c r="H68" i="3"/>
  <c r="G68" i="3" s="1"/>
  <c r="BT67" i="3"/>
  <c r="BS67" i="3"/>
  <c r="BR67" i="3"/>
  <c r="BQ67" i="3"/>
  <c r="BP67" i="3"/>
  <c r="BO67" i="3"/>
  <c r="BN67" i="3"/>
  <c r="BL67" i="3" s="1"/>
  <c r="BM67" i="3"/>
  <c r="BK67" i="3"/>
  <c r="BJ67" i="3"/>
  <c r="BI67" i="3"/>
  <c r="BH67" i="3"/>
  <c r="BG67" i="3"/>
  <c r="BF67" i="3"/>
  <c r="BA67" i="3" s="1"/>
  <c r="BE67" i="3"/>
  <c r="BD67" i="3"/>
  <c r="BC67" i="3"/>
  <c r="BB67" i="3"/>
  <c r="AX67" i="3"/>
  <c r="AW67" i="3"/>
  <c r="AV67" i="3"/>
  <c r="AC67" i="3"/>
  <c r="H67" i="3"/>
  <c r="G67" i="3"/>
  <c r="BT66" i="3"/>
  <c r="BS66" i="3"/>
  <c r="BR66" i="3"/>
  <c r="BQ66" i="3"/>
  <c r="BP66" i="3"/>
  <c r="BO66" i="3"/>
  <c r="BN66" i="3"/>
  <c r="BM66" i="3"/>
  <c r="BK66" i="3"/>
  <c r="BJ66" i="3"/>
  <c r="BI66" i="3"/>
  <c r="BH66" i="3"/>
  <c r="BG66" i="3"/>
  <c r="BF66" i="3"/>
  <c r="BE66" i="3"/>
  <c r="BD66" i="3"/>
  <c r="BC66" i="3"/>
  <c r="BB66" i="3"/>
  <c r="BA66" i="3" s="1"/>
  <c r="AX66" i="3"/>
  <c r="AW66" i="3"/>
  <c r="AV66" i="3"/>
  <c r="AC66" i="3"/>
  <c r="H66" i="3"/>
  <c r="G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AX64" i="3"/>
  <c r="AW64" i="3"/>
  <c r="AV64" i="3"/>
  <c r="AC64" i="3"/>
  <c r="H64" i="3"/>
  <c r="G64" i="3"/>
  <c r="BT63" i="3"/>
  <c r="BS63" i="3"/>
  <c r="BR63" i="3"/>
  <c r="BQ63" i="3"/>
  <c r="BP63" i="3"/>
  <c r="BO63" i="3"/>
  <c r="BN63" i="3"/>
  <c r="BM63" i="3"/>
  <c r="BK63" i="3"/>
  <c r="BJ63" i="3"/>
  <c r="BI63" i="3"/>
  <c r="BH63" i="3"/>
  <c r="BG63" i="3"/>
  <c r="BF63" i="3"/>
  <c r="BE63" i="3"/>
  <c r="BD63" i="3"/>
  <c r="BC63" i="3"/>
  <c r="BB63" i="3"/>
  <c r="BA63" i="3" s="1"/>
  <c r="AX63" i="3"/>
  <c r="AW63" i="3"/>
  <c r="AV63" i="3"/>
  <c r="AC63" i="3"/>
  <c r="H63" i="3"/>
  <c r="G63" i="3"/>
  <c r="BT62" i="3"/>
  <c r="BS62" i="3"/>
  <c r="BR62" i="3"/>
  <c r="BQ62" i="3"/>
  <c r="BP62" i="3"/>
  <c r="BO62" i="3"/>
  <c r="BN62" i="3"/>
  <c r="BM62" i="3"/>
  <c r="BK62" i="3"/>
  <c r="BJ62" i="3"/>
  <c r="BI62" i="3"/>
  <c r="BH62" i="3"/>
  <c r="BG62" i="3"/>
  <c r="BF62" i="3"/>
  <c r="BE62" i="3"/>
  <c r="BD62" i="3"/>
  <c r="BC62" i="3"/>
  <c r="BB62" i="3"/>
  <c r="BA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AX61" i="3"/>
  <c r="AW61" i="3"/>
  <c r="AV61" i="3"/>
  <c r="AC61" i="3"/>
  <c r="G61" i="3" s="1"/>
  <c r="H61" i="3"/>
  <c r="BT60" i="3"/>
  <c r="BS60" i="3"/>
  <c r="BR60" i="3"/>
  <c r="BQ60" i="3"/>
  <c r="BP60" i="3"/>
  <c r="BO60" i="3"/>
  <c r="BL60" i="3" s="1"/>
  <c r="BN60" i="3"/>
  <c r="BM60" i="3"/>
  <c r="BK60" i="3"/>
  <c r="BJ60" i="3"/>
  <c r="BI60" i="3"/>
  <c r="BH60" i="3"/>
  <c r="BG60" i="3"/>
  <c r="BF60" i="3"/>
  <c r="BE60" i="3"/>
  <c r="BD60" i="3"/>
  <c r="BC60" i="3"/>
  <c r="BB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A58" i="3" s="1"/>
  <c r="BC58" i="3"/>
  <c r="BB58" i="3"/>
  <c r="AX58" i="3"/>
  <c r="AW58" i="3"/>
  <c r="AV58" i="3"/>
  <c r="AC58" i="3"/>
  <c r="H58" i="3"/>
  <c r="G58" i="3" s="1"/>
  <c r="BT57" i="3"/>
  <c r="BS57" i="3"/>
  <c r="BR57" i="3"/>
  <c r="BQ57" i="3"/>
  <c r="BP57" i="3"/>
  <c r="BO57" i="3"/>
  <c r="BN57" i="3"/>
  <c r="BL57" i="3" s="1"/>
  <c r="BM57" i="3"/>
  <c r="BK57" i="3"/>
  <c r="BJ57" i="3"/>
  <c r="BI57" i="3"/>
  <c r="BH57" i="3"/>
  <c r="BG57" i="3"/>
  <c r="BF57" i="3"/>
  <c r="BA57" i="3" s="1"/>
  <c r="BE57" i="3"/>
  <c r="BD57" i="3"/>
  <c r="BC57" i="3"/>
  <c r="BB57" i="3"/>
  <c r="AX57" i="3"/>
  <c r="AW57" i="3"/>
  <c r="AV57" i="3"/>
  <c r="AC57" i="3"/>
  <c r="H57" i="3"/>
  <c r="G57" i="3" s="1"/>
  <c r="BT56" i="3"/>
  <c r="BS56" i="3"/>
  <c r="BR56" i="3"/>
  <c r="BQ56" i="3"/>
  <c r="BL56" i="3" s="1"/>
  <c r="BP56" i="3"/>
  <c r="BO56" i="3"/>
  <c r="BN56" i="3"/>
  <c r="BM56" i="3"/>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AX55" i="3"/>
  <c r="AW55" i="3"/>
  <c r="AV55" i="3"/>
  <c r="AC55" i="3"/>
  <c r="H55" i="3"/>
  <c r="G55" i="3" s="1"/>
  <c r="BT54" i="3"/>
  <c r="BS54" i="3"/>
  <c r="BR54" i="3"/>
  <c r="BQ54" i="3"/>
  <c r="BP54" i="3"/>
  <c r="BO54" i="3"/>
  <c r="BN54" i="3"/>
  <c r="BL54" i="3" s="1"/>
  <c r="BM54" i="3"/>
  <c r="BK54" i="3"/>
  <c r="BJ54" i="3"/>
  <c r="BI54" i="3"/>
  <c r="BH54" i="3"/>
  <c r="BG54" i="3"/>
  <c r="BF54" i="3"/>
  <c r="BA54" i="3" s="1"/>
  <c r="AZ54" i="3" s="1"/>
  <c r="BE54" i="3"/>
  <c r="BD54" i="3"/>
  <c r="BC54" i="3"/>
  <c r="BB54" i="3"/>
  <c r="AX54" i="3"/>
  <c r="AW54" i="3"/>
  <c r="AV54" i="3"/>
  <c r="AC54" i="3"/>
  <c r="H54" i="3"/>
  <c r="G54" i="3" s="1"/>
  <c r="BT53" i="3"/>
  <c r="BS53" i="3"/>
  <c r="BR53" i="3"/>
  <c r="BQ53" i="3"/>
  <c r="BL53" i="3" s="1"/>
  <c r="BP53" i="3"/>
  <c r="BO53" i="3"/>
  <c r="BN53" i="3"/>
  <c r="BM53" i="3"/>
  <c r="BK53" i="3"/>
  <c r="BJ53" i="3"/>
  <c r="BI53" i="3"/>
  <c r="BH53" i="3"/>
  <c r="BG53" i="3"/>
  <c r="BF53" i="3"/>
  <c r="BE53" i="3"/>
  <c r="BD53" i="3"/>
  <c r="BC53" i="3"/>
  <c r="BB53" i="3"/>
  <c r="BA53" i="3"/>
  <c r="AX53" i="3"/>
  <c r="AW53" i="3"/>
  <c r="AV53" i="3"/>
  <c r="AC53" i="3"/>
  <c r="H53" i="3"/>
  <c r="G53" i="3" s="1"/>
  <c r="BT52" i="3"/>
  <c r="BS52" i="3"/>
  <c r="BR52" i="3"/>
  <c r="BQ52" i="3"/>
  <c r="BP52" i="3"/>
  <c r="BO52" i="3"/>
  <c r="BN52" i="3"/>
  <c r="BM52" i="3"/>
  <c r="BK52" i="3"/>
  <c r="BJ52" i="3"/>
  <c r="BI52" i="3"/>
  <c r="BH52" i="3"/>
  <c r="BG52" i="3"/>
  <c r="BF52" i="3"/>
  <c r="BE52" i="3"/>
  <c r="BD52" i="3"/>
  <c r="BC52" i="3"/>
  <c r="BA52" i="3" s="1"/>
  <c r="BB52" i="3"/>
  <c r="AX52" i="3"/>
  <c r="AW52" i="3"/>
  <c r="AV52" i="3"/>
  <c r="AC52" i="3"/>
  <c r="H52" i="3"/>
  <c r="G52" i="3" s="1"/>
  <c r="BT51" i="3"/>
  <c r="BS51" i="3"/>
  <c r="BR51" i="3"/>
  <c r="BQ51" i="3"/>
  <c r="BP51" i="3"/>
  <c r="BO51" i="3"/>
  <c r="BN51" i="3"/>
  <c r="BL51" i="3" s="1"/>
  <c r="BM51" i="3"/>
  <c r="BK51" i="3"/>
  <c r="BJ51" i="3"/>
  <c r="BI51" i="3"/>
  <c r="BH51" i="3"/>
  <c r="BG51" i="3"/>
  <c r="BF51" i="3"/>
  <c r="BA51" i="3" s="1"/>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c r="BT49" i="3"/>
  <c r="BS49" i="3"/>
  <c r="BR49" i="3"/>
  <c r="BQ49" i="3"/>
  <c r="BP49" i="3"/>
  <c r="BO49" i="3"/>
  <c r="BN49" i="3"/>
  <c r="BM49" i="3"/>
  <c r="BK49" i="3"/>
  <c r="BJ49" i="3"/>
  <c r="BI49" i="3"/>
  <c r="BH49" i="3"/>
  <c r="BG49" i="3"/>
  <c r="BF49" i="3"/>
  <c r="BE49" i="3"/>
  <c r="BD49" i="3"/>
  <c r="BC49" i="3"/>
  <c r="BB49" i="3"/>
  <c r="BA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G47" i="3"/>
  <c r="BT46" i="3"/>
  <c r="BS46" i="3"/>
  <c r="BR46" i="3"/>
  <c r="BQ46" i="3"/>
  <c r="BP46" i="3"/>
  <c r="BO46" i="3"/>
  <c r="BN46" i="3"/>
  <c r="BM46" i="3"/>
  <c r="BK46" i="3"/>
  <c r="BJ46" i="3"/>
  <c r="BI46" i="3"/>
  <c r="BH46" i="3"/>
  <c r="BG46" i="3"/>
  <c r="BF46" i="3"/>
  <c r="BE46" i="3"/>
  <c r="BD46" i="3"/>
  <c r="BC46" i="3"/>
  <c r="BB46" i="3"/>
  <c r="BA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s="1"/>
  <c r="AX45" i="3"/>
  <c r="AW45" i="3"/>
  <c r="AV45" i="3"/>
  <c r="AC45" i="3"/>
  <c r="G45" i="3" s="1"/>
  <c r="H45" i="3"/>
  <c r="BT44" i="3"/>
  <c r="BS44" i="3"/>
  <c r="BR44" i="3"/>
  <c r="BQ44" i="3"/>
  <c r="BP44" i="3"/>
  <c r="BO44" i="3"/>
  <c r="BN44" i="3"/>
  <c r="BM44" i="3"/>
  <c r="BK44" i="3"/>
  <c r="BJ44" i="3"/>
  <c r="BI44" i="3"/>
  <c r="BH44" i="3"/>
  <c r="BG44" i="3"/>
  <c r="BF44" i="3"/>
  <c r="BE44" i="3"/>
  <c r="BD44" i="3"/>
  <c r="BC44" i="3"/>
  <c r="BB44" i="3"/>
  <c r="AX44" i="3"/>
  <c r="AW44" i="3"/>
  <c r="AV44" i="3"/>
  <c r="AC44" i="3"/>
  <c r="H44" i="3"/>
  <c r="G44" i="3"/>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L41" i="3" s="1"/>
  <c r="BM41" i="3"/>
  <c r="BK41" i="3"/>
  <c r="BJ41" i="3"/>
  <c r="BI41" i="3"/>
  <c r="BH41" i="3"/>
  <c r="BG41" i="3"/>
  <c r="BF41" i="3"/>
  <c r="BA41" i="3" s="1"/>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A39" i="3" s="1"/>
  <c r="BB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AX35" i="3"/>
  <c r="AW35" i="3"/>
  <c r="AV35" i="3"/>
  <c r="AC35" i="3"/>
  <c r="G35" i="3" s="1"/>
  <c r="H35" i="3"/>
  <c r="BT34" i="3"/>
  <c r="BS34" i="3"/>
  <c r="BR34" i="3"/>
  <c r="BQ34" i="3"/>
  <c r="BP34" i="3"/>
  <c r="BO34" i="3"/>
  <c r="BN34" i="3"/>
  <c r="BM34" i="3"/>
  <c r="BL34" i="3" s="1"/>
  <c r="BK34" i="3"/>
  <c r="BJ34" i="3"/>
  <c r="BI34" i="3"/>
  <c r="BH34" i="3"/>
  <c r="BG34" i="3"/>
  <c r="BF34" i="3"/>
  <c r="BE34" i="3"/>
  <c r="BD34" i="3"/>
  <c r="BC34" i="3"/>
  <c r="BB34" i="3"/>
  <c r="BA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A32" i="3" s="1"/>
  <c r="BC32" i="3"/>
  <c r="BB32" i="3"/>
  <c r="AX32" i="3"/>
  <c r="AW32" i="3"/>
  <c r="AV32" i="3"/>
  <c r="AC32" i="3"/>
  <c r="H32" i="3"/>
  <c r="G32" i="3" s="1"/>
  <c r="BT31" i="3"/>
  <c r="BS31" i="3"/>
  <c r="BR31" i="3"/>
  <c r="BQ31" i="3"/>
  <c r="BP31" i="3"/>
  <c r="BO31" i="3"/>
  <c r="BN31" i="3"/>
  <c r="BL31" i="3" s="1"/>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A29" i="3" s="1"/>
  <c r="BB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G28" i="3" s="1"/>
  <c r="H28" i="3"/>
  <c r="BT27" i="3"/>
  <c r="BS27" i="3"/>
  <c r="BR27" i="3"/>
  <c r="BQ27" i="3"/>
  <c r="BP27" i="3"/>
  <c r="BO27" i="3"/>
  <c r="BN27" i="3"/>
  <c r="BM27" i="3"/>
  <c r="BK27" i="3"/>
  <c r="BJ27" i="3"/>
  <c r="BI27" i="3"/>
  <c r="BH27" i="3"/>
  <c r="BG27" i="3"/>
  <c r="BF27" i="3"/>
  <c r="BE27" i="3"/>
  <c r="BD27" i="3"/>
  <c r="BC27" i="3"/>
  <c r="BB27" i="3"/>
  <c r="BA27" i="3" s="1"/>
  <c r="AX27" i="3"/>
  <c r="AW27" i="3"/>
  <c r="AV27" i="3"/>
  <c r="AC27" i="3"/>
  <c r="H27" i="3"/>
  <c r="G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c r="BK25" i="3"/>
  <c r="BJ25" i="3"/>
  <c r="BI25" i="3"/>
  <c r="BH25" i="3"/>
  <c r="BG25" i="3"/>
  <c r="BF25" i="3"/>
  <c r="BE25" i="3"/>
  <c r="BD25" i="3"/>
  <c r="BA25" i="3" s="1"/>
  <c r="AZ25" i="3" s="1"/>
  <c r="BC25" i="3"/>
  <c r="BB25" i="3"/>
  <c r="AX25" i="3"/>
  <c r="AW25" i="3"/>
  <c r="AV25" i="3"/>
  <c r="AC25" i="3"/>
  <c r="G25" i="3" s="1"/>
  <c r="H25" i="3"/>
  <c r="BT24" i="3"/>
  <c r="BS24" i="3"/>
  <c r="BR24" i="3"/>
  <c r="BQ24" i="3"/>
  <c r="BP24" i="3"/>
  <c r="BO24" i="3"/>
  <c r="BN24" i="3"/>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A23" i="3" s="1"/>
  <c r="AZ23" i="3" s="1"/>
  <c r="BC23" i="3"/>
  <c r="BB23" i="3"/>
  <c r="AX23" i="3"/>
  <c r="AW23" i="3"/>
  <c r="AV23" i="3"/>
  <c r="AC23" i="3"/>
  <c r="H23" i="3"/>
  <c r="BT22" i="3"/>
  <c r="BS22" i="3"/>
  <c r="BR22" i="3"/>
  <c r="BQ22" i="3"/>
  <c r="BP22" i="3"/>
  <c r="BO22" i="3"/>
  <c r="BN22" i="3"/>
  <c r="BL22" i="3" s="1"/>
  <c r="BM22" i="3"/>
  <c r="BK22" i="3"/>
  <c r="BJ22" i="3"/>
  <c r="BI22" i="3"/>
  <c r="BH22" i="3"/>
  <c r="BG22" i="3"/>
  <c r="BF22" i="3"/>
  <c r="BE22" i="3"/>
  <c r="BD22" i="3"/>
  <c r="BC22" i="3"/>
  <c r="BB22" i="3"/>
  <c r="AX22" i="3"/>
  <c r="AW22" i="3"/>
  <c r="AV22" i="3"/>
  <c r="AC22" i="3"/>
  <c r="G22" i="3" s="1"/>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L20" i="3" s="1"/>
  <c r="BP20" i="3"/>
  <c r="BO20" i="3"/>
  <c r="BN20" i="3"/>
  <c r="BM20" i="3"/>
  <c r="BK20" i="3"/>
  <c r="BJ20" i="3"/>
  <c r="BI20" i="3"/>
  <c r="BH20" i="3"/>
  <c r="BG20" i="3"/>
  <c r="BF20" i="3"/>
  <c r="BE20" i="3"/>
  <c r="BD20" i="3"/>
  <c r="BC20" i="3"/>
  <c r="BA20" i="3" s="1"/>
  <c r="BB20" i="3"/>
  <c r="AX20" i="3"/>
  <c r="AW20" i="3"/>
  <c r="AV20" i="3"/>
  <c r="AC20" i="3"/>
  <c r="H20" i="3"/>
  <c r="G20" i="3"/>
  <c r="BT19" i="3"/>
  <c r="BS19" i="3"/>
  <c r="BR19" i="3"/>
  <c r="BQ19" i="3"/>
  <c r="BP19" i="3"/>
  <c r="BO19" i="3"/>
  <c r="BN19" i="3"/>
  <c r="BM19" i="3"/>
  <c r="BL19" i="3" s="1"/>
  <c r="BK19" i="3"/>
  <c r="BJ19" i="3"/>
  <c r="BI19" i="3"/>
  <c r="BH19" i="3"/>
  <c r="BG19" i="3"/>
  <c r="BF19" i="3"/>
  <c r="BE19" i="3"/>
  <c r="BD19" i="3"/>
  <c r="BC19" i="3"/>
  <c r="BA19" i="3" s="1"/>
  <c r="BB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G206" i="3" s="1"/>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BT201" i="3"/>
  <c r="BS201" i="3"/>
  <c r="BR201" i="3"/>
  <c r="BQ201" i="3"/>
  <c r="BP201" i="3"/>
  <c r="BO201" i="3"/>
  <c r="BN201" i="3"/>
  <c r="BL201" i="3" s="1"/>
  <c r="BM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G200" i="3" s="1"/>
  <c r="H200" i="3"/>
  <c r="BT199" i="3"/>
  <c r="BS199" i="3"/>
  <c r="BR199" i="3"/>
  <c r="BQ199" i="3"/>
  <c r="BP199" i="3"/>
  <c r="BO199" i="3"/>
  <c r="BL199" i="3" s="1"/>
  <c r="BN199" i="3"/>
  <c r="BM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L195" i="3" s="1"/>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s="1"/>
  <c r="BK193" i="3"/>
  <c r="BJ193" i="3"/>
  <c r="BI193" i="3"/>
  <c r="BH193" i="3"/>
  <c r="BG193" i="3"/>
  <c r="BF193" i="3"/>
  <c r="BA193" i="3" s="1"/>
  <c r="AZ193" i="3" s="1"/>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G192" i="3" s="1"/>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G186" i="3" s="1"/>
  <c r="H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A182" i="3" s="1"/>
  <c r="BB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G180" i="3" s="1"/>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A176" i="3" s="1"/>
  <c r="BE176" i="3"/>
  <c r="BD176" i="3"/>
  <c r="BC176" i="3"/>
  <c r="BB176" i="3"/>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L174" i="3" s="1"/>
  <c r="BM174" i="3"/>
  <c r="BK174" i="3"/>
  <c r="BJ174" i="3"/>
  <c r="BI174" i="3"/>
  <c r="BH174" i="3"/>
  <c r="BG174" i="3"/>
  <c r="BF174" i="3"/>
  <c r="BA174" i="3" s="1"/>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A170" i="3" s="1"/>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L157" i="3" s="1"/>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BT149" i="3"/>
  <c r="BS149" i="3"/>
  <c r="BR149" i="3"/>
  <c r="BQ149" i="3"/>
  <c r="BP149" i="3"/>
  <c r="BL149" i="3" s="1"/>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s="1"/>
  <c r="BK145" i="3"/>
  <c r="BJ145" i="3"/>
  <c r="BI145" i="3"/>
  <c r="BH145" i="3"/>
  <c r="BG145" i="3"/>
  <c r="BF145" i="3"/>
  <c r="BA145" i="3" s="1"/>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L143" i="3" s="1"/>
  <c r="BM143" i="3"/>
  <c r="BK143" i="3"/>
  <c r="BJ143" i="3"/>
  <c r="BI143" i="3"/>
  <c r="BH143" i="3"/>
  <c r="BG143" i="3"/>
  <c r="BF143" i="3"/>
  <c r="BE143" i="3"/>
  <c r="BD143" i="3"/>
  <c r="BC143" i="3"/>
  <c r="BB143" i="3"/>
  <c r="AX143" i="3"/>
  <c r="AW143" i="3"/>
  <c r="AV143" i="3"/>
  <c r="AC143" i="3"/>
  <c r="G143" i="3" s="1"/>
  <c r="H143" i="3"/>
  <c r="BT142" i="3"/>
  <c r="BS142" i="3"/>
  <c r="BR142" i="3"/>
  <c r="BQ142" i="3"/>
  <c r="BL142" i="3" s="1"/>
  <c r="BP142" i="3"/>
  <c r="BO142" i="3"/>
  <c r="BN142" i="3"/>
  <c r="BM142" i="3"/>
  <c r="BK142" i="3"/>
  <c r="BJ142" i="3"/>
  <c r="BI142" i="3"/>
  <c r="BH142" i="3"/>
  <c r="BG142" i="3"/>
  <c r="BF142" i="3"/>
  <c r="BE142" i="3"/>
  <c r="BD142" i="3"/>
  <c r="BC142" i="3"/>
  <c r="BB142" i="3"/>
  <c r="BA142" i="3"/>
  <c r="AX142" i="3"/>
  <c r="AW142" i="3"/>
  <c r="AV142" i="3"/>
  <c r="AC142" i="3"/>
  <c r="H142" i="3"/>
  <c r="G142" i="3" s="1"/>
  <c r="BT141" i="3"/>
  <c r="BS141" i="3"/>
  <c r="BR141" i="3"/>
  <c r="BQ141" i="3"/>
  <c r="BP141" i="3"/>
  <c r="BO141" i="3"/>
  <c r="BN141" i="3"/>
  <c r="BL141" i="3" s="1"/>
  <c r="BM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s="1"/>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A134" i="3" s="1"/>
  <c r="AZ134" i="3" s="1"/>
  <c r="BD134" i="3"/>
  <c r="BC134" i="3"/>
  <c r="BB134" i="3"/>
  <c r="AX134" i="3"/>
  <c r="AW134" i="3"/>
  <c r="AV134" i="3"/>
  <c r="AC134" i="3"/>
  <c r="H134" i="3"/>
  <c r="BT133" i="3"/>
  <c r="BS133" i="3"/>
  <c r="BR133" i="3"/>
  <c r="BQ133" i="3"/>
  <c r="BP133" i="3"/>
  <c r="BO133" i="3"/>
  <c r="BN133" i="3"/>
  <c r="BM133" i="3"/>
  <c r="BL133" i="3"/>
  <c r="BK133" i="3"/>
  <c r="BJ133" i="3"/>
  <c r="BI133" i="3"/>
  <c r="BH133" i="3"/>
  <c r="BG133" i="3"/>
  <c r="BF133" i="3"/>
  <c r="BE133" i="3"/>
  <c r="BD133" i="3"/>
  <c r="BA133" i="3" s="1"/>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G132" i="3" s="1"/>
  <c r="BT131" i="3"/>
  <c r="BS131" i="3"/>
  <c r="BR131" i="3"/>
  <c r="BQ131" i="3"/>
  <c r="BP131" i="3"/>
  <c r="BO131" i="3"/>
  <c r="BN131" i="3"/>
  <c r="BL131" i="3" s="1"/>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L130" i="3" s="1"/>
  <c r="BM130" i="3"/>
  <c r="BK130" i="3"/>
  <c r="BJ130" i="3"/>
  <c r="BI130" i="3"/>
  <c r="BH130" i="3"/>
  <c r="BG130" i="3"/>
  <c r="BF130" i="3"/>
  <c r="BE130" i="3"/>
  <c r="BD130" i="3"/>
  <c r="BC130" i="3"/>
  <c r="BB130" i="3"/>
  <c r="BA130" i="3" s="1"/>
  <c r="AX130" i="3"/>
  <c r="AW130" i="3"/>
  <c r="AV130" i="3"/>
  <c r="AC130" i="3"/>
  <c r="H130" i="3"/>
  <c r="G130" i="3" s="1"/>
  <c r="BT129" i="3"/>
  <c r="BS129" i="3"/>
  <c r="BR129" i="3"/>
  <c r="BQ129" i="3"/>
  <c r="BL129" i="3" s="1"/>
  <c r="BP129" i="3"/>
  <c r="BO129" i="3"/>
  <c r="BN129" i="3"/>
  <c r="BM129" i="3"/>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L126" i="3" s="1"/>
  <c r="BN126" i="3"/>
  <c r="BM126" i="3"/>
  <c r="BK126" i="3"/>
  <c r="BJ126" i="3"/>
  <c r="BI126" i="3"/>
  <c r="BH126" i="3"/>
  <c r="BG126" i="3"/>
  <c r="BF126" i="3"/>
  <c r="BE126" i="3"/>
  <c r="BD126" i="3"/>
  <c r="BA126" i="3" s="1"/>
  <c r="BC126" i="3"/>
  <c r="BB126" i="3"/>
  <c r="AX126" i="3"/>
  <c r="AW126" i="3"/>
  <c r="AV126" i="3"/>
  <c r="AC126" i="3"/>
  <c r="H126" i="3"/>
  <c r="G126" i="3" s="1"/>
  <c r="BT125" i="3"/>
  <c r="BS125" i="3"/>
  <c r="BR125" i="3"/>
  <c r="BQ125" i="3"/>
  <c r="BP125" i="3"/>
  <c r="BO125" i="3"/>
  <c r="BL125" i="3" s="1"/>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A124" i="3" s="1"/>
  <c r="BC124" i="3"/>
  <c r="BB124" i="3"/>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A118" i="3" s="1"/>
  <c r="AZ118" i="3" s="1"/>
  <c r="BC118" i="3"/>
  <c r="BB118" i="3"/>
  <c r="AX118" i="3"/>
  <c r="AW118" i="3"/>
  <c r="AV118" i="3"/>
  <c r="AC118" i="3"/>
  <c r="H118" i="3"/>
  <c r="G118" i="3" s="1"/>
  <c r="BT117" i="3"/>
  <c r="BS117" i="3"/>
  <c r="BR117" i="3"/>
  <c r="BQ117" i="3"/>
  <c r="BP117" i="3"/>
  <c r="BO117" i="3"/>
  <c r="BL117" i="3" s="1"/>
  <c r="BN117" i="3"/>
  <c r="BM117" i="3"/>
  <c r="BK117" i="3"/>
  <c r="BJ117" i="3"/>
  <c r="BI117" i="3"/>
  <c r="BH117" i="3"/>
  <c r="BG117" i="3"/>
  <c r="BF117" i="3"/>
  <c r="BE117" i="3"/>
  <c r="BD117" i="3"/>
  <c r="BA117" i="3" s="1"/>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A116" i="3" s="1"/>
  <c r="BC116" i="3"/>
  <c r="BB116" i="3"/>
  <c r="AX116" i="3"/>
  <c r="AW116" i="3"/>
  <c r="AV116" i="3"/>
  <c r="AC116" i="3"/>
  <c r="H116" i="3"/>
  <c r="G116" i="3" s="1"/>
  <c r="BT115" i="3"/>
  <c r="BS115" i="3"/>
  <c r="BR115" i="3"/>
  <c r="BQ115" i="3"/>
  <c r="BP115" i="3"/>
  <c r="BO115" i="3"/>
  <c r="BN115" i="3"/>
  <c r="BL115" i="3" s="1"/>
  <c r="BM115" i="3"/>
  <c r="BK115" i="3"/>
  <c r="BJ115" i="3"/>
  <c r="BI115" i="3"/>
  <c r="BH115" i="3"/>
  <c r="BG115" i="3"/>
  <c r="BF115" i="3"/>
  <c r="BE115" i="3"/>
  <c r="BD115" i="3"/>
  <c r="BC115" i="3"/>
  <c r="BB115" i="3"/>
  <c r="AX115" i="3"/>
  <c r="AW115" i="3"/>
  <c r="AV115" i="3"/>
  <c r="AC115" i="3"/>
  <c r="G115" i="3" s="1"/>
  <c r="H115" i="3"/>
  <c r="BT114" i="3"/>
  <c r="BS114" i="3"/>
  <c r="BR114" i="3"/>
  <c r="BQ114" i="3"/>
  <c r="BP114" i="3"/>
  <c r="BO114" i="3"/>
  <c r="BL114" i="3" s="1"/>
  <c r="BN114" i="3"/>
  <c r="BM114" i="3"/>
  <c r="BK114" i="3"/>
  <c r="BJ114" i="3"/>
  <c r="BI114" i="3"/>
  <c r="BH114" i="3"/>
  <c r="BG114" i="3"/>
  <c r="BF114" i="3"/>
  <c r="BE114" i="3"/>
  <c r="BD114" i="3"/>
  <c r="BC114" i="3"/>
  <c r="BB114" i="3"/>
  <c r="BA114" i="3" s="1"/>
  <c r="AX114" i="3"/>
  <c r="AW114" i="3"/>
  <c r="AV114" i="3"/>
  <c r="AC114" i="3"/>
  <c r="H114" i="3"/>
  <c r="G114" i="3" s="1"/>
  <c r="BT113" i="3"/>
  <c r="BS113" i="3"/>
  <c r="BR113" i="3"/>
  <c r="BQ113" i="3"/>
  <c r="BL113" i="3" s="1"/>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A302" i="3" s="1"/>
  <c r="AZ302" i="3" s="1"/>
  <c r="BB302" i="3"/>
  <c r="AX302" i="3"/>
  <c r="AW302" i="3"/>
  <c r="AV302" i="3"/>
  <c r="AC302" i="3"/>
  <c r="H302" i="3"/>
  <c r="G302" i="3" s="1"/>
  <c r="BT301" i="3"/>
  <c r="BS301" i="3"/>
  <c r="BR301" i="3"/>
  <c r="BQ301" i="3"/>
  <c r="BP301" i="3"/>
  <c r="BO301" i="3"/>
  <c r="BN301" i="3"/>
  <c r="BL301" i="3" s="1"/>
  <c r="BM301" i="3"/>
  <c r="BK301" i="3"/>
  <c r="BJ301" i="3"/>
  <c r="BI301" i="3"/>
  <c r="BH301" i="3"/>
  <c r="BG301" i="3"/>
  <c r="BF301" i="3"/>
  <c r="BA301" i="3" s="1"/>
  <c r="AZ301" i="3" s="1"/>
  <c r="BE301" i="3"/>
  <c r="BD301" i="3"/>
  <c r="BC301" i="3"/>
  <c r="BB301" i="3"/>
  <c r="AX301" i="3"/>
  <c r="AW301" i="3"/>
  <c r="AV301" i="3"/>
  <c r="AC301" i="3"/>
  <c r="H301" i="3"/>
  <c r="G301" i="3" s="1"/>
  <c r="BT300" i="3"/>
  <c r="BS300" i="3"/>
  <c r="BR300" i="3"/>
  <c r="BQ300" i="3"/>
  <c r="BL300" i="3" s="1"/>
  <c r="BP300" i="3"/>
  <c r="BO300" i="3"/>
  <c r="BN300" i="3"/>
  <c r="BM300" i="3"/>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A299" i="3" s="1"/>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A298" i="3" s="1"/>
  <c r="AZ298" i="3" s="1"/>
  <c r="BE298" i="3"/>
  <c r="BD298" i="3"/>
  <c r="BC298" i="3"/>
  <c r="BB298" i="3"/>
  <c r="AX298" i="3"/>
  <c r="AW298" i="3"/>
  <c r="AV298" i="3"/>
  <c r="AC298" i="3"/>
  <c r="H298" i="3"/>
  <c r="G298" i="3" s="1"/>
  <c r="BT297" i="3"/>
  <c r="BS297" i="3"/>
  <c r="BR297" i="3"/>
  <c r="BQ297" i="3"/>
  <c r="BL297" i="3" s="1"/>
  <c r="BP297" i="3"/>
  <c r="BO297" i="3"/>
  <c r="BN297" i="3"/>
  <c r="BM297" i="3"/>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A296" i="3" s="1"/>
  <c r="BB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G295" i="3" s="1"/>
  <c r="H295" i="3"/>
  <c r="BT294" i="3"/>
  <c r="BS294" i="3"/>
  <c r="BR294" i="3"/>
  <c r="BQ294" i="3"/>
  <c r="BP294" i="3"/>
  <c r="BO294" i="3"/>
  <c r="BL294" i="3" s="1"/>
  <c r="BN294" i="3"/>
  <c r="BM294" i="3"/>
  <c r="BK294" i="3"/>
  <c r="BJ294" i="3"/>
  <c r="BI294" i="3"/>
  <c r="BH294" i="3"/>
  <c r="BG294" i="3"/>
  <c r="BF294" i="3"/>
  <c r="BE294" i="3"/>
  <c r="BD294" i="3"/>
  <c r="BC294" i="3"/>
  <c r="BB294" i="3"/>
  <c r="BA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L285" i="3" s="1"/>
  <c r="BM285" i="3"/>
  <c r="BK285" i="3"/>
  <c r="BJ285" i="3"/>
  <c r="BI285" i="3"/>
  <c r="BH285" i="3"/>
  <c r="BG285" i="3"/>
  <c r="BF285" i="3"/>
  <c r="BA285" i="3" s="1"/>
  <c r="AZ285" i="3" s="1"/>
  <c r="BE285" i="3"/>
  <c r="BD285" i="3"/>
  <c r="BC285" i="3"/>
  <c r="BB285" i="3"/>
  <c r="AX285" i="3"/>
  <c r="AW285" i="3"/>
  <c r="AV285" i="3"/>
  <c r="AC285" i="3"/>
  <c r="H285" i="3"/>
  <c r="G285" i="3" s="1"/>
  <c r="BT284" i="3"/>
  <c r="BS284" i="3"/>
  <c r="BR284" i="3"/>
  <c r="BQ284" i="3"/>
  <c r="BL284" i="3" s="1"/>
  <c r="BP284" i="3"/>
  <c r="BO284" i="3"/>
  <c r="BN284" i="3"/>
  <c r="BM284" i="3"/>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A283" i="3" s="1"/>
  <c r="BC283" i="3"/>
  <c r="BB283" i="3"/>
  <c r="AX283" i="3"/>
  <c r="AW283" i="3"/>
  <c r="AV283" i="3"/>
  <c r="AC283" i="3"/>
  <c r="H283" i="3"/>
  <c r="G283" i="3" s="1"/>
  <c r="BT282" i="3"/>
  <c r="BS282" i="3"/>
  <c r="BR282" i="3"/>
  <c r="BQ282" i="3"/>
  <c r="BP282" i="3"/>
  <c r="BO282" i="3"/>
  <c r="BN282" i="3"/>
  <c r="BL282" i="3" s="1"/>
  <c r="BM282" i="3"/>
  <c r="BK282" i="3"/>
  <c r="BJ282" i="3"/>
  <c r="BI282" i="3"/>
  <c r="BH282" i="3"/>
  <c r="BG282" i="3"/>
  <c r="BF282" i="3"/>
  <c r="BA282" i="3" s="1"/>
  <c r="AZ282" i="3" s="1"/>
  <c r="BE282" i="3"/>
  <c r="BD282" i="3"/>
  <c r="BC282" i="3"/>
  <c r="BB282" i="3"/>
  <c r="AX282" i="3"/>
  <c r="AW282" i="3"/>
  <c r="AV282" i="3"/>
  <c r="AC282" i="3"/>
  <c r="H282" i="3"/>
  <c r="G282" i="3" s="1"/>
  <c r="BT281" i="3"/>
  <c r="BS281" i="3"/>
  <c r="BR281" i="3"/>
  <c r="BQ281" i="3"/>
  <c r="BP281" i="3"/>
  <c r="BO281" i="3"/>
  <c r="BN281" i="3"/>
  <c r="BL281" i="3" s="1"/>
  <c r="BM281" i="3"/>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A280" i="3" s="1"/>
  <c r="BB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G279" i="3" s="1"/>
  <c r="H279" i="3"/>
  <c r="BT278" i="3"/>
  <c r="BS278" i="3"/>
  <c r="BR278" i="3"/>
  <c r="BQ278" i="3"/>
  <c r="BP278" i="3"/>
  <c r="BO278" i="3"/>
  <c r="BL278" i="3" s="1"/>
  <c r="BN278" i="3"/>
  <c r="BM278" i="3"/>
  <c r="BK278" i="3"/>
  <c r="BJ278" i="3"/>
  <c r="BI278" i="3"/>
  <c r="BH278" i="3"/>
  <c r="BG278" i="3"/>
  <c r="BF278" i="3"/>
  <c r="BE278" i="3"/>
  <c r="BD278" i="3"/>
  <c r="BC278" i="3"/>
  <c r="BB278" i="3"/>
  <c r="BA278" i="3" s="1"/>
  <c r="AZ278" i="3" s="1"/>
  <c r="AX278" i="3"/>
  <c r="AW278" i="3"/>
  <c r="AV278" i="3"/>
  <c r="AC278" i="3"/>
  <c r="G278" i="3" s="1"/>
  <c r="H278" i="3"/>
  <c r="BT277" i="3"/>
  <c r="BS277" i="3"/>
  <c r="BR277" i="3"/>
  <c r="BQ277" i="3"/>
  <c r="BP277" i="3"/>
  <c r="BO277" i="3"/>
  <c r="BN277" i="3"/>
  <c r="BM277" i="3"/>
  <c r="BL277" i="3" s="1"/>
  <c r="BK277" i="3"/>
  <c r="BJ277" i="3"/>
  <c r="BI277" i="3"/>
  <c r="BH277" i="3"/>
  <c r="BG277" i="3"/>
  <c r="BF277" i="3"/>
  <c r="BE277" i="3"/>
  <c r="BD277" i="3"/>
  <c r="BC277" i="3"/>
  <c r="BB277" i="3"/>
  <c r="BA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G275" i="3" s="1"/>
  <c r="H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G273" i="3" s="1"/>
  <c r="H273" i="3"/>
  <c r="BT272" i="3"/>
  <c r="BS272" i="3"/>
  <c r="BR272" i="3"/>
  <c r="BQ272" i="3"/>
  <c r="BP272" i="3"/>
  <c r="BO272" i="3"/>
  <c r="BL272" i="3" s="1"/>
  <c r="BN272" i="3"/>
  <c r="BM272" i="3"/>
  <c r="BK272" i="3"/>
  <c r="BJ272" i="3"/>
  <c r="BI272" i="3"/>
  <c r="BH272" i="3"/>
  <c r="BG272" i="3"/>
  <c r="BF272" i="3"/>
  <c r="BE272" i="3"/>
  <c r="BD272" i="3"/>
  <c r="BC272" i="3"/>
  <c r="BB272" i="3"/>
  <c r="BA272" i="3" s="1"/>
  <c r="AX272" i="3"/>
  <c r="AW272" i="3"/>
  <c r="AV272" i="3"/>
  <c r="AC272" i="3"/>
  <c r="G272" i="3" s="1"/>
  <c r="H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L270" i="3" s="1"/>
  <c r="BN270" i="3"/>
  <c r="BM270" i="3"/>
  <c r="BK270" i="3"/>
  <c r="BJ270" i="3"/>
  <c r="BI270" i="3"/>
  <c r="BH270" i="3"/>
  <c r="BG270" i="3"/>
  <c r="BF270" i="3"/>
  <c r="BE270" i="3"/>
  <c r="BD270" i="3"/>
  <c r="BA270" i="3" s="1"/>
  <c r="AZ270" i="3" s="1"/>
  <c r="BC270" i="3"/>
  <c r="BB270" i="3"/>
  <c r="AX270" i="3"/>
  <c r="AW270" i="3"/>
  <c r="AV270" i="3"/>
  <c r="AC270" i="3"/>
  <c r="G270" i="3" s="1"/>
  <c r="H270" i="3"/>
  <c r="BT269" i="3"/>
  <c r="BS269" i="3"/>
  <c r="BR269" i="3"/>
  <c r="BQ269" i="3"/>
  <c r="BP269" i="3"/>
  <c r="BO269" i="3"/>
  <c r="BL269" i="3" s="1"/>
  <c r="BN269" i="3"/>
  <c r="BM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A268" i="3" s="1"/>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A267" i="3" s="1"/>
  <c r="BB267" i="3"/>
  <c r="AX267" i="3"/>
  <c r="AW267" i="3"/>
  <c r="AV267" i="3"/>
  <c r="AC267" i="3"/>
  <c r="H267" i="3"/>
  <c r="G267" i="3" s="1"/>
  <c r="BT266" i="3"/>
  <c r="BS266" i="3"/>
  <c r="BR266" i="3"/>
  <c r="BQ266" i="3"/>
  <c r="BP266" i="3"/>
  <c r="BO266" i="3"/>
  <c r="BN266" i="3"/>
  <c r="BL266" i="3" s="1"/>
  <c r="BM266" i="3"/>
  <c r="BK266" i="3"/>
  <c r="BJ266" i="3"/>
  <c r="BI266" i="3"/>
  <c r="BH266" i="3"/>
  <c r="BG266" i="3"/>
  <c r="BF266" i="3"/>
  <c r="BA266" i="3" s="1"/>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G263" i="3" s="1"/>
  <c r="H263" i="3"/>
  <c r="BT262" i="3"/>
  <c r="BS262" i="3"/>
  <c r="BR262" i="3"/>
  <c r="BQ262" i="3"/>
  <c r="BP262" i="3"/>
  <c r="BO262" i="3"/>
  <c r="BL262" i="3" s="1"/>
  <c r="BN262" i="3"/>
  <c r="BM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A260" i="3" s="1"/>
  <c r="AZ260" i="3" s="1"/>
  <c r="BC260" i="3"/>
  <c r="BB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BA259" i="3" s="1"/>
  <c r="AX259" i="3"/>
  <c r="AW259" i="3"/>
  <c r="AV259" i="3"/>
  <c r="AC259" i="3"/>
  <c r="H259" i="3"/>
  <c r="G259" i="3" s="1"/>
  <c r="BT258" i="3"/>
  <c r="BS258" i="3"/>
  <c r="BR258" i="3"/>
  <c r="BQ258" i="3"/>
  <c r="BL258" i="3" s="1"/>
  <c r="BP258" i="3"/>
  <c r="BO258" i="3"/>
  <c r="BN258" i="3"/>
  <c r="BM258" i="3"/>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A257" i="3" s="1"/>
  <c r="BC257" i="3"/>
  <c r="BB257" i="3"/>
  <c r="AX257" i="3"/>
  <c r="AW257" i="3"/>
  <c r="AV257" i="3"/>
  <c r="AC257" i="3"/>
  <c r="H257" i="3"/>
  <c r="G257" i="3" s="1"/>
  <c r="BT256" i="3"/>
  <c r="BS256" i="3"/>
  <c r="BR256" i="3"/>
  <c r="BQ256" i="3"/>
  <c r="BP256" i="3"/>
  <c r="BO256" i="3"/>
  <c r="BN256" i="3"/>
  <c r="BL256" i="3" s="1"/>
  <c r="BM256" i="3"/>
  <c r="BK256" i="3"/>
  <c r="BJ256" i="3"/>
  <c r="BI256" i="3"/>
  <c r="BH256" i="3"/>
  <c r="BG256" i="3"/>
  <c r="BF256" i="3"/>
  <c r="BA256" i="3" s="1"/>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A254" i="3" s="1"/>
  <c r="BB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L252" i="3" s="1"/>
  <c r="BN252" i="3"/>
  <c r="BM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L250" i="3" s="1"/>
  <c r="BN250" i="3"/>
  <c r="BM250" i="3"/>
  <c r="BK250" i="3"/>
  <c r="BJ250" i="3"/>
  <c r="BI250" i="3"/>
  <c r="BH250" i="3"/>
  <c r="BG250" i="3"/>
  <c r="BF250" i="3"/>
  <c r="BE250" i="3"/>
  <c r="BD250" i="3"/>
  <c r="BA250" i="3" s="1"/>
  <c r="BC250" i="3"/>
  <c r="BB250" i="3"/>
  <c r="AX250" i="3"/>
  <c r="AW250" i="3"/>
  <c r="AV250" i="3"/>
  <c r="AC250" i="3"/>
  <c r="H250" i="3"/>
  <c r="G250" i="3" s="1"/>
  <c r="BT249" i="3"/>
  <c r="BS249" i="3"/>
  <c r="BR249" i="3"/>
  <c r="BQ249" i="3"/>
  <c r="BP249" i="3"/>
  <c r="BO249" i="3"/>
  <c r="BN249" i="3"/>
  <c r="BL249" i="3" s="1"/>
  <c r="BM249" i="3"/>
  <c r="BK249" i="3"/>
  <c r="BJ249" i="3"/>
  <c r="BI249" i="3"/>
  <c r="BH249" i="3"/>
  <c r="BG249" i="3"/>
  <c r="BF249" i="3"/>
  <c r="BA249" i="3" s="1"/>
  <c r="BE249" i="3"/>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G248" i="3" s="1"/>
  <c r="H248" i="3"/>
  <c r="BT247" i="3"/>
  <c r="BS247" i="3"/>
  <c r="BR247" i="3"/>
  <c r="BQ247" i="3"/>
  <c r="BP247" i="3"/>
  <c r="BO247" i="3"/>
  <c r="BN247" i="3"/>
  <c r="BM247" i="3"/>
  <c r="BL247" i="3" s="1"/>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G245" i="3" s="1"/>
  <c r="H245" i="3"/>
  <c r="BT244" i="3"/>
  <c r="BS244" i="3"/>
  <c r="BR244" i="3"/>
  <c r="BQ244" i="3"/>
  <c r="BP244" i="3"/>
  <c r="BO244" i="3"/>
  <c r="BN244" i="3"/>
  <c r="BM244" i="3"/>
  <c r="BL244" i="3" s="1"/>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G243" i="3" s="1"/>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G242" i="3" s="1"/>
  <c r="H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L240" i="3" s="1"/>
  <c r="BP240" i="3"/>
  <c r="BO240" i="3"/>
  <c r="BN240" i="3"/>
  <c r="BM240" i="3"/>
  <c r="BK240" i="3"/>
  <c r="BJ240" i="3"/>
  <c r="BI240" i="3"/>
  <c r="BH240" i="3"/>
  <c r="BG240" i="3"/>
  <c r="BF240" i="3"/>
  <c r="BE240" i="3"/>
  <c r="BD240" i="3"/>
  <c r="BC240" i="3"/>
  <c r="BB240" i="3"/>
  <c r="BA240" i="3"/>
  <c r="AX240" i="3"/>
  <c r="AW240" i="3"/>
  <c r="AV240" i="3"/>
  <c r="AC240" i="3"/>
  <c r="H240" i="3"/>
  <c r="G240" i="3" s="1"/>
  <c r="BT239" i="3"/>
  <c r="BS239" i="3"/>
  <c r="BR239" i="3"/>
  <c r="BQ239" i="3"/>
  <c r="BP239" i="3"/>
  <c r="BO239" i="3"/>
  <c r="BN239" i="3"/>
  <c r="BL239" i="3" s="1"/>
  <c r="BM239" i="3"/>
  <c r="BK239" i="3"/>
  <c r="BJ239" i="3"/>
  <c r="BI239" i="3"/>
  <c r="BH239" i="3"/>
  <c r="BG239" i="3"/>
  <c r="BF239" i="3"/>
  <c r="BE239" i="3"/>
  <c r="BD239" i="3"/>
  <c r="BC239" i="3"/>
  <c r="BA239" i="3" s="1"/>
  <c r="AZ239" i="3" s="1"/>
  <c r="BB239" i="3"/>
  <c r="AX239" i="3"/>
  <c r="AW239" i="3"/>
  <c r="AV239" i="3"/>
  <c r="AC239" i="3"/>
  <c r="H239" i="3"/>
  <c r="G239" i="3" s="1"/>
  <c r="BT238" i="3"/>
  <c r="BS238" i="3"/>
  <c r="BR238" i="3"/>
  <c r="BQ238" i="3"/>
  <c r="BP238" i="3"/>
  <c r="BO238" i="3"/>
  <c r="BN238" i="3"/>
  <c r="BL238" i="3" s="1"/>
  <c r="BM238" i="3"/>
  <c r="BK238" i="3"/>
  <c r="BJ238" i="3"/>
  <c r="BI238" i="3"/>
  <c r="BH238" i="3"/>
  <c r="BG238" i="3"/>
  <c r="BF238" i="3"/>
  <c r="BA238" i="3" s="1"/>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A237" i="3" s="1"/>
  <c r="BB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G235" i="3" s="1"/>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L233" i="3" s="1"/>
  <c r="BP233" i="3"/>
  <c r="BO233" i="3"/>
  <c r="BN233" i="3"/>
  <c r="BM233" i="3"/>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A232" i="3" s="1"/>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A229" i="3" s="1"/>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A225" i="3" s="1"/>
  <c r="AZ225" i="3" s="1"/>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A221" i="3" s="1"/>
  <c r="AZ221" i="3" s="1"/>
  <c r="BC221" i="3"/>
  <c r="BB221" i="3"/>
  <c r="AX221" i="3"/>
  <c r="AW221" i="3"/>
  <c r="AV221" i="3"/>
  <c r="AC221" i="3"/>
  <c r="G221" i="3" s="1"/>
  <c r="H221" i="3"/>
  <c r="BT220" i="3"/>
  <c r="BS220" i="3"/>
  <c r="BR220" i="3"/>
  <c r="BQ220" i="3"/>
  <c r="BP220" i="3"/>
  <c r="BO220" i="3"/>
  <c r="BL220" i="3" s="1"/>
  <c r="BN220" i="3"/>
  <c r="BM220" i="3"/>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G219" i="3" s="1"/>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L217" i="3" s="1"/>
  <c r="BN217" i="3"/>
  <c r="BM217" i="3"/>
  <c r="BK217" i="3"/>
  <c r="BJ217" i="3"/>
  <c r="BI217" i="3"/>
  <c r="BH217" i="3"/>
  <c r="BG217" i="3"/>
  <c r="BF217" i="3"/>
  <c r="BE217" i="3"/>
  <c r="BD217" i="3"/>
  <c r="BA217" i="3" s="1"/>
  <c r="AZ217" i="3" s="1"/>
  <c r="BC217" i="3"/>
  <c r="BB217" i="3"/>
  <c r="AX217" i="3"/>
  <c r="AW217" i="3"/>
  <c r="AV217" i="3"/>
  <c r="AC217" i="3"/>
  <c r="H217" i="3"/>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G216" i="3" s="1"/>
  <c r="H216" i="3"/>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BT214" i="3"/>
  <c r="BS214" i="3"/>
  <c r="BR214" i="3"/>
  <c r="BQ214" i="3"/>
  <c r="BP214" i="3"/>
  <c r="BO214" i="3"/>
  <c r="BL214" i="3" s="1"/>
  <c r="BN214" i="3"/>
  <c r="BM214" i="3"/>
  <c r="BK214" i="3"/>
  <c r="BJ214" i="3"/>
  <c r="BI214" i="3"/>
  <c r="BH214" i="3"/>
  <c r="BG214" i="3"/>
  <c r="BA214" i="3" s="1"/>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A213" i="3" s="1"/>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c r="BT210" i="3"/>
  <c r="BS210" i="3"/>
  <c r="BR210" i="3"/>
  <c r="BQ210" i="3"/>
  <c r="BP210" i="3"/>
  <c r="BO210" i="3"/>
  <c r="BN210" i="3"/>
  <c r="BM210" i="3"/>
  <c r="BK210" i="3"/>
  <c r="BJ210" i="3"/>
  <c r="BI210" i="3"/>
  <c r="BH210" i="3"/>
  <c r="BG210" i="3"/>
  <c r="BF210" i="3"/>
  <c r="BE210" i="3"/>
  <c r="BD210" i="3"/>
  <c r="BC210" i="3"/>
  <c r="BA210" i="3" s="1"/>
  <c r="BB210" i="3"/>
  <c r="AX210" i="3"/>
  <c r="AW210" i="3"/>
  <c r="AV210" i="3"/>
  <c r="AC210" i="3"/>
  <c r="H210" i="3"/>
  <c r="G210" i="3" s="1"/>
  <c r="BT209" i="3"/>
  <c r="BS209" i="3"/>
  <c r="BR209" i="3"/>
  <c r="BQ209" i="3"/>
  <c r="BP209" i="3"/>
  <c r="BL209" i="3" s="1"/>
  <c r="BO209" i="3"/>
  <c r="BN209" i="3"/>
  <c r="BM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F397" i="3"/>
  <c r="BE397" i="3"/>
  <c r="BA397" i="3" s="1"/>
  <c r="BD397" i="3"/>
  <c r="BC397" i="3"/>
  <c r="BB397" i="3"/>
  <c r="AX397" i="3"/>
  <c r="AW397" i="3"/>
  <c r="AV397" i="3"/>
  <c r="AC397" i="3"/>
  <c r="H397" i="3"/>
  <c r="G397" i="3" s="1"/>
  <c r="BT396" i="3"/>
  <c r="BS396" i="3"/>
  <c r="BR396" i="3"/>
  <c r="BQ396" i="3"/>
  <c r="BP396" i="3"/>
  <c r="BO396" i="3"/>
  <c r="BN396" i="3"/>
  <c r="BL396" i="3" s="1"/>
  <c r="BM396" i="3"/>
  <c r="BK396" i="3"/>
  <c r="BJ396" i="3"/>
  <c r="BI396" i="3"/>
  <c r="BH396" i="3"/>
  <c r="BG396" i="3"/>
  <c r="BF396" i="3"/>
  <c r="BE396" i="3"/>
  <c r="BD396" i="3"/>
  <c r="BA396" i="3" s="1"/>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L386" i="3" s="1"/>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A385" i="3" s="1"/>
  <c r="AZ385" i="3" s="1"/>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L383" i="3" s="1"/>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L381" i="3" s="1"/>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L375" i="3" s="1"/>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A368" i="3" s="1"/>
  <c r="BB368" i="3"/>
  <c r="AX368" i="3"/>
  <c r="AW368" i="3"/>
  <c r="AV368" i="3"/>
  <c r="AC368" i="3"/>
  <c r="H368" i="3"/>
  <c r="BT367" i="3"/>
  <c r="BS367" i="3"/>
  <c r="BR367" i="3"/>
  <c r="BQ367" i="3"/>
  <c r="BP367" i="3"/>
  <c r="BO367" i="3"/>
  <c r="BN367" i="3"/>
  <c r="BL367" i="3" s="1"/>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L365" i="3" s="1"/>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L363" i="3" s="1"/>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A358" i="3" s="1"/>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L354" i="3" s="1"/>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A353" i="3" s="1"/>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A352" i="3" s="1"/>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A349" i="3" s="1"/>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L333" i="3" s="1"/>
  <c r="BP333" i="3"/>
  <c r="BO333" i="3"/>
  <c r="BN333" i="3"/>
  <c r="BM333" i="3"/>
  <c r="BK333" i="3"/>
  <c r="BJ333" i="3"/>
  <c r="BI333" i="3"/>
  <c r="BH333" i="3"/>
  <c r="BG333" i="3"/>
  <c r="BF333" i="3"/>
  <c r="BE333" i="3"/>
  <c r="BD333" i="3"/>
  <c r="BC333" i="3"/>
  <c r="BB333" i="3"/>
  <c r="BA333" i="3" s="1"/>
  <c r="AX333" i="3"/>
  <c r="AW333" i="3"/>
  <c r="AV333" i="3"/>
  <c r="AC333" i="3"/>
  <c r="H333" i="3"/>
  <c r="BT332" i="3"/>
  <c r="BS332" i="3"/>
  <c r="BL332" i="3" s="1"/>
  <c r="BR332" i="3"/>
  <c r="BQ332" i="3"/>
  <c r="BP332" i="3"/>
  <c r="BO332" i="3"/>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L317" i="3" s="1"/>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L492" i="3" s="1"/>
  <c r="BQ492" i="3"/>
  <c r="BP492" i="3"/>
  <c r="BO492" i="3"/>
  <c r="BN492" i="3"/>
  <c r="BM492" i="3"/>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A491" i="3" s="1"/>
  <c r="BB491" i="3"/>
  <c r="AX491" i="3"/>
  <c r="AW491" i="3"/>
  <c r="AV491" i="3"/>
  <c r="AC491" i="3"/>
  <c r="H491" i="3"/>
  <c r="G491" i="3" s="1"/>
  <c r="BT490" i="3"/>
  <c r="BS490" i="3"/>
  <c r="BR490" i="3"/>
  <c r="BQ490" i="3"/>
  <c r="BP490" i="3"/>
  <c r="BO490" i="3"/>
  <c r="BN490" i="3"/>
  <c r="BM490" i="3"/>
  <c r="BL490" i="3" s="1"/>
  <c r="BK490" i="3"/>
  <c r="BJ490" i="3"/>
  <c r="BI490" i="3"/>
  <c r="BH490" i="3"/>
  <c r="BG490" i="3"/>
  <c r="BA490" i="3" s="1"/>
  <c r="BF490" i="3"/>
  <c r="BE490" i="3"/>
  <c r="BD490" i="3"/>
  <c r="BC490" i="3"/>
  <c r="BB490" i="3"/>
  <c r="AX490" i="3"/>
  <c r="AW490" i="3"/>
  <c r="AV490" i="3"/>
  <c r="AC490" i="3"/>
  <c r="H490" i="3"/>
  <c r="G490" i="3" s="1"/>
  <c r="BT489" i="3"/>
  <c r="BS489" i="3"/>
  <c r="BR489" i="3"/>
  <c r="BQ489" i="3"/>
  <c r="BP489" i="3"/>
  <c r="BL489" i="3" s="1"/>
  <c r="BO489" i="3"/>
  <c r="BN489" i="3"/>
  <c r="BM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Z487" i="3" s="1"/>
  <c r="AX487" i="3"/>
  <c r="AW487" i="3"/>
  <c r="AV487" i="3"/>
  <c r="AC487" i="3"/>
  <c r="H487" i="3"/>
  <c r="G487" i="3"/>
  <c r="BT486" i="3"/>
  <c r="BS486" i="3"/>
  <c r="BR486" i="3"/>
  <c r="BL486" i="3" s="1"/>
  <c r="BQ486" i="3"/>
  <c r="BP486" i="3"/>
  <c r="BO486" i="3"/>
  <c r="BN486" i="3"/>
  <c r="BM486" i="3"/>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A482" i="3" s="1"/>
  <c r="BD482" i="3"/>
  <c r="BC482" i="3"/>
  <c r="BB482" i="3"/>
  <c r="AX482" i="3"/>
  <c r="AW482" i="3"/>
  <c r="AV482" i="3"/>
  <c r="AC482" i="3"/>
  <c r="H482" i="3"/>
  <c r="G482" i="3" s="1"/>
  <c r="BT481" i="3"/>
  <c r="BS481" i="3"/>
  <c r="BR481" i="3"/>
  <c r="BQ481" i="3"/>
  <c r="BP481" i="3"/>
  <c r="BL481" i="3" s="1"/>
  <c r="BO481" i="3"/>
  <c r="BN481" i="3"/>
  <c r="BM481" i="3"/>
  <c r="BK481" i="3"/>
  <c r="BJ481" i="3"/>
  <c r="BI481" i="3"/>
  <c r="BH481" i="3"/>
  <c r="BG481" i="3"/>
  <c r="BF481" i="3"/>
  <c r="BE481" i="3"/>
  <c r="BD481" i="3"/>
  <c r="BC481" i="3"/>
  <c r="BB481" i="3"/>
  <c r="BA481" i="3" s="1"/>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A479" i="3" s="1"/>
  <c r="AZ479" i="3" s="1"/>
  <c r="BF479" i="3"/>
  <c r="BE479" i="3"/>
  <c r="BD479" i="3"/>
  <c r="BC479" i="3"/>
  <c r="BB479" i="3"/>
  <c r="AX479" i="3"/>
  <c r="AW479" i="3"/>
  <c r="AV479" i="3"/>
  <c r="AC479" i="3"/>
  <c r="H479" i="3"/>
  <c r="G479" i="3"/>
  <c r="BT478" i="3"/>
  <c r="BS478" i="3"/>
  <c r="BR478" i="3"/>
  <c r="BL478" i="3" s="1"/>
  <c r="BQ478" i="3"/>
  <c r="BP478" i="3"/>
  <c r="BO478" i="3"/>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A477" i="3" s="1"/>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A474" i="3" s="1"/>
  <c r="AZ474" i="3" s="1"/>
  <c r="BD474" i="3"/>
  <c r="BC474" i="3"/>
  <c r="BB474" i="3"/>
  <c r="AX474" i="3"/>
  <c r="AW474" i="3"/>
  <c r="AV474" i="3"/>
  <c r="AC474" i="3"/>
  <c r="H474" i="3"/>
  <c r="G474" i="3" s="1"/>
  <c r="BT473" i="3"/>
  <c r="BS473" i="3"/>
  <c r="BR473" i="3"/>
  <c r="BQ473" i="3"/>
  <c r="BP473" i="3"/>
  <c r="BL473" i="3" s="1"/>
  <c r="BO473" i="3"/>
  <c r="BN473" i="3"/>
  <c r="BM473" i="3"/>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A471" i="3" s="1"/>
  <c r="BD471" i="3"/>
  <c r="BC471" i="3"/>
  <c r="BB471" i="3"/>
  <c r="AX471" i="3"/>
  <c r="AW471" i="3"/>
  <c r="AV471" i="3"/>
  <c r="AC471" i="3"/>
  <c r="H471" i="3"/>
  <c r="G471" i="3" s="1"/>
  <c r="BT470" i="3"/>
  <c r="BS470" i="3"/>
  <c r="BR470" i="3"/>
  <c r="BQ470" i="3"/>
  <c r="BP470" i="3"/>
  <c r="BL470" i="3" s="1"/>
  <c r="BO470" i="3"/>
  <c r="BN470" i="3"/>
  <c r="BM470" i="3"/>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s="1"/>
  <c r="BK468" i="3"/>
  <c r="BJ468" i="3"/>
  <c r="BI468" i="3"/>
  <c r="BH468" i="3"/>
  <c r="BG468" i="3"/>
  <c r="BA468" i="3" s="1"/>
  <c r="AZ468" i="3" s="1"/>
  <c r="BF468" i="3"/>
  <c r="BE468" i="3"/>
  <c r="BD468" i="3"/>
  <c r="BC468" i="3"/>
  <c r="BB468" i="3"/>
  <c r="AX468" i="3"/>
  <c r="AW468" i="3"/>
  <c r="AV468" i="3"/>
  <c r="AC468" i="3"/>
  <c r="H468" i="3"/>
  <c r="G468" i="3"/>
  <c r="BT467" i="3"/>
  <c r="BS467" i="3"/>
  <c r="BR467" i="3"/>
  <c r="BL467" i="3" s="1"/>
  <c r="BQ467" i="3"/>
  <c r="BP467" i="3"/>
  <c r="BO467" i="3"/>
  <c r="BN467" i="3"/>
  <c r="BM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L464" i="3" s="1"/>
  <c r="BQ464" i="3"/>
  <c r="BP464" i="3"/>
  <c r="BO464" i="3"/>
  <c r="BN464" i="3"/>
  <c r="BM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A460" i="3" s="1"/>
  <c r="BD460" i="3"/>
  <c r="BC460" i="3"/>
  <c r="BB460" i="3"/>
  <c r="AX460" i="3"/>
  <c r="AW460" i="3"/>
  <c r="AV460" i="3"/>
  <c r="AC460" i="3"/>
  <c r="H460" i="3"/>
  <c r="G460" i="3" s="1"/>
  <c r="BT459" i="3"/>
  <c r="BS459" i="3"/>
  <c r="BR459" i="3"/>
  <c r="BQ459" i="3"/>
  <c r="BP459" i="3"/>
  <c r="BL459" i="3" s="1"/>
  <c r="BO459" i="3"/>
  <c r="BN459" i="3"/>
  <c r="BM459" i="3"/>
  <c r="BK459" i="3"/>
  <c r="BJ459" i="3"/>
  <c r="BI459" i="3"/>
  <c r="BH459" i="3"/>
  <c r="BG459" i="3"/>
  <c r="BF459" i="3"/>
  <c r="BE459" i="3"/>
  <c r="BD459" i="3"/>
  <c r="BC459" i="3"/>
  <c r="BB459" i="3"/>
  <c r="BA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s="1"/>
  <c r="BK457" i="3"/>
  <c r="BJ457" i="3"/>
  <c r="BI457" i="3"/>
  <c r="BH457" i="3"/>
  <c r="BG457" i="3"/>
  <c r="BA457" i="3" s="1"/>
  <c r="BF457" i="3"/>
  <c r="BE457" i="3"/>
  <c r="BD457" i="3"/>
  <c r="BC457" i="3"/>
  <c r="BB457" i="3"/>
  <c r="AX457" i="3"/>
  <c r="AW457" i="3"/>
  <c r="AV457" i="3"/>
  <c r="AC457" i="3"/>
  <c r="H457" i="3"/>
  <c r="G457" i="3" s="1"/>
  <c r="BT456" i="3"/>
  <c r="BS456" i="3"/>
  <c r="BR456" i="3"/>
  <c r="BQ456" i="3"/>
  <c r="BP456" i="3"/>
  <c r="BL456" i="3" s="1"/>
  <c r="BO456" i="3"/>
  <c r="BN456" i="3"/>
  <c r="BM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A454" i="3" s="1"/>
  <c r="BG454" i="3"/>
  <c r="BF454" i="3"/>
  <c r="BE454" i="3"/>
  <c r="BD454" i="3"/>
  <c r="BC454" i="3"/>
  <c r="BB454" i="3"/>
  <c r="AX454" i="3"/>
  <c r="AW454" i="3"/>
  <c r="AV454" i="3"/>
  <c r="AC454" i="3"/>
  <c r="H454" i="3"/>
  <c r="G454" i="3"/>
  <c r="BT453" i="3"/>
  <c r="BS453" i="3"/>
  <c r="BR453" i="3"/>
  <c r="BL453" i="3" s="1"/>
  <c r="BQ453" i="3"/>
  <c r="BP453" i="3"/>
  <c r="BO453" i="3"/>
  <c r="BN453" i="3"/>
  <c r="BM453" i="3"/>
  <c r="BK453" i="3"/>
  <c r="BJ453" i="3"/>
  <c r="BI453" i="3"/>
  <c r="BH453" i="3"/>
  <c r="BG453" i="3"/>
  <c r="BF453" i="3"/>
  <c r="BE453" i="3"/>
  <c r="BD453" i="3"/>
  <c r="BC453" i="3"/>
  <c r="BB453" i="3"/>
  <c r="BA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Z451" i="3" s="1"/>
  <c r="AX451" i="3"/>
  <c r="AW451" i="3"/>
  <c r="AV451" i="3"/>
  <c r="AC451" i="3"/>
  <c r="H451" i="3"/>
  <c r="G451" i="3"/>
  <c r="BT450" i="3"/>
  <c r="BS450" i="3"/>
  <c r="BL450" i="3" s="1"/>
  <c r="BR450" i="3"/>
  <c r="BQ450" i="3"/>
  <c r="BP450" i="3"/>
  <c r="BO450" i="3"/>
  <c r="BN450" i="3"/>
  <c r="BM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A449" i="3" s="1"/>
  <c r="BD449" i="3"/>
  <c r="BC449" i="3"/>
  <c r="BB449" i="3"/>
  <c r="AX449" i="3"/>
  <c r="AW449" i="3"/>
  <c r="AV449" i="3"/>
  <c r="AC449" i="3"/>
  <c r="H449" i="3"/>
  <c r="G449" i="3" s="1"/>
  <c r="BT448" i="3"/>
  <c r="BS448" i="3"/>
  <c r="BR448" i="3"/>
  <c r="BQ448" i="3"/>
  <c r="BP448" i="3"/>
  <c r="BL448" i="3" s="1"/>
  <c r="BO448" i="3"/>
  <c r="BN448" i="3"/>
  <c r="BM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A446" i="3" s="1"/>
  <c r="BG446" i="3"/>
  <c r="BF446" i="3"/>
  <c r="BE446" i="3"/>
  <c r="BD446" i="3"/>
  <c r="BC446" i="3"/>
  <c r="BB446" i="3"/>
  <c r="AX446" i="3"/>
  <c r="AW446" i="3"/>
  <c r="AV446" i="3"/>
  <c r="AC446" i="3"/>
  <c r="H446" i="3"/>
  <c r="G446" i="3"/>
  <c r="BT445" i="3"/>
  <c r="BS445" i="3"/>
  <c r="BR445" i="3"/>
  <c r="BL445" i="3" s="1"/>
  <c r="BQ445" i="3"/>
  <c r="BP445" i="3"/>
  <c r="BO445" i="3"/>
  <c r="BN445" i="3"/>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Z443" i="3" s="1"/>
  <c r="AX443" i="3"/>
  <c r="AW443" i="3"/>
  <c r="AV443" i="3"/>
  <c r="AC443" i="3"/>
  <c r="H443" i="3"/>
  <c r="G443" i="3"/>
  <c r="BT442" i="3"/>
  <c r="BS442" i="3"/>
  <c r="BL442" i="3" s="1"/>
  <c r="BR442" i="3"/>
  <c r="BQ442" i="3"/>
  <c r="BP442" i="3"/>
  <c r="BO442" i="3"/>
  <c r="BN442" i="3"/>
  <c r="BM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s="1"/>
  <c r="BK441" i="3"/>
  <c r="BJ441" i="3"/>
  <c r="BI441" i="3"/>
  <c r="BH441" i="3"/>
  <c r="BG441" i="3"/>
  <c r="BF441" i="3"/>
  <c r="BE441" i="3"/>
  <c r="BA441" i="3" s="1"/>
  <c r="BD441" i="3"/>
  <c r="BC441" i="3"/>
  <c r="BB441" i="3"/>
  <c r="AX441" i="3"/>
  <c r="AW441" i="3"/>
  <c r="AV441" i="3"/>
  <c r="AC441" i="3"/>
  <c r="H441" i="3"/>
  <c r="G441" i="3" s="1"/>
  <c r="BT440" i="3"/>
  <c r="BS440" i="3"/>
  <c r="BR440" i="3"/>
  <c r="BQ440" i="3"/>
  <c r="BP440" i="3"/>
  <c r="BO440" i="3"/>
  <c r="BN440" i="3"/>
  <c r="BM440" i="3"/>
  <c r="BL440" i="3" s="1"/>
  <c r="BK440" i="3"/>
  <c r="BJ440" i="3"/>
  <c r="BI440" i="3"/>
  <c r="BH440" i="3"/>
  <c r="BA440" i="3" s="1"/>
  <c r="AZ440" i="3" s="1"/>
  <c r="BG440" i="3"/>
  <c r="BF440" i="3"/>
  <c r="BE440" i="3"/>
  <c r="BD440" i="3"/>
  <c r="BC440" i="3"/>
  <c r="BB440" i="3"/>
  <c r="AX440" i="3"/>
  <c r="AW440" i="3"/>
  <c r="AV440" i="3"/>
  <c r="AC440" i="3"/>
  <c r="H440" i="3"/>
  <c r="G440" i="3"/>
  <c r="BT439" i="3"/>
  <c r="BS439" i="3"/>
  <c r="BL439" i="3" s="1"/>
  <c r="BR439" i="3"/>
  <c r="BQ439" i="3"/>
  <c r="BP439" i="3"/>
  <c r="BO439" i="3"/>
  <c r="BN439" i="3"/>
  <c r="BM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A438" i="3" s="1"/>
  <c r="AZ438" i="3" s="1"/>
  <c r="BF438" i="3"/>
  <c r="BE438" i="3"/>
  <c r="BD438" i="3"/>
  <c r="BC438" i="3"/>
  <c r="BB438" i="3"/>
  <c r="AX438" i="3"/>
  <c r="AW438" i="3"/>
  <c r="AV438" i="3"/>
  <c r="AC438" i="3"/>
  <c r="H438" i="3"/>
  <c r="G438" i="3" s="1"/>
  <c r="BT437" i="3"/>
  <c r="BS437" i="3"/>
  <c r="BR437" i="3"/>
  <c r="BQ437" i="3"/>
  <c r="BP437" i="3"/>
  <c r="BL437" i="3" s="1"/>
  <c r="BO437" i="3"/>
  <c r="BN437" i="3"/>
  <c r="BM437" i="3"/>
  <c r="BK437" i="3"/>
  <c r="BJ437" i="3"/>
  <c r="BI437" i="3"/>
  <c r="BH437" i="3"/>
  <c r="BG437" i="3"/>
  <c r="BF437" i="3"/>
  <c r="BE437" i="3"/>
  <c r="BD437" i="3"/>
  <c r="BC437" i="3"/>
  <c r="BB437" i="3"/>
  <c r="BA437" i="3"/>
  <c r="AX437" i="3"/>
  <c r="AW437" i="3"/>
  <c r="AV437" i="3"/>
  <c r="AC437" i="3"/>
  <c r="H437" i="3"/>
  <c r="G437" i="3"/>
  <c r="BT436" i="3"/>
  <c r="BS436" i="3"/>
  <c r="BL436" i="3" s="1"/>
  <c r="BR436" i="3"/>
  <c r="BQ436" i="3"/>
  <c r="BP436" i="3"/>
  <c r="BO436" i="3"/>
  <c r="BN436" i="3"/>
  <c r="BM436" i="3"/>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A435" i="3" s="1"/>
  <c r="BF435" i="3"/>
  <c r="BE435" i="3"/>
  <c r="BD435" i="3"/>
  <c r="BC435" i="3"/>
  <c r="BB435" i="3"/>
  <c r="AX435" i="3"/>
  <c r="AW435" i="3"/>
  <c r="AV435" i="3"/>
  <c r="AC435" i="3"/>
  <c r="H435" i="3"/>
  <c r="G435" i="3" s="1"/>
  <c r="BT434" i="3"/>
  <c r="BS434" i="3"/>
  <c r="BR434" i="3"/>
  <c r="BQ434" i="3"/>
  <c r="BP434" i="3"/>
  <c r="BL434" i="3" s="1"/>
  <c r="BO434" i="3"/>
  <c r="BN434" i="3"/>
  <c r="BM434" i="3"/>
  <c r="BK434" i="3"/>
  <c r="BJ434" i="3"/>
  <c r="BI434" i="3"/>
  <c r="BH434" i="3"/>
  <c r="BG434" i="3"/>
  <c r="BF434" i="3"/>
  <c r="BE434" i="3"/>
  <c r="BD434" i="3"/>
  <c r="BC434" i="3"/>
  <c r="BB434" i="3"/>
  <c r="BA434" i="3" s="1"/>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A432" i="3" s="1"/>
  <c r="AZ432" i="3" s="1"/>
  <c r="BD432" i="3"/>
  <c r="BC432" i="3"/>
  <c r="BB432" i="3"/>
  <c r="AX432" i="3"/>
  <c r="AW432" i="3"/>
  <c r="AV432" i="3"/>
  <c r="AC432" i="3"/>
  <c r="H432" i="3"/>
  <c r="G432" i="3" s="1"/>
  <c r="BT431" i="3"/>
  <c r="BS431" i="3"/>
  <c r="BR431" i="3"/>
  <c r="BQ431" i="3"/>
  <c r="BP431" i="3"/>
  <c r="BL431" i="3" s="1"/>
  <c r="BO431" i="3"/>
  <c r="BN431" i="3"/>
  <c r="BM431" i="3"/>
  <c r="BK431" i="3"/>
  <c r="BJ431" i="3"/>
  <c r="BI431" i="3"/>
  <c r="BH431" i="3"/>
  <c r="BG431" i="3"/>
  <c r="BF431" i="3"/>
  <c r="BE431" i="3"/>
  <c r="BD431" i="3"/>
  <c r="BC431" i="3"/>
  <c r="BB431" i="3"/>
  <c r="BA431" i="3"/>
  <c r="AZ431" i="3" s="1"/>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A429" i="3" s="1"/>
  <c r="BF429" i="3"/>
  <c r="BE429" i="3"/>
  <c r="BD429" i="3"/>
  <c r="BC429" i="3"/>
  <c r="BB429" i="3"/>
  <c r="AX429" i="3"/>
  <c r="AW429" i="3"/>
  <c r="AV429" i="3"/>
  <c r="AC429" i="3"/>
  <c r="H429" i="3"/>
  <c r="G429" i="3"/>
  <c r="BT428" i="3"/>
  <c r="BS428" i="3"/>
  <c r="BR428" i="3"/>
  <c r="BL428" i="3" s="1"/>
  <c r="BQ428" i="3"/>
  <c r="BP428" i="3"/>
  <c r="BO428" i="3"/>
  <c r="BN428" i="3"/>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A426" i="3" s="1"/>
  <c r="BF426" i="3"/>
  <c r="BE426" i="3"/>
  <c r="BD426" i="3"/>
  <c r="BC426" i="3"/>
  <c r="BB426" i="3"/>
  <c r="AX426" i="3"/>
  <c r="AW426" i="3"/>
  <c r="AV426" i="3"/>
  <c r="AC426" i="3"/>
  <c r="H426" i="3"/>
  <c r="G426" i="3"/>
  <c r="BT425" i="3"/>
  <c r="BS425" i="3"/>
  <c r="BR425" i="3"/>
  <c r="BL425" i="3" s="1"/>
  <c r="BQ425" i="3"/>
  <c r="BP425" i="3"/>
  <c r="BO425" i="3"/>
  <c r="BN425" i="3"/>
  <c r="BM425" i="3"/>
  <c r="BK425" i="3"/>
  <c r="BJ425" i="3"/>
  <c r="BI425" i="3"/>
  <c r="BH425" i="3"/>
  <c r="BG425" i="3"/>
  <c r="BF425" i="3"/>
  <c r="BE425" i="3"/>
  <c r="BD425" i="3"/>
  <c r="BC425" i="3"/>
  <c r="BB425" i="3"/>
  <c r="BA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A423" i="3" s="1"/>
  <c r="AZ423" i="3" s="1"/>
  <c r="BG423" i="3"/>
  <c r="BF423" i="3"/>
  <c r="BE423" i="3"/>
  <c r="BD423" i="3"/>
  <c r="BC423" i="3"/>
  <c r="BB423" i="3"/>
  <c r="AX423" i="3"/>
  <c r="AW423" i="3"/>
  <c r="AV423" i="3"/>
  <c r="AC423" i="3"/>
  <c r="H423" i="3"/>
  <c r="G423" i="3"/>
  <c r="BT422" i="3"/>
  <c r="BS422" i="3"/>
  <c r="BL422" i="3" s="1"/>
  <c r="BR422" i="3"/>
  <c r="BQ422" i="3"/>
  <c r="BP422" i="3"/>
  <c r="BO422" i="3"/>
  <c r="BN422" i="3"/>
  <c r="BM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s="1"/>
  <c r="BK421" i="3"/>
  <c r="BJ421" i="3"/>
  <c r="BI421" i="3"/>
  <c r="BH421" i="3"/>
  <c r="BG421" i="3"/>
  <c r="BF421" i="3"/>
  <c r="BE421" i="3"/>
  <c r="BA421" i="3" s="1"/>
  <c r="BD421" i="3"/>
  <c r="BC421" i="3"/>
  <c r="BB421" i="3"/>
  <c r="AX421" i="3"/>
  <c r="AW421" i="3"/>
  <c r="AV421" i="3"/>
  <c r="AC421" i="3"/>
  <c r="H421" i="3"/>
  <c r="G421" i="3" s="1"/>
  <c r="BT420" i="3"/>
  <c r="BS420" i="3"/>
  <c r="BR420" i="3"/>
  <c r="BQ420" i="3"/>
  <c r="BP420" i="3"/>
  <c r="BL420" i="3" s="1"/>
  <c r="BO420" i="3"/>
  <c r="BN420" i="3"/>
  <c r="BM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A418" i="3" s="1"/>
  <c r="BG418" i="3"/>
  <c r="BF418" i="3"/>
  <c r="BE418" i="3"/>
  <c r="BD418" i="3"/>
  <c r="BC418" i="3"/>
  <c r="BB418" i="3"/>
  <c r="AX418" i="3"/>
  <c r="AW418" i="3"/>
  <c r="AV418" i="3"/>
  <c r="AC418" i="3"/>
  <c r="H418" i="3"/>
  <c r="G418" i="3"/>
  <c r="BT417" i="3"/>
  <c r="BS417" i="3"/>
  <c r="BR417" i="3"/>
  <c r="BL417" i="3" s="1"/>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s="1"/>
  <c r="BT415" i="3"/>
  <c r="BS415" i="3"/>
  <c r="BR415" i="3"/>
  <c r="BQ415" i="3"/>
  <c r="BP415" i="3"/>
  <c r="BO415" i="3"/>
  <c r="BN415" i="3"/>
  <c r="BM415" i="3"/>
  <c r="BL415" i="3" s="1"/>
  <c r="BK415" i="3"/>
  <c r="BJ415" i="3"/>
  <c r="BI415" i="3"/>
  <c r="BH415" i="3"/>
  <c r="BG415" i="3"/>
  <c r="BA415" i="3" s="1"/>
  <c r="BF415" i="3"/>
  <c r="BE415" i="3"/>
  <c r="BD415" i="3"/>
  <c r="BC415" i="3"/>
  <c r="BB415" i="3"/>
  <c r="AX415" i="3"/>
  <c r="AW415" i="3"/>
  <c r="AV415" i="3"/>
  <c r="AC415" i="3"/>
  <c r="H415" i="3"/>
  <c r="G415" i="3"/>
  <c r="BT414" i="3"/>
  <c r="BS414" i="3"/>
  <c r="BR414" i="3"/>
  <c r="BL414" i="3" s="1"/>
  <c r="BQ414" i="3"/>
  <c r="BP414" i="3"/>
  <c r="BO414" i="3"/>
  <c r="BN414" i="3"/>
  <c r="BM414" i="3"/>
  <c r="BK414" i="3"/>
  <c r="BJ414" i="3"/>
  <c r="BI414" i="3"/>
  <c r="BH414" i="3"/>
  <c r="BG414" i="3"/>
  <c r="BF414" i="3"/>
  <c r="BE414" i="3"/>
  <c r="BD414" i="3"/>
  <c r="BC414" i="3"/>
  <c r="BB414" i="3"/>
  <c r="BA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A413" i="3" s="1"/>
  <c r="BB413" i="3"/>
  <c r="AX413" i="3"/>
  <c r="AW413" i="3"/>
  <c r="AV413" i="3"/>
  <c r="AC413" i="3"/>
  <c r="H413" i="3"/>
  <c r="G413" i="3" s="1"/>
  <c r="BT412" i="3"/>
  <c r="BS412" i="3"/>
  <c r="BR412" i="3"/>
  <c r="BQ412" i="3"/>
  <c r="BP412" i="3"/>
  <c r="BO412" i="3"/>
  <c r="BN412" i="3"/>
  <c r="BL412" i="3" s="1"/>
  <c r="BM412" i="3"/>
  <c r="BK412" i="3"/>
  <c r="BJ412" i="3"/>
  <c r="BI412" i="3"/>
  <c r="BH412" i="3"/>
  <c r="BA412" i="3" s="1"/>
  <c r="BG412" i="3"/>
  <c r="BF412" i="3"/>
  <c r="BE412" i="3"/>
  <c r="BD412" i="3"/>
  <c r="BC412" i="3"/>
  <c r="BB412" i="3"/>
  <c r="AX412" i="3"/>
  <c r="AW412" i="3"/>
  <c r="AV412" i="3"/>
  <c r="AC412" i="3"/>
  <c r="H412" i="3"/>
  <c r="G412" i="3"/>
  <c r="BT411" i="3"/>
  <c r="BS411" i="3"/>
  <c r="BR411" i="3"/>
  <c r="BL411" i="3" s="1"/>
  <c r="BQ411" i="3"/>
  <c r="BP411" i="3"/>
  <c r="BO411" i="3"/>
  <c r="BN411" i="3"/>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A410" i="3" s="1"/>
  <c r="AZ410" i="3" s="1"/>
  <c r="BB410" i="3"/>
  <c r="AX410" i="3"/>
  <c r="AW410" i="3"/>
  <c r="AV410" i="3"/>
  <c r="AC410" i="3"/>
  <c r="H410" i="3"/>
  <c r="G410" i="3" s="1"/>
  <c r="BT409" i="3"/>
  <c r="BS409" i="3"/>
  <c r="BR409" i="3"/>
  <c r="BQ409" i="3"/>
  <c r="BP409" i="3"/>
  <c r="BO409" i="3"/>
  <c r="BN409" i="3"/>
  <c r="BL409" i="3" s="1"/>
  <c r="BM409" i="3"/>
  <c r="BK409" i="3"/>
  <c r="BJ409" i="3"/>
  <c r="BI409" i="3"/>
  <c r="BH409" i="3"/>
  <c r="BA409" i="3" s="1"/>
  <c r="AZ409" i="3" s="1"/>
  <c r="BG409" i="3"/>
  <c r="BF409" i="3"/>
  <c r="BE409" i="3"/>
  <c r="BD409" i="3"/>
  <c r="BC409" i="3"/>
  <c r="BB409" i="3"/>
  <c r="AX409" i="3"/>
  <c r="AW409" i="3"/>
  <c r="AV409" i="3"/>
  <c r="AC409" i="3"/>
  <c r="H409" i="3"/>
  <c r="G409" i="3"/>
  <c r="BT408" i="3"/>
  <c r="BS408" i="3"/>
  <c r="BL408" i="3" s="1"/>
  <c r="BR408" i="3"/>
  <c r="BQ408" i="3"/>
  <c r="BP408" i="3"/>
  <c r="BO408" i="3"/>
  <c r="BN408" i="3"/>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A407" i="3" s="1"/>
  <c r="AZ407" i="3" s="1"/>
  <c r="BB407" i="3"/>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c r="AZ406" i="3" s="1"/>
  <c r="AX406" i="3"/>
  <c r="AW406" i="3"/>
  <c r="AV406" i="3"/>
  <c r="AC406" i="3"/>
  <c r="H406" i="3"/>
  <c r="G406" i="3"/>
  <c r="BT405" i="3"/>
  <c r="BS405" i="3"/>
  <c r="BL405" i="3" s="1"/>
  <c r="BR405" i="3"/>
  <c r="BQ405" i="3"/>
  <c r="BP405" i="3"/>
  <c r="BO405" i="3"/>
  <c r="BN405" i="3"/>
  <c r="BM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A404" i="3" s="1"/>
  <c r="BD404" i="3"/>
  <c r="BC404" i="3"/>
  <c r="BB404" i="3"/>
  <c r="AX404" i="3"/>
  <c r="AW404" i="3"/>
  <c r="AV404" i="3"/>
  <c r="AC404" i="3"/>
  <c r="G404" i="3" s="1"/>
  <c r="H404" i="3"/>
  <c r="BT403" i="3"/>
  <c r="BS403" i="3"/>
  <c r="BR403" i="3"/>
  <c r="BQ403" i="3"/>
  <c r="BP403" i="3"/>
  <c r="BL403" i="3" s="1"/>
  <c r="BO403" i="3"/>
  <c r="BN403" i="3"/>
  <c r="BM403" i="3"/>
  <c r="BK403" i="3"/>
  <c r="BJ403" i="3"/>
  <c r="BI403" i="3"/>
  <c r="BH403" i="3"/>
  <c r="BG403" i="3"/>
  <c r="BF403" i="3"/>
  <c r="BE403" i="3"/>
  <c r="BD403" i="3"/>
  <c r="BC403" i="3"/>
  <c r="BB403" i="3"/>
  <c r="BA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A402" i="3" s="1"/>
  <c r="AZ402" i="3" s="1"/>
  <c r="BB402" i="3"/>
  <c r="AX402" i="3"/>
  <c r="AW402" i="3"/>
  <c r="AV402" i="3"/>
  <c r="AC402" i="3"/>
  <c r="H402" i="3"/>
  <c r="G402" i="3" s="1"/>
  <c r="BT401" i="3"/>
  <c r="BS401" i="3"/>
  <c r="BR401" i="3"/>
  <c r="BQ401" i="3"/>
  <c r="BP401" i="3"/>
  <c r="BO401" i="3"/>
  <c r="BN401" i="3"/>
  <c r="BM401" i="3"/>
  <c r="BL401" i="3" s="1"/>
  <c r="BK401" i="3"/>
  <c r="BJ401" i="3"/>
  <c r="BI401" i="3"/>
  <c r="BH401" i="3"/>
  <c r="BG401" i="3"/>
  <c r="BA401" i="3" s="1"/>
  <c r="BF401" i="3"/>
  <c r="BE401" i="3"/>
  <c r="BD401" i="3"/>
  <c r="BC401" i="3"/>
  <c r="BB401" i="3"/>
  <c r="AX401" i="3"/>
  <c r="AW401" i="3"/>
  <c r="AV401" i="3"/>
  <c r="AC401" i="3"/>
  <c r="G401" i="3" s="1"/>
  <c r="H401" i="3"/>
  <c r="BT400" i="3"/>
  <c r="BS400" i="3"/>
  <c r="BR400" i="3"/>
  <c r="BQ400" i="3"/>
  <c r="BP400" i="3"/>
  <c r="BL400" i="3" s="1"/>
  <c r="BO400" i="3"/>
  <c r="BN400" i="3"/>
  <c r="BM400" i="3"/>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A398" i="3" s="1"/>
  <c r="AZ398" i="3" s="1"/>
  <c r="BF398" i="3"/>
  <c r="BE398" i="3"/>
  <c r="BD398" i="3"/>
  <c r="BC398" i="3"/>
  <c r="BB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A550" i="3" s="1"/>
  <c r="BK550" i="3"/>
  <c r="BM550" i="3"/>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W31" i="35" s="1"/>
  <c r="H31" i="35"/>
  <c r="F31" i="35"/>
  <c r="D87" i="35"/>
  <c r="E87" i="35"/>
  <c r="F87" i="35" s="1"/>
  <c r="G87" i="35" s="1"/>
  <c r="H87" i="35" s="1"/>
  <c r="I87" i="35" s="1"/>
  <c r="J87" i="35"/>
  <c r="K87" i="35" s="1"/>
  <c r="L87" i="35" s="1"/>
  <c r="M87" i="35"/>
  <c r="H34" i="37"/>
  <c r="D101" i="37"/>
  <c r="F34" i="37"/>
  <c r="D99" i="37"/>
  <c r="E99" i="37"/>
  <c r="F99" i="37"/>
  <c r="G99" i="37" s="1"/>
  <c r="H99" i="37" s="1"/>
  <c r="I99" i="37"/>
  <c r="J99" i="37"/>
  <c r="K99" i="37" s="1"/>
  <c r="L99" i="37" s="1"/>
  <c r="M99" i="37" s="1"/>
  <c r="H42" i="34"/>
  <c r="J42" i="34"/>
  <c r="W42" i="34"/>
  <c r="F42" i="34"/>
  <c r="J38" i="34"/>
  <c r="W38" i="34" s="1"/>
  <c r="D114" i="34"/>
  <c r="F38" i="34"/>
  <c r="S38" i="34"/>
  <c r="D112" i="34"/>
  <c r="E112" i="34"/>
  <c r="F112" i="34"/>
  <c r="G112" i="34"/>
  <c r="H112" i="34" s="1"/>
  <c r="I112" i="34" s="1"/>
  <c r="J112" i="34" s="1"/>
  <c r="K112" i="34" s="1"/>
  <c r="L112" i="34" s="1"/>
  <c r="M112" i="34" s="1"/>
  <c r="F40" i="33"/>
  <c r="J41" i="33"/>
  <c r="W41" i="33" s="1"/>
  <c r="D113" i="33"/>
  <c r="F37" i="33"/>
  <c r="D111" i="33"/>
  <c r="E111" i="33" s="1"/>
  <c r="F111" i="33" s="1"/>
  <c r="S515" i="31"/>
  <c r="S516" i="31"/>
  <c r="S517" i="31"/>
  <c r="S518" i="31"/>
  <c r="S519" i="31"/>
  <c r="S520" i="31"/>
  <c r="S521" i="31"/>
  <c r="S522" i="31"/>
  <c r="S523" i="31"/>
  <c r="S524" i="31"/>
  <c r="F41" i="21"/>
  <c r="J41" i="21"/>
  <c r="AC41" i="21"/>
  <c r="H41" i="21"/>
  <c r="U41" i="21" s="1"/>
  <c r="D80" i="39"/>
  <c r="E80" i="39" s="1"/>
  <c r="F80" i="39" s="1"/>
  <c r="G80" i="39" s="1"/>
  <c r="H80" i="39" s="1"/>
  <c r="I80" i="39" s="1"/>
  <c r="J80" i="39" s="1"/>
  <c r="K80" i="39" s="1"/>
  <c r="L80" i="39" s="1"/>
  <c r="M80" i="39" s="1"/>
  <c r="D76" i="40"/>
  <c r="E76" i="40"/>
  <c r="F76" i="40" s="1"/>
  <c r="G76" i="40"/>
  <c r="H76" i="40" s="1"/>
  <c r="I76" i="40" s="1"/>
  <c r="J76" i="40" s="1"/>
  <c r="K76" i="40" s="1"/>
  <c r="L76" i="40" s="1"/>
  <c r="M76" i="40" s="1"/>
  <c r="B120" i="40"/>
  <c r="F40" i="40" s="1"/>
  <c r="AA40" i="40" s="1"/>
  <c r="B118" i="40"/>
  <c r="J39" i="40"/>
  <c r="B116" i="40"/>
  <c r="D115" i="40"/>
  <c r="E115" i="40"/>
  <c r="F115" i="40"/>
  <c r="G115" i="40" s="1"/>
  <c r="H115" i="40" s="1"/>
  <c r="I115" i="40" s="1"/>
  <c r="J115" i="40" s="1"/>
  <c r="K115" i="40" s="1"/>
  <c r="L115" i="40" s="1"/>
  <c r="M115" i="40" s="1"/>
  <c r="D113" i="40"/>
  <c r="E113" i="40" s="1"/>
  <c r="F113" i="40"/>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c r="B103" i="40"/>
  <c r="J32" i="40"/>
  <c r="AC32" i="40"/>
  <c r="B101" i="40"/>
  <c r="J31" i="40" s="1"/>
  <c r="AC31" i="40" s="1"/>
  <c r="D100" i="40"/>
  <c r="E100" i="40"/>
  <c r="F100" i="40" s="1"/>
  <c r="G100" i="40"/>
  <c r="H100" i="40" s="1"/>
  <c r="I100" i="40" s="1"/>
  <c r="J100" i="40" s="1"/>
  <c r="K100" i="40" s="1"/>
  <c r="L100" i="40" s="1"/>
  <c r="M100" i="40" s="1"/>
  <c r="D98" i="40"/>
  <c r="J28" i="40"/>
  <c r="AC28" i="40" s="1"/>
  <c r="D96" i="40"/>
  <c r="E96" i="40" s="1"/>
  <c r="F96" i="40" s="1"/>
  <c r="G96" i="40" s="1"/>
  <c r="H96" i="40"/>
  <c r="I96" i="40" s="1"/>
  <c r="J96" i="40"/>
  <c r="K96" i="40" s="1"/>
  <c r="L96" i="40" s="1"/>
  <c r="M96" i="40" s="1"/>
  <c r="B95" i="40"/>
  <c r="D92" i="40"/>
  <c r="E92" i="40"/>
  <c r="F92" i="40" s="1"/>
  <c r="G92" i="40" s="1"/>
  <c r="D90" i="40"/>
  <c r="E90" i="40" s="1"/>
  <c r="F90" i="40" s="1"/>
  <c r="G90" i="40" s="1"/>
  <c r="D88" i="40"/>
  <c r="E88" i="40"/>
  <c r="D86" i="40"/>
  <c r="E86" i="40"/>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s="1"/>
  <c r="H40" i="40"/>
  <c r="AB40" i="40" s="1"/>
  <c r="Q39" i="40"/>
  <c r="Z39" i="40"/>
  <c r="H39" i="40"/>
  <c r="U39" i="40" s="1"/>
  <c r="Q38" i="40"/>
  <c r="Z38" i="40" s="1"/>
  <c r="Q37" i="40"/>
  <c r="Z37" i="40" s="1"/>
  <c r="Q36" i="40"/>
  <c r="Z36" i="40" s="1"/>
  <c r="Q35" i="40"/>
  <c r="Z35" i="40" s="1"/>
  <c r="Q34" i="40"/>
  <c r="Z34" i="40"/>
  <c r="J34" i="40"/>
  <c r="AC34" i="40" s="1"/>
  <c r="H34" i="40"/>
  <c r="AB34" i="40"/>
  <c r="F34" i="40"/>
  <c r="AA34" i="40" s="1"/>
  <c r="Q33" i="40"/>
  <c r="Z33" i="40"/>
  <c r="Q32" i="40"/>
  <c r="Z32" i="40" s="1"/>
  <c r="Q31" i="40"/>
  <c r="Z31" i="40"/>
  <c r="Q30" i="40"/>
  <c r="Z30" i="40" s="1"/>
  <c r="Q28" i="40"/>
  <c r="Z28" i="40"/>
  <c r="Q27" i="40"/>
  <c r="Z27" i="40" s="1"/>
  <c r="Q23" i="40"/>
  <c r="Z23" i="40"/>
  <c r="Q21" i="40"/>
  <c r="Z21" i="40" s="1"/>
  <c r="Q19" i="40"/>
  <c r="Z19" i="40"/>
  <c r="Q17" i="40"/>
  <c r="Z17" i="40" s="1"/>
  <c r="Q15" i="40"/>
  <c r="Z15" i="40" s="1"/>
  <c r="Q14" i="40"/>
  <c r="Z14" i="40" s="1"/>
  <c r="Q13" i="40"/>
  <c r="Z13" i="40"/>
  <c r="Q12" i="40"/>
  <c r="Z12" i="40" s="1"/>
  <c r="Q11" i="40"/>
  <c r="Z11" i="40"/>
  <c r="Q10" i="40"/>
  <c r="Z10" i="40" s="1"/>
  <c r="Q9" i="40"/>
  <c r="Z9" i="40"/>
  <c r="J9" i="40"/>
  <c r="W9" i="40" s="1"/>
  <c r="H9" i="40"/>
  <c r="AB9" i="40"/>
  <c r="F9" i="40"/>
  <c r="S9" i="40" s="1"/>
  <c r="J8" i="40"/>
  <c r="AC8" i="40"/>
  <c r="H8" i="40"/>
  <c r="AB8" i="40" s="1"/>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s="1"/>
  <c r="Q10" i="39"/>
  <c r="Z10" i="39"/>
  <c r="Q9" i="39"/>
  <c r="Z9" i="39" s="1"/>
  <c r="J9" i="39"/>
  <c r="AC9" i="39"/>
  <c r="H9" i="39"/>
  <c r="AB9" i="39" s="1"/>
  <c r="F9" i="39"/>
  <c r="AA9" i="39" s="1"/>
  <c r="J8" i="39"/>
  <c r="AC8" i="39" s="1"/>
  <c r="H8" i="39"/>
  <c r="U8" i="39" s="1"/>
  <c r="F8" i="39"/>
  <c r="AA8" i="39" s="1"/>
  <c r="C20" i="36"/>
  <c r="C20" i="35"/>
  <c r="C16" i="36"/>
  <c r="C16" i="35"/>
  <c r="C14" i="36"/>
  <c r="C14" i="35"/>
  <c r="B80" i="37"/>
  <c r="J25" i="37" s="1"/>
  <c r="AC25" i="37" s="1"/>
  <c r="H25" i="37"/>
  <c r="U25" i="37" s="1"/>
  <c r="B110" i="37"/>
  <c r="J39" i="37"/>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J26" i="37" s="1"/>
  <c r="AC26" i="37" s="1"/>
  <c r="D79" i="37"/>
  <c r="E79" i="37"/>
  <c r="D75" i="37"/>
  <c r="E75" i="37" s="1"/>
  <c r="D73" i="37"/>
  <c r="E73" i="37"/>
  <c r="F73" i="37" s="1"/>
  <c r="D71" i="37"/>
  <c r="H15" i="37"/>
  <c r="AB15" i="37"/>
  <c r="B68" i="37"/>
  <c r="H14" i="37" s="1"/>
  <c r="AB14" i="37"/>
  <c r="B66" i="37"/>
  <c r="B64" i="37"/>
  <c r="D63" i="37"/>
  <c r="E63" i="37" s="1"/>
  <c r="M61" i="37"/>
  <c r="L61" i="37"/>
  <c r="K61" i="37"/>
  <c r="J61" i="37"/>
  <c r="I61" i="37"/>
  <c r="H61" i="37"/>
  <c r="G61" i="37"/>
  <c r="F61" i="37"/>
  <c r="E61" i="37"/>
  <c r="D61" i="37"/>
  <c r="C61" i="37"/>
  <c r="C57" i="37"/>
  <c r="P43" i="37"/>
  <c r="P42" i="37"/>
  <c r="V41" i="37"/>
  <c r="T41" i="37"/>
  <c r="R41" i="37"/>
  <c r="P41" i="37"/>
  <c r="Q40" i="37"/>
  <c r="Z40" i="37"/>
  <c r="Q39" i="37"/>
  <c r="Z39" i="37" s="1"/>
  <c r="Q38" i="37"/>
  <c r="Z38" i="37" s="1"/>
  <c r="Q37" i="37"/>
  <c r="Z37" i="37"/>
  <c r="Q36" i="37"/>
  <c r="Z36" i="37"/>
  <c r="Q35" i="37"/>
  <c r="Z35" i="37"/>
  <c r="Q34" i="37"/>
  <c r="Z34" i="37" s="1"/>
  <c r="Q33" i="37"/>
  <c r="Z33" i="37"/>
  <c r="Q32" i="37"/>
  <c r="Z32" i="37"/>
  <c r="Q31" i="37"/>
  <c r="Z31" i="37" s="1"/>
  <c r="J31" i="37"/>
  <c r="AC31" i="37" s="1"/>
  <c r="Q30" i="37"/>
  <c r="Z30" i="37"/>
  <c r="J30" i="37"/>
  <c r="AC30" i="37" s="1"/>
  <c r="H30" i="37"/>
  <c r="AB30" i="37" s="1"/>
  <c r="F30" i="37"/>
  <c r="AA30" i="37" s="1"/>
  <c r="Q29" i="37"/>
  <c r="Z29" i="37" s="1"/>
  <c r="H29" i="37"/>
  <c r="AB29" i="37" s="1"/>
  <c r="Q28" i="37"/>
  <c r="Z28" i="37" s="1"/>
  <c r="Q27" i="37"/>
  <c r="Z27" i="37"/>
  <c r="Q26" i="37"/>
  <c r="Z26" i="37" s="1"/>
  <c r="H26" i="37"/>
  <c r="AB26" i="37" s="1"/>
  <c r="F26" i="37"/>
  <c r="AA26" i="37" s="1"/>
  <c r="Q25" i="37"/>
  <c r="Z25" i="37" s="1"/>
  <c r="Q23" i="37"/>
  <c r="Z23" i="37"/>
  <c r="Q19" i="37"/>
  <c r="Z19" i="37" s="1"/>
  <c r="Q17" i="37"/>
  <c r="Z17" i="37" s="1"/>
  <c r="Q15" i="37"/>
  <c r="Z15" i="37" s="1"/>
  <c r="Q14" i="37"/>
  <c r="Z14" i="37" s="1"/>
  <c r="Q13" i="37"/>
  <c r="Z13" i="37" s="1"/>
  <c r="Q12" i="37"/>
  <c r="Z12" i="37" s="1"/>
  <c r="Q11" i="37"/>
  <c r="Z11" i="37" s="1"/>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c r="F83" i="36"/>
  <c r="G83" i="36" s="1"/>
  <c r="H83" i="36" s="1"/>
  <c r="I83" i="36" s="1"/>
  <c r="J83" i="36" s="1"/>
  <c r="K83" i="36" s="1"/>
  <c r="L83" i="36" s="1"/>
  <c r="M83" i="36" s="1"/>
  <c r="D78" i="36"/>
  <c r="E78" i="36" s="1"/>
  <c r="F78" i="36" s="1"/>
  <c r="G78" i="36" s="1"/>
  <c r="H78" i="36" s="1"/>
  <c r="I78" i="36" s="1"/>
  <c r="J78" i="36" s="1"/>
  <c r="K78" i="36" s="1"/>
  <c r="L78" i="36" s="1"/>
  <c r="M78" i="36" s="1"/>
  <c r="B75" i="36"/>
  <c r="B73" i="36"/>
  <c r="H24" i="36" s="1"/>
  <c r="AB24" i="36" s="1"/>
  <c r="B71" i="36"/>
  <c r="J23" i="36" s="1"/>
  <c r="D70" i="36"/>
  <c r="H22" i="36"/>
  <c r="AB22" i="36" s="1"/>
  <c r="D68" i="36"/>
  <c r="E68" i="36"/>
  <c r="F68" i="36" s="1"/>
  <c r="G68" i="36" s="1"/>
  <c r="D64" i="36"/>
  <c r="E64" i="36"/>
  <c r="F64" i="36"/>
  <c r="G64" i="36" s="1"/>
  <c r="J16" i="36"/>
  <c r="W16" i="36" s="1"/>
  <c r="D62" i="36"/>
  <c r="E62" i="36" s="1"/>
  <c r="F62" i="36" s="1"/>
  <c r="G62" i="36" s="1"/>
  <c r="B59" i="36"/>
  <c r="B57" i="36"/>
  <c r="J12" i="36"/>
  <c r="B55" i="36"/>
  <c r="C51" i="36"/>
  <c r="P37" i="36"/>
  <c r="P36" i="36"/>
  <c r="V35" i="36"/>
  <c r="T35" i="36"/>
  <c r="R35" i="36"/>
  <c r="P35" i="36"/>
  <c r="Q34" i="36"/>
  <c r="Z34" i="36" s="1"/>
  <c r="Q33" i="36"/>
  <c r="Z33" i="36" s="1"/>
  <c r="Q32" i="36"/>
  <c r="Z32" i="36"/>
  <c r="Q31" i="36"/>
  <c r="Z31" i="36"/>
  <c r="Q30" i="36"/>
  <c r="Z30" i="36" s="1"/>
  <c r="Q29" i="36"/>
  <c r="Z29" i="36"/>
  <c r="Q28" i="36"/>
  <c r="Z28" i="36" s="1"/>
  <c r="J28" i="36"/>
  <c r="AC28" i="36" s="1"/>
  <c r="Q27" i="36"/>
  <c r="Z27" i="36" s="1"/>
  <c r="Q26" i="36"/>
  <c r="Z26" i="36" s="1"/>
  <c r="H26" i="36"/>
  <c r="AB26" i="36"/>
  <c r="Q25" i="36"/>
  <c r="Z25" i="36"/>
  <c r="Q24" i="36"/>
  <c r="Z24" i="36"/>
  <c r="Q23" i="36"/>
  <c r="Z23" i="36"/>
  <c r="AC23" i="36"/>
  <c r="H23" i="36"/>
  <c r="AB23" i="36"/>
  <c r="F23" i="36"/>
  <c r="AA23" i="36" s="1"/>
  <c r="Q22" i="36"/>
  <c r="Z22" i="36"/>
  <c r="J22" i="36"/>
  <c r="AC22" i="36"/>
  <c r="Q20" i="36"/>
  <c r="Z20" i="36" s="1"/>
  <c r="Q16" i="36"/>
  <c r="Z16" i="36" s="1"/>
  <c r="Q14" i="36"/>
  <c r="Z14" i="36"/>
  <c r="Q13" i="36"/>
  <c r="Z13" i="36"/>
  <c r="Q12" i="36"/>
  <c r="Z12" i="36" s="1"/>
  <c r="H12" i="36"/>
  <c r="U12" i="36" s="1"/>
  <c r="Q11" i="36"/>
  <c r="Z11" i="36"/>
  <c r="Q10" i="36"/>
  <c r="Z10" i="36"/>
  <c r="F10" i="36"/>
  <c r="AA10" i="36" s="1"/>
  <c r="Q9" i="36"/>
  <c r="Z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c r="F27" i="35"/>
  <c r="AA27" i="35" s="1"/>
  <c r="J22" i="35"/>
  <c r="AC22" i="35" s="1"/>
  <c r="B101" i="35"/>
  <c r="B99" i="35"/>
  <c r="B97" i="35"/>
  <c r="B77" i="35"/>
  <c r="B75" i="35"/>
  <c r="J24" i="35"/>
  <c r="AC24" i="35"/>
  <c r="B73" i="35"/>
  <c r="H23" i="35" s="1"/>
  <c r="U23" i="35" s="1"/>
  <c r="B57" i="35"/>
  <c r="B61" i="35"/>
  <c r="B59" i="35"/>
  <c r="B131" i="34"/>
  <c r="B129" i="34"/>
  <c r="B127" i="34"/>
  <c r="B99" i="34"/>
  <c r="B97" i="34"/>
  <c r="B95" i="34"/>
  <c r="B93" i="34"/>
  <c r="B75" i="34"/>
  <c r="B73" i="34"/>
  <c r="B71" i="34"/>
  <c r="F12" i="34" s="1"/>
  <c r="S12" i="34" s="1"/>
  <c r="B130" i="33"/>
  <c r="B128" i="33"/>
  <c r="B126" i="33"/>
  <c r="B98" i="33"/>
  <c r="B96" i="33"/>
  <c r="B94" i="33"/>
  <c r="B74" i="33"/>
  <c r="B72" i="33"/>
  <c r="B70" i="33"/>
  <c r="J12" i="33" s="1"/>
  <c r="D96" i="35"/>
  <c r="E96" i="35"/>
  <c r="F96" i="35" s="1"/>
  <c r="G96" i="35"/>
  <c r="D94" i="35"/>
  <c r="E94" i="35" s="1"/>
  <c r="F94" i="35" s="1"/>
  <c r="G94" i="35" s="1"/>
  <c r="H94" i="35" s="1"/>
  <c r="I94" i="35" s="1"/>
  <c r="J94" i="35" s="1"/>
  <c r="K94" i="35" s="1"/>
  <c r="L94" i="35" s="1"/>
  <c r="M94" i="35" s="1"/>
  <c r="D84" i="35"/>
  <c r="E84" i="35" s="1"/>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s="1"/>
  <c r="D70" i="35"/>
  <c r="E70" i="35" s="1"/>
  <c r="F70" i="35" s="1"/>
  <c r="G70" i="35" s="1"/>
  <c r="D66" i="35"/>
  <c r="E66" i="35"/>
  <c r="F66" i="35" s="1"/>
  <c r="G66" i="35" s="1"/>
  <c r="D64" i="35"/>
  <c r="E64" i="35" s="1"/>
  <c r="F64" i="35" s="1"/>
  <c r="G64" i="35"/>
  <c r="J14" i="35"/>
  <c r="W14" i="35"/>
  <c r="C53" i="35"/>
  <c r="J9" i="35" s="1"/>
  <c r="P39" i="35"/>
  <c r="P38" i="35"/>
  <c r="V37" i="35"/>
  <c r="T37" i="35"/>
  <c r="R37" i="35"/>
  <c r="P37" i="35"/>
  <c r="Q36" i="35"/>
  <c r="Z36" i="35" s="1"/>
  <c r="Q35" i="35"/>
  <c r="Z35" i="35"/>
  <c r="Q34" i="35"/>
  <c r="Z34" i="35"/>
  <c r="J34" i="35"/>
  <c r="AC34" i="35" s="1"/>
  <c r="Q33" i="35"/>
  <c r="Z33" i="35" s="1"/>
  <c r="Q32" i="35"/>
  <c r="Z32" i="35" s="1"/>
  <c r="H32" i="35"/>
  <c r="AB32" i="35" s="1"/>
  <c r="F32" i="35"/>
  <c r="AA32" i="35" s="1"/>
  <c r="Q31" i="35"/>
  <c r="Z31" i="35"/>
  <c r="AC31" i="35"/>
  <c r="AB31" i="35"/>
  <c r="AA31" i="35"/>
  <c r="Q30" i="35"/>
  <c r="Z30" i="35" s="1"/>
  <c r="Q29" i="35"/>
  <c r="Z29" i="35"/>
  <c r="Q28" i="35"/>
  <c r="Z28" i="35"/>
  <c r="J28" i="35"/>
  <c r="AC28" i="35" s="1"/>
  <c r="H28" i="35"/>
  <c r="AB28" i="35" s="1"/>
  <c r="F28" i="35"/>
  <c r="AA28" i="35" s="1"/>
  <c r="Q27" i="35"/>
  <c r="Z27" i="35"/>
  <c r="Q26" i="35"/>
  <c r="Z26" i="35"/>
  <c r="Q25" i="35"/>
  <c r="Z25" i="35" s="1"/>
  <c r="Q24" i="35"/>
  <c r="Z24" i="35" s="1"/>
  <c r="Q23" i="35"/>
  <c r="Z23" i="35" s="1"/>
  <c r="J23" i="35"/>
  <c r="AC23" i="35"/>
  <c r="Q22" i="35"/>
  <c r="Z22" i="35" s="1"/>
  <c r="Q20" i="35"/>
  <c r="Z20" i="35" s="1"/>
  <c r="Q16" i="35"/>
  <c r="Z16" i="35" s="1"/>
  <c r="Q14" i="35"/>
  <c r="Z14" i="35" s="1"/>
  <c r="Q13" i="35"/>
  <c r="Z13" i="35" s="1"/>
  <c r="Q12" i="35"/>
  <c r="Z12" i="35" s="1"/>
  <c r="J12" i="35"/>
  <c r="W12" i="35" s="1"/>
  <c r="H12" i="35"/>
  <c r="U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c r="F124" i="34" s="1"/>
  <c r="G124" i="34"/>
  <c r="H124" i="34" s="1"/>
  <c r="I124" i="34" s="1"/>
  <c r="J124" i="34" s="1"/>
  <c r="K124" i="34" s="1"/>
  <c r="L124" i="34" s="1"/>
  <c r="M124" i="34" s="1"/>
  <c r="H43" i="34"/>
  <c r="AB43" i="34"/>
  <c r="D118" i="34"/>
  <c r="E118" i="34"/>
  <c r="F118" i="34" s="1"/>
  <c r="G118" i="34" s="1"/>
  <c r="D116" i="34"/>
  <c r="E116" i="34"/>
  <c r="F116" i="34"/>
  <c r="G116" i="34"/>
  <c r="H116" i="34"/>
  <c r="I116" i="34"/>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c r="G107" i="34"/>
  <c r="H107" i="34"/>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c r="G86" i="34"/>
  <c r="D82" i="34"/>
  <c r="E82" i="34"/>
  <c r="F82" i="34" s="1"/>
  <c r="G82" i="34" s="1"/>
  <c r="D80" i="34"/>
  <c r="E80" i="34"/>
  <c r="F80" i="34"/>
  <c r="G80" i="34"/>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c r="Q43" i="34"/>
  <c r="Z43" i="34"/>
  <c r="Q42" i="34"/>
  <c r="Z42" i="34" s="1"/>
  <c r="Q41" i="34"/>
  <c r="Z41" i="34"/>
  <c r="Q40" i="34"/>
  <c r="Z40" i="34"/>
  <c r="Q39" i="34"/>
  <c r="Z39" i="34"/>
  <c r="H39" i="34"/>
  <c r="AB39" i="34" s="1"/>
  <c r="Q38" i="34"/>
  <c r="Z38" i="34"/>
  <c r="Q37" i="34"/>
  <c r="Z37" i="34"/>
  <c r="Q36" i="34"/>
  <c r="Z36" i="34"/>
  <c r="Q35" i="34"/>
  <c r="Z35" i="34" s="1"/>
  <c r="Q34" i="34"/>
  <c r="Z34" i="34"/>
  <c r="J34" i="34"/>
  <c r="AC34" i="34" s="1"/>
  <c r="H34" i="34"/>
  <c r="AB34" i="34" s="1"/>
  <c r="F34" i="34"/>
  <c r="AA34" i="34" s="1"/>
  <c r="Q33" i="34"/>
  <c r="Z33" i="34"/>
  <c r="Q32" i="34"/>
  <c r="Z32" i="34" s="1"/>
  <c r="Q31" i="34"/>
  <c r="Z31" i="34"/>
  <c r="Q30" i="34"/>
  <c r="Z30" i="34"/>
  <c r="Q29" i="34"/>
  <c r="Z29" i="34"/>
  <c r="Q28" i="34"/>
  <c r="Z28" i="34" s="1"/>
  <c r="Q27" i="34"/>
  <c r="Z27" i="34"/>
  <c r="Q25" i="34"/>
  <c r="Z25" i="34"/>
  <c r="Q23" i="34"/>
  <c r="Z23" i="34" s="1"/>
  <c r="C23" i="34"/>
  <c r="Q19" i="34"/>
  <c r="Z19" i="34"/>
  <c r="C19" i="34"/>
  <c r="Q17" i="34"/>
  <c r="Z17" i="34"/>
  <c r="C17" i="34"/>
  <c r="Q15" i="34"/>
  <c r="Z15" i="34"/>
  <c r="Q14" i="34"/>
  <c r="Z14" i="34"/>
  <c r="Q13" i="34"/>
  <c r="Z13" i="34" s="1"/>
  <c r="Q12" i="34"/>
  <c r="Z12" i="34"/>
  <c r="J12" i="34"/>
  <c r="W12" i="34" s="1"/>
  <c r="H12" i="34"/>
  <c r="Q11" i="34"/>
  <c r="Z11" i="34"/>
  <c r="Q10" i="34"/>
  <c r="Z10" i="34" s="1"/>
  <c r="F10" i="34"/>
  <c r="AA10" i="34" s="1"/>
  <c r="Q9" i="34"/>
  <c r="Z9" i="34" s="1"/>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c r="D85" i="33"/>
  <c r="E85" i="33"/>
  <c r="D81" i="33"/>
  <c r="E81" i="33" s="1"/>
  <c r="D79" i="33"/>
  <c r="E79" i="33" s="1"/>
  <c r="D77" i="33"/>
  <c r="E77" i="33"/>
  <c r="F77" i="33"/>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s="1"/>
  <c r="Q43" i="33"/>
  <c r="Z43" i="33"/>
  <c r="Q42" i="33"/>
  <c r="Z42" i="33"/>
  <c r="J42" i="33"/>
  <c r="AC42" i="33" s="1"/>
  <c r="AC41" i="33"/>
  <c r="Q41" i="33"/>
  <c r="Z41" i="33" s="1"/>
  <c r="Q40" i="33"/>
  <c r="Z40" i="33" s="1"/>
  <c r="J40" i="33"/>
  <c r="AC40" i="33" s="1"/>
  <c r="H40" i="33"/>
  <c r="AB40" i="33" s="1"/>
  <c r="AA40" i="33"/>
  <c r="Q39" i="33"/>
  <c r="Z39" i="33" s="1"/>
  <c r="J39" i="33"/>
  <c r="AC39" i="33" s="1"/>
  <c r="Q38" i="33"/>
  <c r="Z38" i="33" s="1"/>
  <c r="J38" i="33"/>
  <c r="AC38" i="33"/>
  <c r="H38" i="33"/>
  <c r="AB38" i="33" s="1"/>
  <c r="F38" i="33"/>
  <c r="AA38" i="33" s="1"/>
  <c r="Q37" i="33"/>
  <c r="Z37" i="33" s="1"/>
  <c r="Q36" i="33"/>
  <c r="Z36" i="33"/>
  <c r="Q35" i="33"/>
  <c r="Z35" i="33" s="1"/>
  <c r="H35" i="33"/>
  <c r="AB35" i="33" s="1"/>
  <c r="Q34" i="33"/>
  <c r="Z34" i="33" s="1"/>
  <c r="Q33" i="33"/>
  <c r="Z33" i="33"/>
  <c r="J33" i="33"/>
  <c r="AC33" i="33" s="1"/>
  <c r="H33" i="33"/>
  <c r="AB33" i="33" s="1"/>
  <c r="F33" i="33"/>
  <c r="AA33" i="33" s="1"/>
  <c r="Q32" i="33"/>
  <c r="Z32" i="33"/>
  <c r="Q31" i="33"/>
  <c r="Z31" i="33" s="1"/>
  <c r="Q30" i="33"/>
  <c r="Z30" i="33"/>
  <c r="Q29" i="33"/>
  <c r="Z29" i="33" s="1"/>
  <c r="Q28" i="33"/>
  <c r="Z28" i="33" s="1"/>
  <c r="Q27" i="33"/>
  <c r="Z27" i="33" s="1"/>
  <c r="Q26" i="33"/>
  <c r="Z26" i="33" s="1"/>
  <c r="Q25" i="33"/>
  <c r="Z25" i="33"/>
  <c r="Q23" i="33"/>
  <c r="Z23" i="33"/>
  <c r="Q19" i="33"/>
  <c r="Z19" i="33" s="1"/>
  <c r="Q17" i="33"/>
  <c r="Z17" i="33" s="1"/>
  <c r="Q15" i="33"/>
  <c r="Z15" i="33"/>
  <c r="F15" i="33"/>
  <c r="AA15" i="33" s="1"/>
  <c r="Q14" i="33"/>
  <c r="Z14" i="33" s="1"/>
  <c r="Q13" i="33"/>
  <c r="Z13" i="33" s="1"/>
  <c r="Q12" i="33"/>
  <c r="Z12" i="33"/>
  <c r="H12" i="33"/>
  <c r="U12" i="33" s="1"/>
  <c r="Q11" i="33"/>
  <c r="Z11" i="33"/>
  <c r="Q10" i="33"/>
  <c r="Z10" i="33"/>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c r="F125" i="21" s="1"/>
  <c r="G125" i="21" s="1"/>
  <c r="D123" i="21"/>
  <c r="E123" i="21" s="1"/>
  <c r="F123" i="21" s="1"/>
  <c r="F42" i="21"/>
  <c r="AA42" i="21" s="1"/>
  <c r="D119" i="21"/>
  <c r="F40" i="21"/>
  <c r="AA40" i="21"/>
  <c r="D117" i="21"/>
  <c r="E117" i="21" s="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c r="F106" i="2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s="1"/>
  <c r="B130" i="21"/>
  <c r="B128" i="21"/>
  <c r="J45" i="21" s="1"/>
  <c r="W45" i="21" s="1"/>
  <c r="B126" i="21"/>
  <c r="B98" i="21"/>
  <c r="H31" i="21"/>
  <c r="B96" i="21"/>
  <c r="B94" i="21"/>
  <c r="J29" i="21" s="1"/>
  <c r="AC29" i="21" s="1"/>
  <c r="B92" i="21"/>
  <c r="B90" i="21"/>
  <c r="J27" i="21" s="1"/>
  <c r="W27" i="21" s="1"/>
  <c r="B74" i="21"/>
  <c r="B72" i="21"/>
  <c r="H13" i="21" s="1"/>
  <c r="B70" i="21"/>
  <c r="F12" i="21"/>
  <c r="S12" i="21" s="1"/>
  <c r="C19" i="21"/>
  <c r="C17" i="21"/>
  <c r="C23" i="21"/>
  <c r="Q9" i="21"/>
  <c r="Z9" i="21"/>
  <c r="Q10" i="21"/>
  <c r="Z10" i="21" s="1"/>
  <c r="Q11" i="21"/>
  <c r="Z11" i="21"/>
  <c r="Q12" i="21"/>
  <c r="Z12" i="21"/>
  <c r="Q13" i="21"/>
  <c r="Z13" i="21"/>
  <c r="Q14" i="21"/>
  <c r="Z14" i="21" s="1"/>
  <c r="Q15" i="21"/>
  <c r="Z15" i="21"/>
  <c r="Q17" i="21"/>
  <c r="Z17" i="21"/>
  <c r="Q19" i="21"/>
  <c r="Z19" i="21"/>
  <c r="Q23" i="21"/>
  <c r="Z23" i="21" s="1"/>
  <c r="Q25" i="21"/>
  <c r="Z25" i="21"/>
  <c r="Q26" i="21"/>
  <c r="Z26" i="21"/>
  <c r="Q27" i="21"/>
  <c r="Z27" i="21"/>
  <c r="Q28" i="21"/>
  <c r="Z28" i="21" s="1"/>
  <c r="Q29" i="21"/>
  <c r="Z29" i="21"/>
  <c r="Q30" i="21"/>
  <c r="Z30" i="21"/>
  <c r="Q31" i="21"/>
  <c r="Z31" i="21"/>
  <c r="Q32" i="21"/>
  <c r="Z32" i="21" s="1"/>
  <c r="Q33" i="21"/>
  <c r="Z33" i="21"/>
  <c r="Q34" i="21"/>
  <c r="Z34" i="21"/>
  <c r="J35" i="21"/>
  <c r="W35" i="21"/>
  <c r="Q35" i="21"/>
  <c r="Z35" i="21" s="1"/>
  <c r="Q36" i="21"/>
  <c r="Z36" i="21"/>
  <c r="Q37" i="21"/>
  <c r="Z37" i="21"/>
  <c r="J38" i="21"/>
  <c r="W38" i="21"/>
  <c r="Q38" i="21"/>
  <c r="Z38" i="21" s="1"/>
  <c r="J39" i="21"/>
  <c r="AC39" i="21"/>
  <c r="Q39" i="21"/>
  <c r="Z39" i="21"/>
  <c r="H40" i="21"/>
  <c r="AB40" i="21"/>
  <c r="Q40" i="21"/>
  <c r="Z40" i="21" s="1"/>
  <c r="Q41" i="21"/>
  <c r="Z41" i="21"/>
  <c r="Q42" i="21"/>
  <c r="Z42" i="21"/>
  <c r="J43" i="21"/>
  <c r="AC43" i="21"/>
  <c r="Q43" i="21"/>
  <c r="Z43" i="21" s="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G585" i="3" s="1"/>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c r="J12" i="21"/>
  <c r="AC12" i="21" s="1"/>
  <c r="H12" i="21"/>
  <c r="AB12" i="21" s="1"/>
  <c r="J26" i="21"/>
  <c r="W26" i="21" s="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s="1"/>
  <c r="F16" i="36"/>
  <c r="AA16" i="36" s="1"/>
  <c r="W28" i="36"/>
  <c r="U31" i="36"/>
  <c r="J33" i="36"/>
  <c r="AC33" i="36" s="1"/>
  <c r="H22" i="35"/>
  <c r="AB22" i="35"/>
  <c r="AC27" i="35"/>
  <c r="W28" i="35"/>
  <c r="U31" i="35"/>
  <c r="W34" i="35"/>
  <c r="W22" i="35"/>
  <c r="S31" i="35"/>
  <c r="F36" i="34"/>
  <c r="J35" i="34"/>
  <c r="U34" i="34"/>
  <c r="H39" i="33"/>
  <c r="AB39" i="33"/>
  <c r="F26" i="33"/>
  <c r="AA26" i="33"/>
  <c r="U33" i="33"/>
  <c r="U35" i="33"/>
  <c r="S40" i="33"/>
  <c r="W33" i="33"/>
  <c r="W39" i="33"/>
  <c r="H39" i="37"/>
  <c r="AB39" i="37"/>
  <c r="S27" i="35"/>
  <c r="F11" i="40"/>
  <c r="AA11" i="40"/>
  <c r="H11" i="40"/>
  <c r="AB11" i="40"/>
  <c r="W8" i="40"/>
  <c r="AB39" i="40"/>
  <c r="AC40" i="40"/>
  <c r="AA9" i="40"/>
  <c r="AC9" i="40"/>
  <c r="U9" i="40"/>
  <c r="S34" i="40"/>
  <c r="S40" i="40"/>
  <c r="W31" i="40"/>
  <c r="U34" i="40"/>
  <c r="U40" i="40"/>
  <c r="F42" i="39"/>
  <c r="AA42" i="39" s="1"/>
  <c r="F41" i="39"/>
  <c r="S41" i="39" s="1"/>
  <c r="H40" i="39"/>
  <c r="AB40" i="39" s="1"/>
  <c r="H39" i="39"/>
  <c r="U39" i="39" s="1"/>
  <c r="S38" i="39"/>
  <c r="S34" i="39"/>
  <c r="H34" i="39"/>
  <c r="U34" i="39" s="1"/>
  <c r="E108" i="39"/>
  <c r="H31" i="39"/>
  <c r="AB31" i="39" s="1"/>
  <c r="F31" i="39"/>
  <c r="AA31" i="39" s="1"/>
  <c r="E100" i="39"/>
  <c r="H19" i="39"/>
  <c r="AB19" i="39" s="1"/>
  <c r="F19" i="39"/>
  <c r="AA19" i="39" s="1"/>
  <c r="H17" i="39"/>
  <c r="AB17" i="39" s="1"/>
  <c r="F17" i="39"/>
  <c r="AA17" i="39" s="1"/>
  <c r="J23" i="40"/>
  <c r="AC23" i="40"/>
  <c r="F21" i="40"/>
  <c r="AA21" i="40" s="1"/>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s="1"/>
  <c r="H36" i="40"/>
  <c r="AB36" i="40" s="1"/>
  <c r="F35" i="40"/>
  <c r="AA35" i="40"/>
  <c r="H23" i="40"/>
  <c r="AB23" i="40" s="1"/>
  <c r="H17" i="40"/>
  <c r="U17" i="40" s="1"/>
  <c r="J15" i="40"/>
  <c r="W15" i="40" s="1"/>
  <c r="J11" i="40"/>
  <c r="W11" i="40"/>
  <c r="AB8" i="39"/>
  <c r="AB12" i="33"/>
  <c r="AC12" i="34"/>
  <c r="AA12" i="34"/>
  <c r="AB12" i="35"/>
  <c r="AB12" i="36"/>
  <c r="W32" i="40"/>
  <c r="F37" i="39"/>
  <c r="AA37" i="39" s="1"/>
  <c r="J34" i="36"/>
  <c r="W34" i="36" s="1"/>
  <c r="U30" i="36"/>
  <c r="J30" i="35"/>
  <c r="W30" i="35" s="1"/>
  <c r="H30" i="35"/>
  <c r="AB30" i="35" s="1"/>
  <c r="F22" i="35"/>
  <c r="AA22" i="35"/>
  <c r="H10" i="35"/>
  <c r="U10" i="35" s="1"/>
  <c r="AC16" i="36"/>
  <c r="F33" i="36"/>
  <c r="AA33" i="36" s="1"/>
  <c r="W30" i="36"/>
  <c r="H16" i="36"/>
  <c r="AB16" i="36"/>
  <c r="E85"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c r="AA39" i="37"/>
  <c r="AB34" i="37"/>
  <c r="J33" i="37"/>
  <c r="AC33" i="37" s="1"/>
  <c r="U42" i="34"/>
  <c r="H40" i="34"/>
  <c r="U40" i="34"/>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c r="H15" i="40"/>
  <c r="AB15" i="40"/>
  <c r="AC11" i="40"/>
  <c r="S12" i="36"/>
  <c r="AA12" i="36"/>
  <c r="AB30" i="36"/>
  <c r="F29" i="35"/>
  <c r="S29" i="35" s="1"/>
  <c r="H29" i="35"/>
  <c r="AB29" i="35" s="1"/>
  <c r="H33" i="37"/>
  <c r="AB33" i="37" s="1"/>
  <c r="F33" i="37"/>
  <c r="AA33" i="37" s="1"/>
  <c r="U34" i="37"/>
  <c r="S34" i="37"/>
  <c r="AA34" i="37"/>
  <c r="J43" i="34"/>
  <c r="AB42" i="34"/>
  <c r="J40" i="34"/>
  <c r="F114" i="34"/>
  <c r="G114" i="34"/>
  <c r="H114" i="34" s="1"/>
  <c r="I114" i="34" s="1"/>
  <c r="J114" i="34"/>
  <c r="K114" i="34" s="1"/>
  <c r="L114" i="34" s="1"/>
  <c r="M114" i="34" s="1"/>
  <c r="H38" i="34"/>
  <c r="AB38" i="34"/>
  <c r="J36" i="34"/>
  <c r="W36" i="34" s="1"/>
  <c r="H37" i="34"/>
  <c r="U37" i="34" s="1"/>
  <c r="H25" i="34"/>
  <c r="AB25" i="34"/>
  <c r="J25" i="34"/>
  <c r="AC25" i="34"/>
  <c r="AB23" i="34"/>
  <c r="F23" i="34"/>
  <c r="AA23" i="34" s="1"/>
  <c r="J19" i="34"/>
  <c r="AC19" i="34" s="1"/>
  <c r="F17" i="34"/>
  <c r="AA17" i="34" s="1"/>
  <c r="J17" i="34"/>
  <c r="W17" i="34"/>
  <c r="AB17" i="34"/>
  <c r="S15" i="34"/>
  <c r="S41" i="33"/>
  <c r="F113" i="33"/>
  <c r="G113" i="33" s="1"/>
  <c r="H113" i="33" s="1"/>
  <c r="I113" i="33" s="1"/>
  <c r="J113" i="33" s="1"/>
  <c r="K113" i="33" s="1"/>
  <c r="L113" i="33"/>
  <c r="M113" i="33" s="1"/>
  <c r="H37" i="33"/>
  <c r="AB37" i="33" s="1"/>
  <c r="H15" i="33"/>
  <c r="AB15" i="33" s="1"/>
  <c r="H11" i="33"/>
  <c r="AB11" i="33" s="1"/>
  <c r="F28" i="40"/>
  <c r="AA28" i="40"/>
  <c r="AA42" i="34"/>
  <c r="S42" i="34"/>
  <c r="AC38" i="34"/>
  <c r="AA38" i="34"/>
  <c r="J37" i="34"/>
  <c r="AC37" i="34" s="1"/>
  <c r="J11" i="33"/>
  <c r="W11" i="33" s="1"/>
  <c r="S28" i="34"/>
  <c r="U23" i="40"/>
  <c r="G123" i="21"/>
  <c r="H123" i="21" s="1"/>
  <c r="I123" i="21" s="1"/>
  <c r="J123" i="21" s="1"/>
  <c r="K123" i="21" s="1"/>
  <c r="L123" i="21" s="1"/>
  <c r="M123" i="21"/>
  <c r="J42" i="21"/>
  <c r="AC42" i="21"/>
  <c r="H42" i="21"/>
  <c r="U42" i="21"/>
  <c r="J44" i="34"/>
  <c r="F44" i="34"/>
  <c r="AA44" i="34" s="1"/>
  <c r="J10" i="35"/>
  <c r="AC10" i="35" s="1"/>
  <c r="BL587" i="3"/>
  <c r="J14" i="21"/>
  <c r="W14" i="21" s="1"/>
  <c r="F14" i="21"/>
  <c r="S14" i="21"/>
  <c r="H14" i="21"/>
  <c r="U14" i="21" s="1"/>
  <c r="H28" i="21"/>
  <c r="AB28" i="21" s="1"/>
  <c r="F28" i="21"/>
  <c r="AA28" i="21" s="1"/>
  <c r="J28" i="21"/>
  <c r="W28" i="21"/>
  <c r="H30" i="21"/>
  <c r="U30" i="21" s="1"/>
  <c r="F30" i="21"/>
  <c r="S30" i="21" s="1"/>
  <c r="J30" i="21"/>
  <c r="AC30" i="21" s="1"/>
  <c r="J44" i="21"/>
  <c r="AC44" i="21"/>
  <c r="H44" i="21"/>
  <c r="U44" i="21" s="1"/>
  <c r="F44" i="21"/>
  <c r="AA44" i="21" s="1"/>
  <c r="H46" i="21"/>
  <c r="U46" i="21" s="1"/>
  <c r="J46" i="21"/>
  <c r="W46" i="21"/>
  <c r="F46" i="21"/>
  <c r="AA46" i="21" s="1"/>
  <c r="E119" i="21"/>
  <c r="F119" i="21" s="1"/>
  <c r="G119" i="21"/>
  <c r="H119" i="21" s="1"/>
  <c r="I119" i="21" s="1"/>
  <c r="J119" i="21"/>
  <c r="K119" i="21"/>
  <c r="L119" i="21" s="1"/>
  <c r="M119" i="21" s="1"/>
  <c r="H26" i="33"/>
  <c r="U26" i="33"/>
  <c r="H28" i="33"/>
  <c r="U28" i="33"/>
  <c r="F28" i="33"/>
  <c r="AA28" i="33" s="1"/>
  <c r="J28" i="33"/>
  <c r="W28" i="33"/>
  <c r="F33" i="35"/>
  <c r="S33" i="35"/>
  <c r="J33" i="35"/>
  <c r="AC33" i="35" s="1"/>
  <c r="F30" i="35"/>
  <c r="S30" i="35" s="1"/>
  <c r="E89" i="35"/>
  <c r="F89" i="35" s="1"/>
  <c r="G89" i="35" s="1"/>
  <c r="H89" i="35" s="1"/>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c r="F31" i="21"/>
  <c r="S31" i="21" s="1"/>
  <c r="F45" i="21"/>
  <c r="AA45" i="21" s="1"/>
  <c r="F27" i="33"/>
  <c r="AA27" i="33" s="1"/>
  <c r="J13" i="33"/>
  <c r="H13" i="33"/>
  <c r="U13" i="33" s="1"/>
  <c r="F13" i="33"/>
  <c r="S13" i="33" s="1"/>
  <c r="J29" i="33"/>
  <c r="AC29" i="33" s="1"/>
  <c r="H29" i="33"/>
  <c r="U29" i="33" s="1"/>
  <c r="F29" i="33"/>
  <c r="S29" i="33"/>
  <c r="J31" i="33"/>
  <c r="W31" i="33" s="1"/>
  <c r="H31" i="33"/>
  <c r="F31" i="33"/>
  <c r="H45" i="33"/>
  <c r="U45" i="33" s="1"/>
  <c r="J45" i="33"/>
  <c r="W45" i="33"/>
  <c r="F45" i="33"/>
  <c r="AA45" i="33" s="1"/>
  <c r="J14" i="34"/>
  <c r="W14" i="34" s="1"/>
  <c r="F14" i="34"/>
  <c r="S14" i="34" s="1"/>
  <c r="H14" i="34"/>
  <c r="H30" i="34"/>
  <c r="F30" i="34"/>
  <c r="S30" i="34"/>
  <c r="J30" i="34"/>
  <c r="W30" i="34" s="1"/>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c r="J46" i="33"/>
  <c r="AC46" i="33"/>
  <c r="F46" i="33"/>
  <c r="AA46" i="33" s="1"/>
  <c r="H46" i="33"/>
  <c r="AB46" i="33" s="1"/>
  <c r="H13" i="34"/>
  <c r="U13" i="34"/>
  <c r="J13" i="34"/>
  <c r="W13" i="34"/>
  <c r="F13" i="34"/>
  <c r="AA13" i="34" s="1"/>
  <c r="J29" i="34"/>
  <c r="F29" i="34"/>
  <c r="S29" i="34" s="1"/>
  <c r="H29" i="34"/>
  <c r="AB29" i="34" s="1"/>
  <c r="J31" i="34"/>
  <c r="AC31" i="34" s="1"/>
  <c r="H31" i="34"/>
  <c r="AB31" i="34" s="1"/>
  <c r="F31" i="34"/>
  <c r="S31" i="34" s="1"/>
  <c r="H45" i="34"/>
  <c r="U45" i="34"/>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c r="H30" i="40"/>
  <c r="AB30" i="40"/>
  <c r="F33" i="40"/>
  <c r="AA33" i="40" s="1"/>
  <c r="H33" i="40"/>
  <c r="U33" i="40" s="1"/>
  <c r="J35" i="40"/>
  <c r="AC35" i="40"/>
  <c r="J37" i="40"/>
  <c r="AC37" i="40"/>
  <c r="H13" i="40"/>
  <c r="U13" i="40" s="1"/>
  <c r="J13" i="40"/>
  <c r="W13" i="40" s="1"/>
  <c r="F13" i="40"/>
  <c r="AA13" i="40"/>
  <c r="F14" i="37"/>
  <c r="S14" i="37" s="1"/>
  <c r="F27" i="37"/>
  <c r="AA27" i="37" s="1"/>
  <c r="F13" i="39"/>
  <c r="J13" i="39"/>
  <c r="W13" i="39" s="1"/>
  <c r="H13" i="39"/>
  <c r="H14" i="40"/>
  <c r="AB14" i="40"/>
  <c r="J14" i="40"/>
  <c r="W14" i="40"/>
  <c r="F14" i="40"/>
  <c r="AA14" i="40"/>
  <c r="J14" i="37"/>
  <c r="AC14" i="37" s="1"/>
  <c r="J27" i="37"/>
  <c r="AC27" i="37" s="1"/>
  <c r="AA44" i="33"/>
  <c r="U31" i="34"/>
  <c r="AA14" i="33"/>
  <c r="J36" i="37"/>
  <c r="AC36" i="37"/>
  <c r="J10" i="36"/>
  <c r="AC10" i="36" s="1"/>
  <c r="AB26" i="33"/>
  <c r="AC13" i="36"/>
  <c r="W13" i="36"/>
  <c r="S11" i="36"/>
  <c r="AB46" i="34"/>
  <c r="AA14" i="34"/>
  <c r="AB45" i="33"/>
  <c r="AB31" i="33"/>
  <c r="U31" i="33"/>
  <c r="AC28" i="21"/>
  <c r="S44" i="34"/>
  <c r="BA586" i="3"/>
  <c r="BA585" i="3"/>
  <c r="AZ585" i="3" s="1"/>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AZ556" i="3" s="1"/>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BA554" i="3"/>
  <c r="AZ554" i="3"/>
  <c r="BA552" i="3"/>
  <c r="AZ552" i="3"/>
  <c r="BA548" i="3"/>
  <c r="BA546" i="3"/>
  <c r="BA544" i="3"/>
  <c r="AZ544" i="3"/>
  <c r="BA542" i="3"/>
  <c r="AZ542" i="3"/>
  <c r="BA540" i="3"/>
  <c r="BA538" i="3"/>
  <c r="AZ538" i="3"/>
  <c r="BA536" i="3"/>
  <c r="AZ536" i="3"/>
  <c r="BA534" i="3"/>
  <c r="AZ534" i="3"/>
  <c r="BA532" i="3"/>
  <c r="AZ532" i="3"/>
  <c r="BA530" i="3"/>
  <c r="BA528" i="3"/>
  <c r="AZ528" i="3" s="1"/>
  <c r="BA526" i="3"/>
  <c r="AZ526" i="3" s="1"/>
  <c r="BA524" i="3"/>
  <c r="AZ524" i="3" s="1"/>
  <c r="BA522" i="3"/>
  <c r="AZ522" i="3" s="1"/>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AZ563" i="3" s="1"/>
  <c r="BA561" i="3"/>
  <c r="BA559" i="3"/>
  <c r="BA555" i="3"/>
  <c r="BA553" i="3"/>
  <c r="BA549" i="3"/>
  <c r="BA547" i="3"/>
  <c r="BA545" i="3"/>
  <c r="BA543" i="3"/>
  <c r="BA541" i="3"/>
  <c r="BA539" i="3"/>
  <c r="BA537" i="3"/>
  <c r="BA535" i="3"/>
  <c r="BA533" i="3"/>
  <c r="AZ533" i="3" s="1"/>
  <c r="BA531" i="3"/>
  <c r="BA529" i="3"/>
  <c r="BA527" i="3"/>
  <c r="BA525" i="3"/>
  <c r="AZ525" i="3" s="1"/>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BQ541" i="3"/>
  <c r="BL541" i="3"/>
  <c r="AZ541" i="3" s="1"/>
  <c r="BQ539" i="3"/>
  <c r="BL539" i="3" s="1"/>
  <c r="AZ539" i="3" s="1"/>
  <c r="BQ537" i="3"/>
  <c r="BL537" i="3"/>
  <c r="AZ537" i="3" s="1"/>
  <c r="BQ535" i="3"/>
  <c r="BL535" i="3" s="1"/>
  <c r="AZ535" i="3" s="1"/>
  <c r="BQ533" i="3"/>
  <c r="BL533" i="3"/>
  <c r="BQ531" i="3"/>
  <c r="BL531" i="3" s="1"/>
  <c r="AZ531" i="3" s="1"/>
  <c r="BQ529" i="3"/>
  <c r="BL529" i="3"/>
  <c r="AZ529" i="3" s="1"/>
  <c r="BQ527" i="3"/>
  <c r="BL527" i="3" s="1"/>
  <c r="BQ525" i="3"/>
  <c r="BL525" i="3"/>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U35" i="35"/>
  <c r="AA12" i="35"/>
  <c r="W23" i="35"/>
  <c r="W14" i="37"/>
  <c r="AB28" i="37"/>
  <c r="U33" i="37"/>
  <c r="U39" i="37"/>
  <c r="W26" i="37"/>
  <c r="U26" i="37"/>
  <c r="W47" i="34"/>
  <c r="AB13" i="34"/>
  <c r="AC36" i="34"/>
  <c r="AA13" i="33"/>
  <c r="AC45"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c r="F11" i="39"/>
  <c r="AA11" i="39"/>
  <c r="S11" i="39"/>
  <c r="G4" i="4"/>
  <c r="I4" i="4"/>
  <c r="A2" i="9"/>
  <c r="F61" i="43"/>
  <c r="H64" i="43" s="1"/>
  <c r="AZ20" i="3"/>
  <c r="AZ28" i="3"/>
  <c r="AZ32" i="3"/>
  <c r="AZ497" i="3"/>
  <c r="BL549" i="3"/>
  <c r="AZ549" i="3" s="1"/>
  <c r="AZ494" i="3"/>
  <c r="AZ502" i="3"/>
  <c r="AZ514" i="3"/>
  <c r="AZ530" i="3"/>
  <c r="AZ546"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c r="BA341" i="3"/>
  <c r="AZ341" i="3" s="1"/>
  <c r="BL341" i="3"/>
  <c r="BA343" i="3"/>
  <c r="AZ343" i="3" s="1"/>
  <c r="BA345" i="3"/>
  <c r="AZ345" i="3" s="1"/>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AZ380" i="3" s="1"/>
  <c r="G388" i="3"/>
  <c r="BL389" i="3"/>
  <c r="G390" i="3"/>
  <c r="BL391" i="3"/>
  <c r="BA393" i="3"/>
  <c r="AZ393" i="3" s="1"/>
  <c r="BA394" i="3"/>
  <c r="AZ394" i="3" s="1"/>
  <c r="BL394" i="3"/>
  <c r="G113" i="3"/>
  <c r="BA115" i="3"/>
  <c r="AZ115" i="3" s="1"/>
  <c r="BL116" i="3"/>
  <c r="AZ116" i="3"/>
  <c r="G117" i="3"/>
  <c r="BA119" i="3"/>
  <c r="AZ119" i="3" s="1"/>
  <c r="BL120" i="3"/>
  <c r="G121" i="3"/>
  <c r="BA123" i="3"/>
  <c r="AZ123" i="3"/>
  <c r="BL124" i="3"/>
  <c r="AZ124" i="3" s="1"/>
  <c r="G125" i="3"/>
  <c r="BA127" i="3"/>
  <c r="AZ127" i="3"/>
  <c r="BL128" i="3"/>
  <c r="AZ128" i="3" s="1"/>
  <c r="G129" i="3"/>
  <c r="BA131" i="3"/>
  <c r="AZ131" i="3"/>
  <c r="BL132" i="3"/>
  <c r="AZ132" i="3"/>
  <c r="G133" i="3"/>
  <c r="BA135" i="3"/>
  <c r="AZ135" i="3" s="1"/>
  <c r="BL136" i="3"/>
  <c r="G137" i="3"/>
  <c r="BA139" i="3"/>
  <c r="AZ139" i="3" s="1"/>
  <c r="BL140" i="3"/>
  <c r="G141" i="3"/>
  <c r="BA143" i="3"/>
  <c r="AZ143" i="3" s="1"/>
  <c r="BL144" i="3"/>
  <c r="AZ144" i="3" s="1"/>
  <c r="G145" i="3"/>
  <c r="BA147" i="3"/>
  <c r="AZ147" i="3"/>
  <c r="BL148" i="3"/>
  <c r="AZ148" i="3"/>
  <c r="G149" i="3"/>
  <c r="BA151" i="3"/>
  <c r="AZ151" i="3"/>
  <c r="BL152" i="3"/>
  <c r="AZ152" i="3" s="1"/>
  <c r="G153" i="3"/>
  <c r="BA155" i="3"/>
  <c r="BL156" i="3"/>
  <c r="AZ156" i="3" s="1"/>
  <c r="G157" i="3"/>
  <c r="BA159" i="3"/>
  <c r="AZ159" i="3"/>
  <c r="BL160" i="3"/>
  <c r="G161" i="3"/>
  <c r="BA163" i="3"/>
  <c r="AZ163" i="3"/>
  <c r="BL164" i="3"/>
  <c r="AZ164" i="3" s="1"/>
  <c r="G165" i="3"/>
  <c r="BA167" i="3"/>
  <c r="BL168" i="3"/>
  <c r="G169" i="3"/>
  <c r="BA171" i="3"/>
  <c r="AZ171" i="3" s="1"/>
  <c r="BL172" i="3"/>
  <c r="AZ172" i="3"/>
  <c r="G173" i="3"/>
  <c r="BA175" i="3"/>
  <c r="BL176" i="3"/>
  <c r="G177" i="3"/>
  <c r="BA179" i="3"/>
  <c r="AZ179" i="3" s="1"/>
  <c r="BL180" i="3"/>
  <c r="G181" i="3"/>
  <c r="BA183" i="3"/>
  <c r="AZ183" i="3" s="1"/>
  <c r="BL184" i="3"/>
  <c r="AZ184" i="3" s="1"/>
  <c r="G185" i="3"/>
  <c r="BA187" i="3"/>
  <c r="AZ187" i="3"/>
  <c r="BL188" i="3"/>
  <c r="G189" i="3"/>
  <c r="BA191" i="3"/>
  <c r="AZ191" i="3"/>
  <c r="BL192" i="3"/>
  <c r="G193" i="3"/>
  <c r="BA195" i="3"/>
  <c r="AZ195" i="3"/>
  <c r="BL196" i="3"/>
  <c r="G197" i="3"/>
  <c r="BA199" i="3"/>
  <c r="AZ199" i="3" s="1"/>
  <c r="BL200" i="3"/>
  <c r="G201" i="3"/>
  <c r="BA203" i="3"/>
  <c r="AZ203" i="3" s="1"/>
  <c r="BL204" i="3"/>
  <c r="AZ204" i="3" s="1"/>
  <c r="AZ51" i="3"/>
  <c r="AZ59" i="3"/>
  <c r="AZ67" i="3"/>
  <c r="AZ71" i="3"/>
  <c r="AZ79" i="3"/>
  <c r="AZ136" i="3"/>
  <c r="AZ160" i="3"/>
  <c r="AZ168" i="3"/>
  <c r="AZ176" i="3"/>
  <c r="AZ85" i="3"/>
  <c r="AZ97" i="3"/>
  <c r="AZ101" i="3"/>
  <c r="AZ105" i="3"/>
  <c r="AZ109" i="3"/>
  <c r="AZ120" i="3"/>
  <c r="G534" i="3"/>
  <c r="G530" i="3"/>
  <c r="G522" i="3"/>
  <c r="G516" i="3"/>
  <c r="G512" i="3"/>
  <c r="G506" i="3"/>
  <c r="G498" i="3"/>
  <c r="G494" i="3"/>
  <c r="G16" i="3"/>
  <c r="G15" i="3"/>
  <c r="BA304" i="3"/>
  <c r="AZ304" i="3" s="1"/>
  <c r="BA305" i="3"/>
  <c r="BL305" i="3"/>
  <c r="AZ305" i="3" s="1"/>
  <c r="G306" i="3"/>
  <c r="G309" i="3"/>
  <c r="BL310" i="3"/>
  <c r="BA312" i="3"/>
  <c r="AZ312" i="3" s="1"/>
  <c r="BA313" i="3"/>
  <c r="BL313" i="3"/>
  <c r="AZ313" i="3"/>
  <c r="G314" i="3"/>
  <c r="G317" i="3"/>
  <c r="BL318" i="3"/>
  <c r="AZ318" i="3" s="1"/>
  <c r="BA320" i="3"/>
  <c r="AZ320" i="3" s="1"/>
  <c r="BA321" i="3"/>
  <c r="BL321" i="3"/>
  <c r="AZ321" i="3" s="1"/>
  <c r="G322" i="3"/>
  <c r="G325" i="3"/>
  <c r="BL326" i="3"/>
  <c r="BA328" i="3"/>
  <c r="AZ328" i="3" s="1"/>
  <c r="BA329" i="3"/>
  <c r="BL329" i="3"/>
  <c r="AZ329" i="3"/>
  <c r="G330" i="3"/>
  <c r="G333" i="3"/>
  <c r="BL334" i="3"/>
  <c r="BA336" i="3"/>
  <c r="AZ336" i="3" s="1"/>
  <c r="BA337" i="3"/>
  <c r="BL337" i="3"/>
  <c r="AZ337" i="3" s="1"/>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AZ356" i="3" s="1"/>
  <c r="G357" i="3"/>
  <c r="G360" i="3"/>
  <c r="BL361" i="3"/>
  <c r="BA363" i="3"/>
  <c r="AZ363" i="3"/>
  <c r="BA364" i="3"/>
  <c r="BL364" i="3"/>
  <c r="G365" i="3"/>
  <c r="G368" i="3"/>
  <c r="BL369" i="3"/>
  <c r="BA371" i="3"/>
  <c r="AZ371" i="3" s="1"/>
  <c r="BA372" i="3"/>
  <c r="AZ372" i="3" s="1"/>
  <c r="BL372" i="3"/>
  <c r="G373" i="3"/>
  <c r="G376" i="3"/>
  <c r="BL377" i="3"/>
  <c r="BL379" i="3"/>
  <c r="BA381" i="3"/>
  <c r="AZ381" i="3"/>
  <c r="BA382" i="3"/>
  <c r="AZ382" i="3" s="1"/>
  <c r="BL382" i="3"/>
  <c r="G383" i="3"/>
  <c r="G386" i="3"/>
  <c r="BL387" i="3"/>
  <c r="BA389" i="3"/>
  <c r="AZ389" i="3" s="1"/>
  <c r="BA390" i="3"/>
  <c r="AZ390" i="3" s="1"/>
  <c r="BL390" i="3"/>
  <c r="G391" i="3"/>
  <c r="G394" i="3"/>
  <c r="AZ138" i="3"/>
  <c r="AZ142" i="3"/>
  <c r="AZ146" i="3"/>
  <c r="AZ150" i="3"/>
  <c r="AZ154" i="3"/>
  <c r="AZ158" i="3"/>
  <c r="AZ162" i="3"/>
  <c r="AZ166" i="3"/>
  <c r="AZ170" i="3"/>
  <c r="AZ174" i="3"/>
  <c r="AZ178" i="3"/>
  <c r="AZ182" i="3"/>
  <c r="AZ190" i="3"/>
  <c r="AZ194" i="3"/>
  <c r="AZ500" i="3"/>
  <c r="BA16" i="3"/>
  <c r="AZ16" i="3"/>
  <c r="BL303" i="3"/>
  <c r="G304" i="3"/>
  <c r="BA306" i="3"/>
  <c r="AZ306" i="3"/>
  <c r="BL307" i="3"/>
  <c r="AZ307" i="3"/>
  <c r="G308" i="3"/>
  <c r="BA310" i="3"/>
  <c r="AZ310" i="3" s="1"/>
  <c r="BL311" i="3"/>
  <c r="AZ311" i="3"/>
  <c r="G312" i="3"/>
  <c r="BA314" i="3"/>
  <c r="AZ314" i="3"/>
  <c r="BL315" i="3"/>
  <c r="AZ315" i="3"/>
  <c r="G316" i="3"/>
  <c r="BA318" i="3"/>
  <c r="BL319" i="3"/>
  <c r="AZ319" i="3" s="1"/>
  <c r="G320" i="3"/>
  <c r="BA322" i="3"/>
  <c r="AZ322" i="3" s="1"/>
  <c r="BL323" i="3"/>
  <c r="AZ323" i="3" s="1"/>
  <c r="G324" i="3"/>
  <c r="BA326" i="3"/>
  <c r="AZ326" i="3"/>
  <c r="BL327" i="3"/>
  <c r="AZ327" i="3"/>
  <c r="G328" i="3"/>
  <c r="BA330" i="3"/>
  <c r="AZ330" i="3" s="1"/>
  <c r="BL331" i="3"/>
  <c r="AZ331" i="3"/>
  <c r="G332" i="3"/>
  <c r="BA334" i="3"/>
  <c r="AZ334" i="3"/>
  <c r="BL335" i="3"/>
  <c r="G336" i="3"/>
  <c r="BA338" i="3"/>
  <c r="AZ338" i="3" s="1"/>
  <c r="BL339" i="3"/>
  <c r="AZ339" i="3"/>
  <c r="G340" i="3"/>
  <c r="BL343" i="3"/>
  <c r="G344" i="3"/>
  <c r="G348" i="3"/>
  <c r="G355" i="3"/>
  <c r="AZ209" i="3"/>
  <c r="AZ214" i="3"/>
  <c r="AZ222" i="3"/>
  <c r="AZ303" i="3"/>
  <c r="AZ335" i="3"/>
  <c r="G342" i="3"/>
  <c r="BL345" i="3"/>
  <c r="G346" i="3"/>
  <c r="AZ348" i="3"/>
  <c r="BL349" i="3"/>
  <c r="AZ349" i="3" s="1"/>
  <c r="BL352" i="3"/>
  <c r="AZ352" i="3" s="1"/>
  <c r="G353" i="3"/>
  <c r="BA357" i="3"/>
  <c r="AZ357" i="3"/>
  <c r="BL358" i="3"/>
  <c r="AZ358" i="3" s="1"/>
  <c r="G359" i="3"/>
  <c r="BA361" i="3"/>
  <c r="AZ361" i="3"/>
  <c r="BL362" i="3"/>
  <c r="G363" i="3"/>
  <c r="BA365" i="3"/>
  <c r="AZ365" i="3"/>
  <c r="BL366" i="3"/>
  <c r="G367" i="3"/>
  <c r="BA369" i="3"/>
  <c r="AZ369" i="3" s="1"/>
  <c r="BL370" i="3"/>
  <c r="G371" i="3"/>
  <c r="BA373" i="3"/>
  <c r="AZ373" i="3" s="1"/>
  <c r="BL374" i="3"/>
  <c r="G375" i="3"/>
  <c r="BA377" i="3"/>
  <c r="AZ377" i="3" s="1"/>
  <c r="AZ233" i="3"/>
  <c r="AZ237" i="3"/>
  <c r="AZ241" i="3"/>
  <c r="AZ245" i="3"/>
  <c r="AZ249" i="3"/>
  <c r="AZ253" i="3"/>
  <c r="AZ257" i="3"/>
  <c r="AZ261" i="3"/>
  <c r="AZ265" i="3"/>
  <c r="AZ269" i="3"/>
  <c r="AZ273" i="3"/>
  <c r="AZ370"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17" i="3"/>
  <c r="AZ325" i="3"/>
  <c r="AZ333" i="3"/>
  <c r="BQ5" i="3"/>
  <c r="AC5" i="3"/>
  <c r="AZ506" i="3"/>
  <c r="AZ496" i="3"/>
  <c r="G548" i="3"/>
  <c r="G538" i="3"/>
  <c r="G520" i="3"/>
  <c r="G502" i="3"/>
  <c r="BS5" i="3"/>
  <c r="F28" i="6" s="1"/>
  <c r="BP5" i="3"/>
  <c r="BN5" i="3"/>
  <c r="G29" i="6" s="1"/>
  <c r="BK5" i="3"/>
  <c r="BI5" i="3"/>
  <c r="BG5" i="3"/>
  <c r="BE5" i="3"/>
  <c r="BC5" i="3"/>
  <c r="G17" i="3"/>
  <c r="BA17" i="3"/>
  <c r="BT5" i="3"/>
  <c r="AZ364" i="3"/>
  <c r="AZ368" i="3"/>
  <c r="BA15" i="3"/>
  <c r="AZ15" i="3" s="1"/>
  <c r="BB5" i="3"/>
  <c r="BR5" i="3"/>
  <c r="AZ388" i="3"/>
  <c r="AZ396" i="3"/>
  <c r="AZ499" i="3"/>
  <c r="AZ509" i="3"/>
  <c r="G509" i="3"/>
  <c r="BL493" i="3"/>
  <c r="AZ491" i="3"/>
  <c r="AZ493" i="3"/>
  <c r="U36" i="40"/>
  <c r="F83" i="43"/>
  <c r="H85" i="43" s="1"/>
  <c r="G85" i="43" s="1"/>
  <c r="F50" i="43"/>
  <c r="H54" i="43" s="1"/>
  <c r="F72" i="43"/>
  <c r="H75" i="43" s="1"/>
  <c r="U17" i="39"/>
  <c r="S14" i="35"/>
  <c r="U43" i="21"/>
  <c r="U35" i="21"/>
  <c r="AC35" i="21"/>
  <c r="G8" i="1"/>
  <c r="G10" i="1"/>
  <c r="AC11" i="39"/>
  <c r="AZ501" i="3"/>
  <c r="W37" i="37"/>
  <c r="W44" i="34"/>
  <c r="AC44" i="34"/>
  <c r="U13" i="37"/>
  <c r="U12" i="40"/>
  <c r="AA12" i="40"/>
  <c r="J37" i="33"/>
  <c r="W37" i="33" s="1"/>
  <c r="AC17" i="34"/>
  <c r="F106" i="33"/>
  <c r="G106" i="33" s="1"/>
  <c r="H106" i="33" s="1"/>
  <c r="I106" i="33" s="1"/>
  <c r="J106" i="33" s="1"/>
  <c r="K106" i="33" s="1"/>
  <c r="L106" i="33" s="1"/>
  <c r="M106" i="33" s="1"/>
  <c r="J34" i="33"/>
  <c r="AC34" i="33" s="1"/>
  <c r="F33" i="34"/>
  <c r="S33" i="34"/>
  <c r="W12" i="36"/>
  <c r="AC12" i="36"/>
  <c r="H20" i="36"/>
  <c r="U20" i="36"/>
  <c r="J20" i="36"/>
  <c r="W20" i="36" s="1"/>
  <c r="J27" i="36"/>
  <c r="W27" i="36" s="1"/>
  <c r="AB25" i="37"/>
  <c r="AC33" i="40"/>
  <c r="F111" i="40"/>
  <c r="G111" i="40"/>
  <c r="H111" i="40" s="1"/>
  <c r="I111" i="40" s="1"/>
  <c r="J111" i="40" s="1"/>
  <c r="K111" i="40" s="1"/>
  <c r="L111" i="40" s="1"/>
  <c r="M111" i="40" s="1"/>
  <c r="H35" i="40"/>
  <c r="U35" i="40" s="1"/>
  <c r="AB35" i="40"/>
  <c r="AC29" i="35"/>
  <c r="W29" i="35"/>
  <c r="H35" i="37"/>
  <c r="U35" i="37"/>
  <c r="AC14" i="35"/>
  <c r="H20" i="35"/>
  <c r="U20" i="35" s="1"/>
  <c r="F20" i="35"/>
  <c r="AA20" i="35" s="1"/>
  <c r="AB23" i="35"/>
  <c r="AB29" i="36"/>
  <c r="U29" i="36"/>
  <c r="H32" i="37"/>
  <c r="AB32" i="37"/>
  <c r="F96" i="37"/>
  <c r="H27" i="40"/>
  <c r="U27" i="40" s="1"/>
  <c r="J27" i="40"/>
  <c r="AC27" i="40"/>
  <c r="F27" i="40"/>
  <c r="S27" i="40" s="1"/>
  <c r="J30" i="40"/>
  <c r="AC30" i="40" s="1"/>
  <c r="F30" i="40"/>
  <c r="AA30" i="40" s="1"/>
  <c r="AC21" i="40"/>
  <c r="S31" i="39"/>
  <c r="S11" i="40"/>
  <c r="E98" i="40"/>
  <c r="F98" i="40"/>
  <c r="G98" i="40" s="1"/>
  <c r="H98" i="40"/>
  <c r="I98" i="40" s="1"/>
  <c r="J98" i="40" s="1"/>
  <c r="K98" i="40" s="1"/>
  <c r="L98" i="40" s="1"/>
  <c r="M98" i="40" s="1"/>
  <c r="F10" i="33"/>
  <c r="S10" i="33" s="1"/>
  <c r="F34" i="33"/>
  <c r="S34" i="33"/>
  <c r="H34" i="33"/>
  <c r="U34" i="33" s="1"/>
  <c r="F35" i="33"/>
  <c r="S35" i="33"/>
  <c r="F39" i="34"/>
  <c r="S39" i="34"/>
  <c r="J39" i="34"/>
  <c r="W39" i="34"/>
  <c r="F40" i="34"/>
  <c r="S40" i="34" s="1"/>
  <c r="F43" i="34"/>
  <c r="AA43" i="34"/>
  <c r="H44" i="34"/>
  <c r="AB44" i="34"/>
  <c r="AC38" i="39"/>
  <c r="F39" i="39"/>
  <c r="S39" i="39" s="1"/>
  <c r="J39" i="39"/>
  <c r="AC39" i="39" s="1"/>
  <c r="E96" i="39"/>
  <c r="F96" i="39" s="1"/>
  <c r="G96" i="39" s="1"/>
  <c r="AZ353" i="3"/>
  <c r="AZ354" i="3"/>
  <c r="C40" i="11"/>
  <c r="AZ235" i="3"/>
  <c r="AZ240" i="3"/>
  <c r="AZ243" i="3"/>
  <c r="AZ248" i="3"/>
  <c r="AZ251" i="3"/>
  <c r="AZ256" i="3"/>
  <c r="AZ259" i="3"/>
  <c r="AZ268" i="3"/>
  <c r="AZ271" i="3"/>
  <c r="AZ280" i="3"/>
  <c r="AZ288" i="3"/>
  <c r="AZ296" i="3"/>
  <c r="AZ114" i="3"/>
  <c r="AZ117" i="3"/>
  <c r="AZ130" i="3"/>
  <c r="AZ133" i="3"/>
  <c r="AZ29" i="3"/>
  <c r="AZ31" i="3"/>
  <c r="AZ33" i="3"/>
  <c r="AZ42" i="3"/>
  <c r="AZ45" i="3"/>
  <c r="AZ53" i="3"/>
  <c r="AZ58" i="3"/>
  <c r="AZ69" i="3"/>
  <c r="AZ74" i="3"/>
  <c r="AZ82" i="3"/>
  <c r="AZ94" i="3"/>
  <c r="F23" i="39"/>
  <c r="H27" i="36"/>
  <c r="U27" i="36" s="1"/>
  <c r="F27" i="36"/>
  <c r="AA27" i="36" s="1"/>
  <c r="H33" i="34"/>
  <c r="U33" i="34" s="1"/>
  <c r="F32" i="37"/>
  <c r="AA32" i="37" s="1"/>
  <c r="G96" i="37"/>
  <c r="H96" i="37" s="1"/>
  <c r="I96" i="37" s="1"/>
  <c r="J96" i="37" s="1"/>
  <c r="K96" i="37"/>
  <c r="L96" i="37" s="1"/>
  <c r="M96" i="37" s="1"/>
  <c r="F20" i="36"/>
  <c r="AA20" i="36"/>
  <c r="J33" i="34"/>
  <c r="AC33" i="34" s="1"/>
  <c r="H23" i="39"/>
  <c r="U23" i="39" s="1"/>
  <c r="D48" i="9"/>
  <c r="M52" i="9" s="1"/>
  <c r="K9" i="1"/>
  <c r="M9" i="1" s="1"/>
  <c r="D93" i="9"/>
  <c r="K6" i="1"/>
  <c r="AP6"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408" i="3"/>
  <c r="AZ437" i="3"/>
  <c r="AZ441" i="3"/>
  <c r="AZ457" i="3"/>
  <c r="AZ473" i="3"/>
  <c r="AZ490" i="3"/>
  <c r="AA39" i="34"/>
  <c r="BL14" i="3"/>
  <c r="AZ266" i="3"/>
  <c r="U30" i="33"/>
  <c r="AC13" i="34"/>
  <c r="AA47" i="34"/>
  <c r="W28" i="37"/>
  <c r="S19" i="39"/>
  <c r="F12" i="33"/>
  <c r="H12" i="39"/>
  <c r="F39" i="40"/>
  <c r="BA14" i="3"/>
  <c r="AZ238" i="3"/>
  <c r="AZ250" i="3"/>
  <c r="AZ254" i="3"/>
  <c r="AZ281" i="3"/>
  <c r="AZ286" i="3"/>
  <c r="AZ297" i="3"/>
  <c r="AZ149" i="3"/>
  <c r="AZ157" i="3"/>
  <c r="AZ165" i="3"/>
  <c r="AZ197" i="3"/>
  <c r="AZ19" i="3"/>
  <c r="AZ41" i="3"/>
  <c r="B12" i="1"/>
  <c r="E12" i="1" s="1"/>
  <c r="B10" i="1"/>
  <c r="E10" i="1" s="1"/>
  <c r="AZ84" i="3"/>
  <c r="AZ88" i="3"/>
  <c r="AZ107" i="3"/>
  <c r="AZ111" i="3"/>
  <c r="K12" i="1"/>
  <c r="M12" i="1" s="1"/>
  <c r="S13" i="1"/>
  <c r="AR13" i="1" s="1"/>
  <c r="R13" i="1"/>
  <c r="J51" i="67"/>
  <c r="C42" i="1"/>
  <c r="C24" i="12" s="1"/>
  <c r="AA34" i="33"/>
  <c r="B41" i="1"/>
  <c r="F48" i="9" s="1"/>
  <c r="O52" i="9" s="1"/>
  <c r="AB37" i="40"/>
  <c r="S35" i="40"/>
  <c r="AC36" i="40"/>
  <c r="AA32" i="40"/>
  <c r="S17" i="40"/>
  <c r="S23" i="40"/>
  <c r="AC17" i="40"/>
  <c r="AC15" i="40"/>
  <c r="AA19" i="40"/>
  <c r="S28"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2" i="35"/>
  <c r="AA33" i="35"/>
  <c r="AC30" i="35"/>
  <c r="S32" i="35"/>
  <c r="AA36" i="35"/>
  <c r="S28" i="35"/>
  <c r="AB16" i="35"/>
  <c r="U22" i="35"/>
  <c r="AC20" i="35"/>
  <c r="S22" i="35"/>
  <c r="U14" i="35"/>
  <c r="AA11" i="35"/>
  <c r="AC9" i="35"/>
  <c r="W9" i="35"/>
  <c r="AC12" i="35"/>
  <c r="W13" i="35"/>
  <c r="F9" i="35"/>
  <c r="S9" i="35" s="1"/>
  <c r="H9" i="35"/>
  <c r="U9" i="35" s="1"/>
  <c r="AB40" i="37"/>
  <c r="W27" i="37"/>
  <c r="S26" i="37"/>
  <c r="AC29" i="37"/>
  <c r="U29"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AC32" i="33" s="1"/>
  <c r="S46" i="33"/>
  <c r="W43" i="33"/>
  <c r="S43" i="33"/>
  <c r="F91" i="33"/>
  <c r="H27" i="33"/>
  <c r="F87" i="33"/>
  <c r="H25" i="33"/>
  <c r="F25" i="33"/>
  <c r="S25" i="33" s="1"/>
  <c r="J23" i="33"/>
  <c r="F85" i="33"/>
  <c r="H23" i="33"/>
  <c r="AB23" i="33" s="1"/>
  <c r="F81" i="33"/>
  <c r="F19" i="33"/>
  <c r="W19" i="33"/>
  <c r="J17" i="33"/>
  <c r="W17" i="33" s="1"/>
  <c r="F79" i="33"/>
  <c r="S15" i="33"/>
  <c r="W15" i="33"/>
  <c r="U9" i="33"/>
  <c r="J10" i="33"/>
  <c r="W10" i="33" s="1"/>
  <c r="H10" i="33"/>
  <c r="U10" i="33" s="1"/>
  <c r="AC11" i="33"/>
  <c r="AB14" i="33"/>
  <c r="W43" i="21"/>
  <c r="W36" i="21"/>
  <c r="W41" i="21"/>
  <c r="AB39" i="21"/>
  <c r="AA43" i="21"/>
  <c r="S39" i="21"/>
  <c r="AA38" i="21"/>
  <c r="AA36" i="21"/>
  <c r="AC40" i="21"/>
  <c r="J15" i="21"/>
  <c r="AC15" i="21" s="1"/>
  <c r="W15" i="21"/>
  <c r="F77" i="21"/>
  <c r="G77" i="21"/>
  <c r="F23" i="21"/>
  <c r="S23" i="2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AA45" i="39"/>
  <c r="AB39" i="39"/>
  <c r="W34" i="39"/>
  <c r="U38" i="39"/>
  <c r="S8" i="39"/>
  <c r="S20" i="36"/>
  <c r="AC25" i="36"/>
  <c r="U32" i="36"/>
  <c r="W29" i="36"/>
  <c r="AC20" i="36"/>
  <c r="U25" i="36"/>
  <c r="AB28" i="36"/>
  <c r="AA13"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s="1"/>
  <c r="M101" i="21" s="1"/>
  <c r="F33" i="21"/>
  <c r="AA33" i="21" s="1"/>
  <c r="J33" i="21"/>
  <c r="AC33" i="21" s="1"/>
  <c r="H33" i="21"/>
  <c r="AB33" i="21" s="1"/>
  <c r="F37" i="21"/>
  <c r="AA37" i="21"/>
  <c r="AA26" i="21"/>
  <c r="AB14" i="21"/>
  <c r="AB46" i="21"/>
  <c r="U40" i="21"/>
  <c r="AB31" i="21"/>
  <c r="U31" i="21"/>
  <c r="U13" i="21"/>
  <c r="AB13" i="21"/>
  <c r="S35" i="21"/>
  <c r="J37" i="21"/>
  <c r="W37" i="21" s="1"/>
  <c r="H15" i="21"/>
  <c r="AB15" i="21" s="1"/>
  <c r="J17" i="21"/>
  <c r="AC17" i="21" s="1"/>
  <c r="AC19" i="21"/>
  <c r="W39" i="21"/>
  <c r="AC14" i="21"/>
  <c r="W30" i="21"/>
  <c r="S46" i="21"/>
  <c r="H45" i="21"/>
  <c r="U45" i="21" s="1"/>
  <c r="F29" i="21"/>
  <c r="S29" i="21"/>
  <c r="F13" i="21"/>
  <c r="AA13" i="21" s="1"/>
  <c r="AC38" i="21"/>
  <c r="H32" i="21"/>
  <c r="H9" i="21"/>
  <c r="AB9" i="21" s="1"/>
  <c r="J9" i="21"/>
  <c r="AC9" i="21" s="1"/>
  <c r="J32" i="21"/>
  <c r="W32" i="21" s="1"/>
  <c r="F32" i="21"/>
  <c r="S32" i="21" s="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C28" i="67" s="1"/>
  <c r="F31" i="12"/>
  <c r="F52" i="9"/>
  <c r="M18" i="67"/>
  <c r="F32" i="67"/>
  <c r="F60" i="67" s="1"/>
  <c r="F30" i="69"/>
  <c r="F48" i="69" s="1"/>
  <c r="F32" i="15"/>
  <c r="F60" i="15" s="1"/>
  <c r="M18" i="15"/>
  <c r="F28" i="15"/>
  <c r="AA39" i="40"/>
  <c r="S39" i="40"/>
  <c r="S12" i="33"/>
  <c r="AA12" i="33"/>
  <c r="D68" i="9"/>
  <c r="F54" i="9"/>
  <c r="J32" i="39"/>
  <c r="AC32" i="39" s="1"/>
  <c r="H32" i="39"/>
  <c r="AB32" i="39" s="1"/>
  <c r="AA32" i="39"/>
  <c r="S32" i="39"/>
  <c r="AB21" i="39"/>
  <c r="U21" i="39"/>
  <c r="AA21" i="39"/>
  <c r="S21" i="39"/>
  <c r="AC17" i="37"/>
  <c r="S17" i="37"/>
  <c r="J19" i="37"/>
  <c r="G75" i="37"/>
  <c r="S19" i="37"/>
  <c r="AA19" i="37"/>
  <c r="AA23" i="37"/>
  <c r="J23" i="37"/>
  <c r="W23" i="37" s="1"/>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U27" i="33"/>
  <c r="AB27" i="33"/>
  <c r="G91" i="33"/>
  <c r="H91" i="33" s="1"/>
  <c r="I91" i="33" s="1"/>
  <c r="J91" i="33" s="1"/>
  <c r="K91" i="33" s="1"/>
  <c r="L91" i="33" s="1"/>
  <c r="M91" i="33" s="1"/>
  <c r="J27" i="33"/>
  <c r="W27" i="33" s="1"/>
  <c r="U25" i="33"/>
  <c r="AB25" i="33"/>
  <c r="G87" i="33"/>
  <c r="H87" i="33"/>
  <c r="I87" i="33" s="1"/>
  <c r="J87" i="33" s="1"/>
  <c r="K87" i="33" s="1"/>
  <c r="L87" i="33" s="1"/>
  <c r="M87" i="33" s="1"/>
  <c r="J25" i="33"/>
  <c r="W25" i="33" s="1"/>
  <c r="F23" i="33"/>
  <c r="S23" i="33" s="1"/>
  <c r="G85" i="33"/>
  <c r="AC23" i="33"/>
  <c r="W23" i="33"/>
  <c r="H19" i="33"/>
  <c r="U19" i="33" s="1"/>
  <c r="G81" i="33"/>
  <c r="G79" i="33"/>
  <c r="H17" i="33"/>
  <c r="U17" i="33" s="1"/>
  <c r="F17" i="33"/>
  <c r="AA17" i="33" s="1"/>
  <c r="S37" i="21"/>
  <c r="AA23" i="21"/>
  <c r="J23" i="21"/>
  <c r="W23" i="21" s="1"/>
  <c r="F85" i="21"/>
  <c r="G85" i="21"/>
  <c r="H23" i="21"/>
  <c r="S13" i="21"/>
  <c r="D6" i="52"/>
  <c r="AP7" i="1"/>
  <c r="AB45" i="21"/>
  <c r="U9" i="21"/>
  <c r="AB32" i="21"/>
  <c r="U32" i="21"/>
  <c r="U32" i="39"/>
  <c r="W32" i="39"/>
  <c r="W19" i="37"/>
  <c r="AC19" i="37"/>
  <c r="H63" i="37"/>
  <c r="I63" i="37"/>
  <c r="J63" i="37"/>
  <c r="K63" i="37" s="1"/>
  <c r="L63" i="37" s="1"/>
  <c r="M63" i="37" s="1"/>
  <c r="J11" i="37"/>
  <c r="AC11" i="37" s="1"/>
  <c r="H70" i="34"/>
  <c r="I70" i="34"/>
  <c r="J70" i="34"/>
  <c r="K70" i="34"/>
  <c r="L70" i="34" s="1"/>
  <c r="M70" i="34" s="1"/>
  <c r="J11" i="34"/>
  <c r="W11" i="34" s="1"/>
  <c r="AB36" i="33"/>
  <c r="AC27" i="33"/>
  <c r="AB19" i="33"/>
  <c r="U23" i="21"/>
  <c r="AB23" i="21"/>
  <c r="AC23" i="21"/>
  <c r="H109" i="9"/>
  <c r="D16" i="53" s="1"/>
  <c r="B34" i="72" s="1"/>
  <c r="H112" i="9"/>
  <c r="D21" i="53" s="1"/>
  <c r="B39" i="72" s="1"/>
  <c r="H111" i="9"/>
  <c r="D126" i="9" s="1"/>
  <c r="AD3" i="71"/>
  <c r="J1" i="73"/>
  <c r="H69" i="43"/>
  <c r="H50" i="43"/>
  <c r="C22" i="71"/>
  <c r="C21" i="71" s="1"/>
  <c r="D22" i="71"/>
  <c r="D23" i="71"/>
  <c r="D24" i="71"/>
  <c r="U24" i="71"/>
  <c r="S24" i="71"/>
  <c r="T24" i="71"/>
  <c r="AB22" i="71"/>
  <c r="X20" i="71"/>
  <c r="X19" i="71"/>
  <c r="AA20" i="71"/>
  <c r="AA19" i="71"/>
  <c r="X23" i="71"/>
  <c r="Y19" i="71"/>
  <c r="Z19" i="71" s="1"/>
  <c r="AB20" i="71"/>
  <c r="AB19" i="71"/>
  <c r="S20" i="71"/>
  <c r="Y20" i="71"/>
  <c r="Z20" i="71" s="1"/>
  <c r="X3" i="71"/>
  <c r="E21" i="71"/>
  <c r="E20" i="71"/>
  <c r="E19" i="71" s="1"/>
  <c r="E18" i="71" s="1"/>
  <c r="E17" i="71" s="1"/>
  <c r="E16" i="71" s="1"/>
  <c r="V20" i="71"/>
  <c r="F13" i="67"/>
  <c r="F43" i="15"/>
  <c r="F5" i="73"/>
  <c r="F13" i="15"/>
  <c r="F26" i="67"/>
  <c r="D4" i="73"/>
  <c r="F38" i="15"/>
  <c r="B12" i="76"/>
  <c r="M26" i="15"/>
  <c r="M6" i="67"/>
  <c r="F16" i="67"/>
  <c r="M28" i="67"/>
  <c r="J15" i="67"/>
  <c r="E8" i="76"/>
  <c r="M24" i="67"/>
  <c r="F43" i="67"/>
  <c r="B9" i="76"/>
  <c r="B8" i="76"/>
  <c r="E7" i="76"/>
  <c r="E2" i="69"/>
  <c r="B7" i="76"/>
  <c r="F9" i="15"/>
  <c r="D6" i="73"/>
  <c r="F3" i="73"/>
  <c r="F36" i="15"/>
  <c r="E11" i="76"/>
  <c r="M22" i="67"/>
  <c r="L48" i="67"/>
  <c r="B10" i="76"/>
  <c r="F26" i="15"/>
  <c r="M24" i="15"/>
  <c r="F6" i="73"/>
  <c r="F7" i="67"/>
  <c r="E13" i="76"/>
  <c r="B11" i="76"/>
  <c r="M8" i="67"/>
  <c r="M9" i="15"/>
  <c r="F40" i="67"/>
  <c r="AO13" i="1"/>
  <c r="M8" i="15"/>
  <c r="D5" i="73"/>
  <c r="E12" i="76"/>
  <c r="M6" i="15"/>
  <c r="F4" i="73"/>
  <c r="L47" i="15"/>
  <c r="M29" i="15"/>
  <c r="F20" i="31"/>
  <c r="E2" i="68"/>
  <c r="E9" i="76"/>
  <c r="F37" i="15"/>
  <c r="B13" i="76"/>
  <c r="E10" i="76"/>
  <c r="M23" i="15"/>
  <c r="F42" i="15"/>
  <c r="F7" i="73"/>
  <c r="D3" i="73"/>
  <c r="F7" i="15"/>
  <c r="C20" i="71" l="1"/>
  <c r="D21" i="71"/>
  <c r="S23" i="39"/>
  <c r="AA23" i="39"/>
  <c r="AZ569" i="3"/>
  <c r="U23" i="33"/>
  <c r="U12" i="39"/>
  <c r="AB12" i="39"/>
  <c r="AA23" i="33"/>
  <c r="AA25" i="33"/>
  <c r="U15" i="21"/>
  <c r="AA19" i="33"/>
  <c r="S19" i="33"/>
  <c r="AC25" i="33"/>
  <c r="AA32" i="21"/>
  <c r="W17" i="21"/>
  <c r="AZ507" i="3"/>
  <c r="AZ527" i="3"/>
  <c r="AZ543" i="3"/>
  <c r="AB17" i="33"/>
  <c r="S17" i="33"/>
  <c r="AC23" i="37"/>
  <c r="W9" i="21"/>
  <c r="AC17" i="33"/>
  <c r="W32" i="33"/>
  <c r="E15" i="71"/>
  <c r="E14" i="71" s="1"/>
  <c r="E13" i="71" s="1"/>
  <c r="E12" i="71" s="1"/>
  <c r="V16" i="71"/>
  <c r="AZ557" i="3"/>
  <c r="S32" i="37"/>
  <c r="S30" i="40"/>
  <c r="U43" i="33"/>
  <c r="AA41" i="34"/>
  <c r="S20" i="35"/>
  <c r="AB27" i="40"/>
  <c r="W34" i="33"/>
  <c r="S15" i="37"/>
  <c r="M85" i="43"/>
  <c r="N85" i="43" s="1"/>
  <c r="K85" i="43"/>
  <c r="W31" i="34"/>
  <c r="F29" i="6"/>
  <c r="S45" i="33"/>
  <c r="AA14" i="37"/>
  <c r="U46" i="33"/>
  <c r="AB30" i="21"/>
  <c r="W44" i="33"/>
  <c r="AC30" i="34"/>
  <c r="AA13" i="35"/>
  <c r="AA27" i="40"/>
  <c r="AC31" i="33"/>
  <c r="W29" i="33"/>
  <c r="B79" i="43"/>
  <c r="F34" i="35"/>
  <c r="H34" i="35"/>
  <c r="F25" i="37"/>
  <c r="H9" i="34"/>
  <c r="J9" i="34"/>
  <c r="H36" i="35"/>
  <c r="J36" i="35"/>
  <c r="H38" i="40"/>
  <c r="F38" i="40"/>
  <c r="J38" i="40"/>
  <c r="J9" i="36"/>
  <c r="H9" i="36"/>
  <c r="J24" i="36"/>
  <c r="G558" i="3"/>
  <c r="BL550" i="3"/>
  <c r="AZ550" i="3" s="1"/>
  <c r="BL548" i="3"/>
  <c r="AZ548" i="3" s="1"/>
  <c r="AA29" i="35"/>
  <c r="U33" i="35"/>
  <c r="AZ400" i="3"/>
  <c r="AZ403" i="3"/>
  <c r="AZ449" i="3"/>
  <c r="AZ462" i="3"/>
  <c r="AZ480" i="3"/>
  <c r="AZ415" i="3"/>
  <c r="AZ459" i="3"/>
  <c r="AZ478" i="3"/>
  <c r="AZ404" i="3"/>
  <c r="AZ418" i="3"/>
  <c r="AZ425" i="3"/>
  <c r="AZ454" i="3"/>
  <c r="AZ482" i="3"/>
  <c r="AZ446" i="3"/>
  <c r="AZ455" i="3"/>
  <c r="AZ460" i="3"/>
  <c r="AZ397" i="3"/>
  <c r="G582" i="3"/>
  <c r="AZ414" i="3"/>
  <c r="AZ420" i="3"/>
  <c r="AZ452" i="3"/>
  <c r="AZ453" i="3"/>
  <c r="AZ469" i="3"/>
  <c r="AZ470" i="3"/>
  <c r="AZ413" i="3"/>
  <c r="AZ444" i="3"/>
  <c r="AZ445" i="3"/>
  <c r="AZ448" i="3"/>
  <c r="AZ477" i="3"/>
  <c r="AZ435" i="3"/>
  <c r="AZ471" i="3"/>
  <c r="AZ210" i="3"/>
  <c r="F44" i="39"/>
  <c r="AZ421" i="3"/>
  <c r="AZ426" i="3"/>
  <c r="AZ429" i="3"/>
  <c r="AZ463" i="3"/>
  <c r="BA374" i="3"/>
  <c r="AZ374" i="3" s="1"/>
  <c r="BL210" i="3"/>
  <c r="BA367" i="3"/>
  <c r="AZ367" i="3" s="1"/>
  <c r="BL211" i="3"/>
  <c r="BL212" i="3"/>
  <c r="AZ228" i="3"/>
  <c r="BL234" i="3"/>
  <c r="AZ267" i="3"/>
  <c r="AZ300" i="3"/>
  <c r="BA366" i="3"/>
  <c r="AZ366" i="3" s="1"/>
  <c r="BL213" i="3"/>
  <c r="AZ213" i="3" s="1"/>
  <c r="BA216" i="3"/>
  <c r="AZ216" i="3" s="1"/>
  <c r="AZ226" i="3"/>
  <c r="BA227" i="3"/>
  <c r="AZ227" i="3" s="1"/>
  <c r="BA230" i="3"/>
  <c r="AZ230" i="3" s="1"/>
  <c r="AZ276" i="3"/>
  <c r="AZ277" i="3"/>
  <c r="AZ125" i="3"/>
  <c r="F6" i="1"/>
  <c r="G6" i="1" s="1"/>
  <c r="BA350" i="3"/>
  <c r="AZ350" i="3" s="1"/>
  <c r="BA395" i="3"/>
  <c r="BA218" i="3"/>
  <c r="BA219" i="3"/>
  <c r="AZ219" i="3" s="1"/>
  <c r="AZ220" i="3"/>
  <c r="BL232" i="3"/>
  <c r="AZ232" i="3" s="1"/>
  <c r="AZ258" i="3"/>
  <c r="AZ121" i="3"/>
  <c r="AZ122" i="3"/>
  <c r="AZ126" i="3"/>
  <c r="AZ145" i="3"/>
  <c r="BA386" i="3"/>
  <c r="AZ386" i="3" s="1"/>
  <c r="G215" i="3"/>
  <c r="BL215" i="3"/>
  <c r="AZ215" i="3" s="1"/>
  <c r="BL226" i="3"/>
  <c r="BL229" i="3"/>
  <c r="AZ229" i="3" s="1"/>
  <c r="AZ255" i="3"/>
  <c r="AZ272" i="3"/>
  <c r="AZ294" i="3"/>
  <c r="G384" i="3"/>
  <c r="BA208" i="3"/>
  <c r="AZ208" i="3" s="1"/>
  <c r="G217" i="3"/>
  <c r="BL218" i="3"/>
  <c r="BL223" i="3"/>
  <c r="AZ223" i="3" s="1"/>
  <c r="AZ161" i="3"/>
  <c r="BL395" i="3"/>
  <c r="BL397" i="3"/>
  <c r="BL224" i="3"/>
  <c r="AZ224" i="3" s="1"/>
  <c r="AZ236" i="3"/>
  <c r="AZ284" i="3"/>
  <c r="G380" i="3"/>
  <c r="BA211" i="3"/>
  <c r="AZ211" i="3" s="1"/>
  <c r="BA212" i="3"/>
  <c r="AZ212" i="3" s="1"/>
  <c r="BA234" i="3"/>
  <c r="AZ234" i="3" s="1"/>
  <c r="AZ113" i="3"/>
  <c r="BA140" i="3"/>
  <c r="AZ140" i="3" s="1"/>
  <c r="BL167" i="3"/>
  <c r="AZ167" i="3" s="1"/>
  <c r="BA180" i="3"/>
  <c r="AZ180" i="3" s="1"/>
  <c r="BA192" i="3"/>
  <c r="AZ192" i="3" s="1"/>
  <c r="BA26" i="3"/>
  <c r="AZ27" i="3"/>
  <c r="BL39" i="3"/>
  <c r="AZ39" i="3" s="1"/>
  <c r="BA75" i="3"/>
  <c r="G81" i="3"/>
  <c r="BL104" i="3"/>
  <c r="V28" i="71"/>
  <c r="E27" i="71"/>
  <c r="E26" i="71" s="1"/>
  <c r="AZ52" i="3"/>
  <c r="AZ98" i="3"/>
  <c r="C60" i="71"/>
  <c r="D59" i="71"/>
  <c r="G134" i="3"/>
  <c r="BL161" i="3"/>
  <c r="BA196" i="3"/>
  <c r="AZ196" i="3" s="1"/>
  <c r="BA198" i="3"/>
  <c r="AZ198" i="3" s="1"/>
  <c r="BA22" i="3"/>
  <c r="AZ22" i="3" s="1"/>
  <c r="BL26" i="3"/>
  <c r="G33" i="3"/>
  <c r="G5" i="3" s="1"/>
  <c r="B3" i="3" s="1"/>
  <c r="AZ48" i="3"/>
  <c r="BA50" i="3"/>
  <c r="BL52" i="3"/>
  <c r="AZ57" i="3"/>
  <c r="BL75" i="3"/>
  <c r="BL77" i="3"/>
  <c r="AZ77" i="3" s="1"/>
  <c r="BA95" i="3"/>
  <c r="AZ95" i="3" s="1"/>
  <c r="BA96" i="3"/>
  <c r="G101" i="3"/>
  <c r="BL102" i="3"/>
  <c r="AZ104" i="3"/>
  <c r="G128" i="3"/>
  <c r="BL155" i="3"/>
  <c r="AZ155" i="3" s="1"/>
  <c r="BA200" i="3"/>
  <c r="AZ200" i="3" s="1"/>
  <c r="BA202" i="3"/>
  <c r="AZ202" i="3" s="1"/>
  <c r="G23" i="3"/>
  <c r="BA47" i="3"/>
  <c r="BL72" i="3"/>
  <c r="AZ72" i="3" s="1"/>
  <c r="G74" i="3"/>
  <c r="BA90" i="3"/>
  <c r="BA93" i="3"/>
  <c r="BL98" i="3"/>
  <c r="D42" i="71"/>
  <c r="C43" i="71"/>
  <c r="BL198" i="3"/>
  <c r="BL27" i="3"/>
  <c r="BA44" i="3"/>
  <c r="BL49" i="3"/>
  <c r="AZ49" i="3" s="1"/>
  <c r="BL50" i="3"/>
  <c r="BA61" i="3"/>
  <c r="AZ61" i="3" s="1"/>
  <c r="BA64" i="3"/>
  <c r="AZ64" i="3" s="1"/>
  <c r="BA87" i="3"/>
  <c r="AZ87" i="3" s="1"/>
  <c r="BL96" i="3"/>
  <c r="G150" i="3"/>
  <c r="BL173" i="3"/>
  <c r="AZ173" i="3" s="1"/>
  <c r="BA177" i="3"/>
  <c r="AZ177" i="3" s="1"/>
  <c r="BA186" i="3"/>
  <c r="BA189" i="3"/>
  <c r="AZ189" i="3" s="1"/>
  <c r="G196" i="3"/>
  <c r="BA205" i="3"/>
  <c r="BL21" i="3"/>
  <c r="AZ21" i="3" s="1"/>
  <c r="BL24" i="3"/>
  <c r="AZ24" i="3" s="1"/>
  <c r="BL46" i="3"/>
  <c r="AZ46" i="3" s="1"/>
  <c r="BL47" i="3"/>
  <c r="BA60" i="3"/>
  <c r="AZ60" i="3" s="1"/>
  <c r="BL68" i="3"/>
  <c r="AZ68" i="3" s="1"/>
  <c r="BA83" i="3"/>
  <c r="AZ83" i="3" s="1"/>
  <c r="BL89" i="3"/>
  <c r="AZ89" i="3" s="1"/>
  <c r="BL90" i="3"/>
  <c r="BL93" i="3"/>
  <c r="AZ108" i="3"/>
  <c r="C27" i="71"/>
  <c r="T28" i="71"/>
  <c r="D28" i="71"/>
  <c r="U28" i="71" s="1"/>
  <c r="G144" i="3"/>
  <c r="BL175" i="3"/>
  <c r="AZ175" i="3" s="1"/>
  <c r="BA188" i="3"/>
  <c r="AZ188" i="3" s="1"/>
  <c r="G202" i="3"/>
  <c r="BA206" i="3"/>
  <c r="AZ206" i="3" s="1"/>
  <c r="BA207" i="3"/>
  <c r="AZ207" i="3" s="1"/>
  <c r="BA35" i="3"/>
  <c r="AZ35" i="3" s="1"/>
  <c r="BA36" i="3"/>
  <c r="AZ36" i="3" s="1"/>
  <c r="BA37" i="3"/>
  <c r="AZ37" i="3" s="1"/>
  <c r="BA38" i="3"/>
  <c r="AZ38" i="3" s="1"/>
  <c r="BA40" i="3"/>
  <c r="AZ40" i="3" s="1"/>
  <c r="BL43" i="3"/>
  <c r="AZ43" i="3" s="1"/>
  <c r="BL44" i="3"/>
  <c r="BA55" i="3"/>
  <c r="AZ55" i="3" s="1"/>
  <c r="BL62" i="3"/>
  <c r="AZ62" i="3" s="1"/>
  <c r="BL63" i="3"/>
  <c r="AZ63" i="3" s="1"/>
  <c r="BL65" i="3"/>
  <c r="AZ65" i="3" s="1"/>
  <c r="BL66" i="3"/>
  <c r="AZ66" i="3" s="1"/>
  <c r="AZ70" i="3"/>
  <c r="BA80" i="3"/>
  <c r="AZ80" i="3" s="1"/>
  <c r="BL86" i="3"/>
  <c r="AZ86" i="3" s="1"/>
  <c r="G88" i="3"/>
  <c r="BA169" i="3"/>
  <c r="AZ169" i="3" s="1"/>
  <c r="G175" i="3"/>
  <c r="BA181" i="3"/>
  <c r="AZ181" i="3" s="1"/>
  <c r="BL186" i="3"/>
  <c r="BL205" i="3"/>
  <c r="BA18" i="3"/>
  <c r="AZ18" i="3" s="1"/>
  <c r="AZ34" i="3"/>
  <c r="AZ78" i="3"/>
  <c r="BA102" i="3"/>
  <c r="AZ102" i="3" s="1"/>
  <c r="AB21" i="34"/>
  <c r="AA21" i="34"/>
  <c r="AA3" i="71"/>
  <c r="AB31" i="71"/>
  <c r="Y35" i="71"/>
  <c r="Z35" i="71" s="1"/>
  <c r="D62" i="71"/>
  <c r="C63" i="71"/>
  <c r="Y22" i="71"/>
  <c r="Z22" i="71" s="1"/>
  <c r="AA22" i="71"/>
  <c r="X22" i="71"/>
  <c r="BL112" i="3"/>
  <c r="AZ112" i="3" s="1"/>
  <c r="W21" i="21"/>
  <c r="W18" i="35"/>
  <c r="B100" i="43"/>
  <c r="B57" i="43"/>
  <c r="AA25" i="40"/>
  <c r="X38" i="71"/>
  <c r="AB33" i="71"/>
  <c r="Y29" i="71"/>
  <c r="Z29" i="71" s="1"/>
  <c r="Y30" i="71"/>
  <c r="Z30" i="71" s="1"/>
  <c r="AB36" i="71"/>
  <c r="Y9" i="71"/>
  <c r="Z9" i="71" s="1"/>
  <c r="Y10" i="71"/>
  <c r="Z10" i="71" s="1"/>
  <c r="F71" i="71"/>
  <c r="F70" i="71" s="1"/>
  <c r="AB23" i="71"/>
  <c r="Y12" i="71"/>
  <c r="Z12" i="71" s="1"/>
  <c r="BA110" i="3"/>
  <c r="AZ110" i="3" s="1"/>
  <c r="B88" i="43"/>
  <c r="C25" i="40"/>
  <c r="P27" i="6"/>
  <c r="C39" i="71"/>
  <c r="Y27" i="71"/>
  <c r="Z27" i="71" s="1"/>
  <c r="C35" i="71"/>
  <c r="AA33" i="71"/>
  <c r="E30" i="71"/>
  <c r="E31" i="71" s="1"/>
  <c r="E32" i="71" s="1"/>
  <c r="U32" i="71" s="1"/>
  <c r="X32" i="71"/>
  <c r="Y33" i="71"/>
  <c r="Z33" i="71" s="1"/>
  <c r="Y34" i="71"/>
  <c r="Z34" i="71" s="1"/>
  <c r="D51" i="71"/>
  <c r="C52" i="71"/>
  <c r="P68" i="71"/>
  <c r="Y18" i="71"/>
  <c r="Z18" i="71" s="1"/>
  <c r="D66" i="71"/>
  <c r="O66" i="71"/>
  <c r="B38" i="71"/>
  <c r="B39" i="71" s="1"/>
  <c r="B40" i="71" s="1"/>
  <c r="S40" i="71" s="1"/>
  <c r="X37" i="71"/>
  <c r="AB24" i="71"/>
  <c r="AA11" i="71"/>
  <c r="G106" i="3"/>
  <c r="AB21" i="21"/>
  <c r="AA21" i="21"/>
  <c r="N65" i="71"/>
  <c r="AB25" i="71"/>
  <c r="AB28" i="71"/>
  <c r="AB27" i="71"/>
  <c r="AA28" i="71"/>
  <c r="AA27" i="71"/>
  <c r="D31" i="71"/>
  <c r="C32" i="71"/>
  <c r="Y26" i="71"/>
  <c r="Z26" i="71" s="1"/>
  <c r="AA32" i="71"/>
  <c r="E35" i="71"/>
  <c r="E36" i="71" s="1"/>
  <c r="U36" i="71" s="1"/>
  <c r="X33" i="71"/>
  <c r="AB30" i="71"/>
  <c r="Y32" i="71"/>
  <c r="Z32" i="71" s="1"/>
  <c r="AB34" i="71"/>
  <c r="AB39" i="71"/>
  <c r="F75" i="71"/>
  <c r="F74" i="71" s="1"/>
  <c r="AA18" i="71"/>
  <c r="Y14" i="71"/>
  <c r="Z14" i="71" s="1"/>
  <c r="X17" i="71"/>
  <c r="G103" i="3"/>
  <c r="E67" i="71"/>
  <c r="X26" i="71"/>
  <c r="Y25" i="71"/>
  <c r="Z25" i="71" s="1"/>
  <c r="X36" i="71"/>
  <c r="X29" i="71"/>
  <c r="X28" i="71"/>
  <c r="X24" i="71"/>
  <c r="X30" i="71"/>
  <c r="X27" i="71"/>
  <c r="E38" i="71"/>
  <c r="E39" i="71" s="1"/>
  <c r="E40" i="71" s="1"/>
  <c r="U40" i="71" s="1"/>
  <c r="AA36" i="71"/>
  <c r="AB38" i="71"/>
  <c r="B48" i="71"/>
  <c r="S48" i="71" s="1"/>
  <c r="B79" i="71"/>
  <c r="B78" i="71" s="1"/>
  <c r="Y24" i="71"/>
  <c r="Z24" i="71" s="1"/>
  <c r="AA21" i="71"/>
  <c r="AB18" i="71"/>
  <c r="BA100" i="3"/>
  <c r="AZ100" i="3" s="1"/>
  <c r="U29" i="39"/>
  <c r="AA26" i="71"/>
  <c r="F28" i="71"/>
  <c r="F27" i="71" s="1"/>
  <c r="F26" i="71" s="1"/>
  <c r="D46" i="71"/>
  <c r="X25" i="71"/>
  <c r="X31" i="71"/>
  <c r="Y31" i="71"/>
  <c r="Z31" i="71" s="1"/>
  <c r="AB37" i="71"/>
  <c r="E51" i="71"/>
  <c r="E52" i="71" s="1"/>
  <c r="U52" i="71" s="1"/>
  <c r="F66" i="71"/>
  <c r="Q67" i="71"/>
  <c r="AA24" i="71"/>
  <c r="AB10" i="71"/>
  <c r="AB14" i="71"/>
  <c r="BL99" i="3"/>
  <c r="AZ99" i="3" s="1"/>
  <c r="AC21" i="34"/>
  <c r="U25" i="40"/>
  <c r="O65" i="71"/>
  <c r="AA25" i="71"/>
  <c r="X35" i="71"/>
  <c r="AB29" i="71"/>
  <c r="Y28" i="71"/>
  <c r="Z28" i="71" s="1"/>
  <c r="F40" i="71"/>
  <c r="V40" i="71" s="1"/>
  <c r="X9" i="71"/>
  <c r="X10" i="71"/>
  <c r="F59" i="71"/>
  <c r="F60" i="71" s="1"/>
  <c r="V60" i="71" s="1"/>
  <c r="AB21" i="71"/>
  <c r="Y23" i="71"/>
  <c r="Z23" i="71" s="1"/>
  <c r="X21" i="71"/>
  <c r="X18" i="71"/>
  <c r="AB13" i="71"/>
  <c r="AA10" i="71"/>
  <c r="AB17" i="71"/>
  <c r="X15" i="71"/>
  <c r="Y11" i="71"/>
  <c r="Z11" i="71" s="1"/>
  <c r="F24" i="71"/>
  <c r="F23" i="71" s="1"/>
  <c r="F22" i="71" s="1"/>
  <c r="F21" i="71" s="1"/>
  <c r="F20" i="71" s="1"/>
  <c r="F19" i="71" s="1"/>
  <c r="F18" i="71" s="1"/>
  <c r="F17" i="71" s="1"/>
  <c r="Y13" i="71"/>
  <c r="Z13" i="71" s="1"/>
  <c r="AA23" i="71"/>
  <c r="AA15" i="71"/>
  <c r="AA13" i="71"/>
  <c r="X12" i="71"/>
  <c r="J51" i="15"/>
  <c r="M59" i="15" s="1"/>
  <c r="U18" i="36"/>
  <c r="V24" i="71"/>
  <c r="AB15" i="71"/>
  <c r="Y17" i="71"/>
  <c r="Z17" i="71" s="1"/>
  <c r="AA9" i="71"/>
  <c r="X13" i="71"/>
  <c r="Y21" i="71"/>
  <c r="Z21" i="71" s="1"/>
  <c r="AA12" i="71"/>
  <c r="AB12" i="71"/>
  <c r="AA17" i="71"/>
  <c r="X11" i="71"/>
  <c r="AA39" i="71"/>
  <c r="K56" i="9"/>
  <c r="AA14" i="71"/>
  <c r="AB11" i="71"/>
  <c r="X14" i="71"/>
  <c r="C40" i="69"/>
  <c r="F9" i="1"/>
  <c r="G9" i="1" s="1"/>
  <c r="G44" i="43"/>
  <c r="H83" i="43"/>
  <c r="G83" i="43" s="1"/>
  <c r="B76" i="43"/>
  <c r="C29" i="39"/>
  <c r="B75" i="43"/>
  <c r="B68" i="43"/>
  <c r="B73" i="43"/>
  <c r="C21" i="68"/>
  <c r="C40" i="68"/>
  <c r="BL5" i="3"/>
  <c r="AZ14" i="3"/>
  <c r="G28" i="6"/>
  <c r="D19" i="53"/>
  <c r="B38" i="72" s="1"/>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N370" i="46" s="1"/>
  <c r="E29" i="6"/>
  <c r="K15" i="1" s="1"/>
  <c r="F30" i="6"/>
  <c r="G30" i="6"/>
  <c r="G31" i="6" s="1"/>
  <c r="E28" i="6"/>
  <c r="L19" i="6"/>
  <c r="L27" i="6" s="1"/>
  <c r="M6" i="1"/>
  <c r="O6" i="1" s="1"/>
  <c r="T13" i="1"/>
  <c r="C58" i="21"/>
  <c r="D58" i="21" s="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5" i="43"/>
  <c r="D85"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K14" i="1"/>
  <c r="D9" i="11"/>
  <c r="C9" i="11" s="1"/>
  <c r="D19" i="12"/>
  <c r="C19" i="12" s="1"/>
  <c r="AZ13" i="3"/>
  <c r="O9" i="1"/>
  <c r="P9" i="1" s="1"/>
  <c r="O12" i="1"/>
  <c r="P12" i="1" s="1"/>
  <c r="O8" i="1"/>
  <c r="P8" i="1" s="1"/>
  <c r="H73" i="43"/>
  <c r="H90" i="43"/>
  <c r="G90" i="43" s="1"/>
  <c r="C23" i="43"/>
  <c r="O23" i="43"/>
  <c r="I18" i="43"/>
  <c r="E17" i="43" s="1"/>
  <c r="C17" i="43" s="1"/>
  <c r="A1" i="79"/>
  <c r="H55" i="43"/>
  <c r="H86" i="43"/>
  <c r="G86" i="43" s="1"/>
  <c r="H87" i="43"/>
  <c r="G87" i="43" s="1"/>
  <c r="H89" i="43"/>
  <c r="G89" i="43" s="1"/>
  <c r="H88" i="43"/>
  <c r="G88" i="43" s="1"/>
  <c r="H84" i="43"/>
  <c r="G84" i="43" s="1"/>
  <c r="C69" i="39"/>
  <c r="D67" i="39"/>
  <c r="D69" i="39" s="1"/>
  <c r="A19" i="51"/>
  <c r="B14" i="72" s="1"/>
  <c r="T35" i="4"/>
  <c r="H110" i="9"/>
  <c r="D18" i="53" s="1"/>
  <c r="B35" i="72" s="1"/>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7"/>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AF3" i="71"/>
  <c r="P26" i="43" s="1"/>
  <c r="K1" i="73"/>
  <c r="B20" i="31"/>
  <c r="B21" i="31" s="1"/>
  <c r="I1" i="73"/>
  <c r="B39" i="1" s="1"/>
  <c r="J53" i="67"/>
  <c r="J57" i="67"/>
  <c r="J55" i="67" s="1"/>
  <c r="J58" i="67" s="1"/>
  <c r="Q50" i="67" s="1"/>
  <c r="L56" i="67"/>
  <c r="I54" i="67"/>
  <c r="M7" i="15"/>
  <c r="J6" i="15" s="1"/>
  <c r="F50" i="15"/>
  <c r="F71" i="15"/>
  <c r="L59" i="15"/>
  <c r="N59" i="15"/>
  <c r="F66" i="15"/>
  <c r="F64" i="15"/>
  <c r="C27" i="67"/>
  <c r="F71" i="67"/>
  <c r="C27" i="15"/>
  <c r="F65" i="15"/>
  <c r="B13" i="70"/>
  <c r="M7" i="67"/>
  <c r="F50" i="67"/>
  <c r="F68" i="67"/>
  <c r="D9" i="69"/>
  <c r="C36" i="69"/>
  <c r="D9" i="68"/>
  <c r="C36" i="68"/>
  <c r="M26" i="67"/>
  <c r="G1" i="73"/>
  <c r="L47" i="67"/>
  <c r="F40" i="15"/>
  <c r="F16" i="15"/>
  <c r="F42" i="67"/>
  <c r="C16" i="67"/>
  <c r="M29" i="67"/>
  <c r="C76" i="15"/>
  <c r="F8" i="67"/>
  <c r="F8" i="15"/>
  <c r="L48" i="15"/>
  <c r="F36" i="67"/>
  <c r="F38" i="67"/>
  <c r="F6" i="67"/>
  <c r="J15" i="15"/>
  <c r="D7" i="73"/>
  <c r="M22" i="15"/>
  <c r="M9" i="67"/>
  <c r="M23" i="67"/>
  <c r="M28" i="15"/>
  <c r="F6" i="15"/>
  <c r="F37" i="67"/>
  <c r="F9" i="67"/>
  <c r="C76" i="67"/>
  <c r="C6" i="15" l="1"/>
  <c r="F65" i="67"/>
  <c r="F64" i="67"/>
  <c r="F66" i="67"/>
  <c r="C6" i="67"/>
  <c r="C32" i="67" s="1"/>
  <c r="F51" i="15"/>
  <c r="C49" i="15" s="1"/>
  <c r="L58" i="15"/>
  <c r="Q60" i="15" s="1"/>
  <c r="I54" i="15"/>
  <c r="J57" i="15"/>
  <c r="J55" i="15" s="1"/>
  <c r="J58" i="15" s="1"/>
  <c r="Q50" i="15" s="1"/>
  <c r="J53" i="15"/>
  <c r="L56" i="15" s="1"/>
  <c r="Q71" i="15"/>
  <c r="F68" i="15"/>
  <c r="F51" i="67"/>
  <c r="Q71" i="67"/>
  <c r="L58" i="67"/>
  <c r="Q60" i="67" s="1"/>
  <c r="N59" i="67"/>
  <c r="L59" i="67"/>
  <c r="Q61" i="67" s="1"/>
  <c r="M59" i="67"/>
  <c r="E13" i="3"/>
  <c r="E461" i="3"/>
  <c r="E99" i="3"/>
  <c r="K6" i="3"/>
  <c r="E406" i="3"/>
  <c r="W6" i="3"/>
  <c r="E471" i="3"/>
  <c r="E73" i="3"/>
  <c r="E256" i="3"/>
  <c r="E394" i="3"/>
  <c r="E32" i="3"/>
  <c r="E236" i="3"/>
  <c r="E164" i="3"/>
  <c r="AG6" i="3"/>
  <c r="P6" i="3"/>
  <c r="E558" i="3"/>
  <c r="E444" i="3"/>
  <c r="E88" i="3"/>
  <c r="E166" i="3"/>
  <c r="E316" i="3"/>
  <c r="E30" i="3"/>
  <c r="E238" i="3"/>
  <c r="E228" i="3"/>
  <c r="E532" i="3"/>
  <c r="E438" i="3"/>
  <c r="AE6" i="3"/>
  <c r="E433" i="3"/>
  <c r="E111" i="3"/>
  <c r="E279" i="3"/>
  <c r="E318" i="3"/>
  <c r="E567" i="3"/>
  <c r="E269" i="3"/>
  <c r="E107" i="3"/>
  <c r="E515" i="3"/>
  <c r="E414" i="3"/>
  <c r="E505" i="3"/>
  <c r="E476" i="3"/>
  <c r="E27" i="3"/>
  <c r="E186" i="3"/>
  <c r="E331" i="3"/>
  <c r="E44" i="3"/>
  <c r="E530" i="3"/>
  <c r="E305" i="3"/>
  <c r="E388" i="3"/>
  <c r="E410" i="3"/>
  <c r="E143" i="3"/>
  <c r="E533" i="3"/>
  <c r="E561" i="3"/>
  <c r="E439" i="3"/>
  <c r="E231" i="3"/>
  <c r="E185" i="3"/>
  <c r="E528" i="3"/>
  <c r="E361" i="3"/>
  <c r="E180" i="3"/>
  <c r="E134" i="3"/>
  <c r="E350" i="3"/>
  <c r="E495" i="3"/>
  <c r="E399" i="3"/>
  <c r="E85" i="3"/>
  <c r="E157" i="3"/>
  <c r="Q6" i="3"/>
  <c r="E424" i="3"/>
  <c r="E571" i="3"/>
  <c r="E454" i="3"/>
  <c r="E146" i="3"/>
  <c r="E214" i="3"/>
  <c r="E362" i="3"/>
  <c r="E227" i="3"/>
  <c r="E89" i="3"/>
  <c r="E327" i="3"/>
  <c r="AO6" i="3"/>
  <c r="E400" i="3"/>
  <c r="E557" i="3"/>
  <c r="E489" i="3"/>
  <c r="E70" i="3"/>
  <c r="E211" i="3"/>
  <c r="E377" i="3"/>
  <c r="E109" i="3"/>
  <c r="E526" i="3"/>
  <c r="E322" i="3"/>
  <c r="E509" i="3"/>
  <c r="E431" i="3"/>
  <c r="E201" i="3"/>
  <c r="E514" i="3"/>
  <c r="M6" i="3"/>
  <c r="E387" i="3"/>
  <c r="E215" i="3"/>
  <c r="E69" i="3"/>
  <c r="E563" i="3"/>
  <c r="E445" i="3"/>
  <c r="E161" i="3"/>
  <c r="E191" i="3"/>
  <c r="E423" i="3"/>
  <c r="E385" i="3"/>
  <c r="X6" i="3"/>
  <c r="E221" i="3"/>
  <c r="E418" i="3"/>
  <c r="E213" i="3"/>
  <c r="E254" i="3"/>
  <c r="AN6" i="3"/>
  <c r="E136" i="3"/>
  <c r="E120" i="3"/>
  <c r="E560" i="3"/>
  <c r="E457" i="3"/>
  <c r="E577" i="3"/>
  <c r="E475" i="3"/>
  <c r="E168" i="3"/>
  <c r="E257" i="3"/>
  <c r="E14" i="3"/>
  <c r="E397" i="3"/>
  <c r="E207" i="3"/>
  <c r="E379" i="3"/>
  <c r="E411" i="3"/>
  <c r="E432" i="3"/>
  <c r="E547" i="3"/>
  <c r="E546" i="3"/>
  <c r="E92" i="3"/>
  <c r="E272" i="3"/>
  <c r="E317" i="3"/>
  <c r="E29" i="3"/>
  <c r="E53" i="3"/>
  <c r="E501" i="3"/>
  <c r="E426" i="3"/>
  <c r="O6" i="3"/>
  <c r="E359" i="3"/>
  <c r="E97" i="3"/>
  <c r="S6" i="3"/>
  <c r="E506" i="3"/>
  <c r="E338" i="3"/>
  <c r="E298" i="3"/>
  <c r="E237" i="3"/>
  <c r="E565" i="3"/>
  <c r="E17" i="3"/>
  <c r="E159" i="3"/>
  <c r="E402" i="3"/>
  <c r="E353" i="3"/>
  <c r="AA6" i="3"/>
  <c r="E434" i="3"/>
  <c r="E277" i="3"/>
  <c r="E529" i="3"/>
  <c r="E465" i="3"/>
  <c r="E537" i="3"/>
  <c r="E55" i="3"/>
  <c r="E203" i="3"/>
  <c r="E274" i="3"/>
  <c r="E580" i="3"/>
  <c r="I6" i="3"/>
  <c r="E252" i="3"/>
  <c r="E576" i="3"/>
  <c r="E448" i="3"/>
  <c r="E443" i="3"/>
  <c r="E581" i="3"/>
  <c r="E404" i="3"/>
  <c r="E121" i="3"/>
  <c r="E295" i="3"/>
  <c r="E334" i="3"/>
  <c r="E480" i="3"/>
  <c r="E125" i="3"/>
  <c r="E553" i="3"/>
  <c r="N6" i="3"/>
  <c r="E516" i="3"/>
  <c r="E396" i="3"/>
  <c r="E151" i="3"/>
  <c r="E559" i="3"/>
  <c r="V6" i="3"/>
  <c r="E320" i="3"/>
  <c r="E230" i="3"/>
  <c r="E114" i="3"/>
  <c r="E395" i="3"/>
  <c r="E550" i="3"/>
  <c r="E290" i="3"/>
  <c r="E245" i="3"/>
  <c r="E578" i="3"/>
  <c r="E293" i="3"/>
  <c r="E583" i="3"/>
  <c r="E545" i="3"/>
  <c r="E313" i="3"/>
  <c r="E474" i="3"/>
  <c r="E288" i="3"/>
  <c r="E429" i="3"/>
  <c r="E72" i="3"/>
  <c r="E351" i="3"/>
  <c r="E31" i="3"/>
  <c r="E549" i="3"/>
  <c r="E271" i="3"/>
  <c r="E585" i="3"/>
  <c r="E478" i="3"/>
  <c r="E477" i="3"/>
  <c r="AS6" i="3"/>
  <c r="E447" i="3"/>
  <c r="E162" i="3"/>
  <c r="E210" i="3"/>
  <c r="E384" i="3"/>
  <c r="E441" i="3"/>
  <c r="E175" i="3"/>
  <c r="E343" i="3"/>
  <c r="E508" i="3"/>
  <c r="E555" i="3"/>
  <c r="E337" i="3"/>
  <c r="E270" i="3"/>
  <c r="AR6" i="3"/>
  <c r="E538" i="3"/>
  <c r="E380" i="3"/>
  <c r="E216" i="3"/>
  <c r="E261" i="3"/>
  <c r="E183" i="3"/>
  <c r="E503" i="3"/>
  <c r="E91" i="3"/>
  <c r="E301" i="3"/>
  <c r="E586" i="3"/>
  <c r="E124" i="3"/>
  <c r="E347" i="3"/>
  <c r="E319" i="3"/>
  <c r="E153" i="3"/>
  <c r="E328" i="3"/>
  <c r="E574" i="3"/>
  <c r="E285" i="3"/>
  <c r="E390" i="3"/>
  <c r="E523" i="3"/>
  <c r="E321" i="3"/>
  <c r="E169" i="3"/>
  <c r="E304" i="3"/>
  <c r="E302" i="3"/>
  <c r="E303" i="3"/>
  <c r="E280" i="3"/>
  <c r="E366" i="3"/>
  <c r="E282" i="3"/>
  <c r="E239" i="3"/>
  <c r="E569" i="3"/>
  <c r="E229" i="3"/>
  <c r="E358" i="3"/>
  <c r="E551" i="3"/>
  <c r="E294" i="3"/>
  <c r="E130" i="3"/>
  <c r="E415" i="3"/>
  <c r="E117" i="3"/>
  <c r="E382" i="3"/>
  <c r="E336" i="3"/>
  <c r="E306" i="3"/>
  <c r="E330" i="3"/>
  <c r="E481" i="3"/>
  <c r="E562" i="3"/>
  <c r="E450" i="3"/>
  <c r="E106" i="3"/>
  <c r="E171" i="3"/>
  <c r="E315" i="3"/>
  <c r="E74" i="3"/>
  <c r="E368" i="3"/>
  <c r="E204" i="3"/>
  <c r="Z6" i="3"/>
  <c r="E485" i="3"/>
  <c r="E345" i="3"/>
  <c r="E531" i="3"/>
  <c r="E28" i="3"/>
  <c r="E182" i="3"/>
  <c r="E273" i="3"/>
  <c r="E572" i="3"/>
  <c r="E217" i="3"/>
  <c r="E268" i="3"/>
  <c r="AJ6" i="3"/>
  <c r="E579" i="3"/>
  <c r="E247" i="3"/>
  <c r="E311" i="3"/>
  <c r="E570" i="3"/>
  <c r="AB6" i="3"/>
  <c r="E335" i="3"/>
  <c r="E189" i="3"/>
  <c r="E278" i="3"/>
  <c r="E172" i="3"/>
  <c r="E535" i="3"/>
  <c r="E135" i="3"/>
  <c r="E263" i="3"/>
  <c r="AI6" i="3"/>
  <c r="E246" i="3"/>
  <c r="E407" i="3"/>
  <c r="E260" i="3"/>
  <c r="E61" i="3"/>
  <c r="E518" i="3"/>
  <c r="E77" i="3"/>
  <c r="E262" i="3"/>
  <c r="E519" i="3"/>
  <c r="E527" i="3"/>
  <c r="E587" i="3"/>
  <c r="E468" i="3"/>
  <c r="E54" i="3"/>
  <c r="E208" i="3"/>
  <c r="E357" i="3"/>
  <c r="E93" i="3"/>
  <c r="E196" i="3"/>
  <c r="E145" i="3"/>
  <c r="U6" i="3"/>
  <c r="E548" i="3"/>
  <c r="E367" i="3"/>
  <c r="E403" i="3"/>
  <c r="E71" i="3"/>
  <c r="E126" i="3"/>
  <c r="E291" i="3"/>
  <c r="AM6" i="3"/>
  <c r="E150" i="3"/>
  <c r="J6" i="67"/>
  <c r="J18" i="67" s="1"/>
  <c r="D32" i="71"/>
  <c r="T32" i="71"/>
  <c r="AZ90" i="3"/>
  <c r="AZ26" i="3"/>
  <c r="AA44" i="39"/>
  <c r="S44" i="39"/>
  <c r="AC9" i="36"/>
  <c r="W9" i="36"/>
  <c r="AA25" i="37"/>
  <c r="S25" i="37"/>
  <c r="M84" i="43"/>
  <c r="N84" i="43" s="1"/>
  <c r="K84" i="43"/>
  <c r="AZ205" i="3"/>
  <c r="AZ44" i="3"/>
  <c r="AZ5" i="3" s="1"/>
  <c r="AC38" i="40"/>
  <c r="W38" i="40"/>
  <c r="AB34" i="35"/>
  <c r="U34" i="35"/>
  <c r="I24" i="43"/>
  <c r="C24" i="43" s="1"/>
  <c r="P67" i="71"/>
  <c r="E66" i="71"/>
  <c r="C36" i="71"/>
  <c r="D35" i="71"/>
  <c r="AA38" i="40"/>
  <c r="S38" i="40"/>
  <c r="AA34" i="35"/>
  <c r="S34" i="35"/>
  <c r="E11" i="71"/>
  <c r="E10" i="71" s="1"/>
  <c r="E9" i="71" s="1"/>
  <c r="E8" i="71" s="1"/>
  <c r="E7" i="71" s="1"/>
  <c r="E6" i="71" s="1"/>
  <c r="E5" i="71" s="1"/>
  <c r="V12" i="71"/>
  <c r="K16" i="1"/>
  <c r="BA5" i="3"/>
  <c r="D52" i="71"/>
  <c r="T52" i="71"/>
  <c r="AZ47" i="3"/>
  <c r="AZ50" i="3"/>
  <c r="AB38" i="40"/>
  <c r="U38" i="40"/>
  <c r="M89" i="43"/>
  <c r="N89" i="43" s="1"/>
  <c r="K89" i="43"/>
  <c r="J89" i="43" s="1"/>
  <c r="D89" i="43" s="1"/>
  <c r="M87" i="43"/>
  <c r="N87" i="43" s="1"/>
  <c r="K87" i="43"/>
  <c r="C40" i="71"/>
  <c r="D39" i="71"/>
  <c r="D63" i="71"/>
  <c r="C64" i="71"/>
  <c r="AZ186" i="3"/>
  <c r="C44" i="71"/>
  <c r="D43" i="71"/>
  <c r="AC36" i="35"/>
  <c r="W36" i="35"/>
  <c r="M90" i="43"/>
  <c r="N90" i="43" s="1"/>
  <c r="K90" i="43"/>
  <c r="H7" i="36"/>
  <c r="K86" i="43"/>
  <c r="M86" i="43"/>
  <c r="N86" i="43" s="1"/>
  <c r="D27" i="71"/>
  <c r="C26" i="71"/>
  <c r="D26" i="71" s="1"/>
  <c r="AZ96" i="3"/>
  <c r="AZ75" i="3"/>
  <c r="AZ218" i="3"/>
  <c r="AB36" i="35"/>
  <c r="U36" i="35"/>
  <c r="M88" i="43"/>
  <c r="N88" i="43" s="1"/>
  <c r="K88" i="43"/>
  <c r="B15" i="71"/>
  <c r="B14" i="71" s="1"/>
  <c r="B13" i="71" s="1"/>
  <c r="B12" i="71" s="1"/>
  <c r="S16" i="71"/>
  <c r="F15" i="71"/>
  <c r="F14" i="71" s="1"/>
  <c r="F13" i="71" s="1"/>
  <c r="F12" i="71" s="1"/>
  <c r="F11" i="71" s="1"/>
  <c r="F10" i="71" s="1"/>
  <c r="F9" i="71" s="1"/>
  <c r="F8" i="71" s="1"/>
  <c r="F7" i="71" s="1"/>
  <c r="F6" i="71" s="1"/>
  <c r="F5" i="71" s="1"/>
  <c r="M23" i="43"/>
  <c r="D60" i="71"/>
  <c r="T60" i="71"/>
  <c r="AZ395" i="3"/>
  <c r="AC24" i="36"/>
  <c r="W24" i="36"/>
  <c r="AC9" i="34"/>
  <c r="W9" i="34"/>
  <c r="M83" i="43"/>
  <c r="N83" i="43" s="1"/>
  <c r="K83" i="43"/>
  <c r="Q65" i="71"/>
  <c r="Q66" i="71"/>
  <c r="AZ93" i="3"/>
  <c r="AB9" i="36"/>
  <c r="U9" i="36"/>
  <c r="AB9" i="34"/>
  <c r="U9" i="34"/>
  <c r="C19" i="71"/>
  <c r="D20" i="71"/>
  <c r="U20" i="71" s="1"/>
  <c r="T20" i="71"/>
  <c r="G16" i="1"/>
  <c r="F10" i="39" s="1"/>
  <c r="S10" i="39" s="1"/>
  <c r="E26" i="43"/>
  <c r="F26" i="43"/>
  <c r="P6" i="1"/>
  <c r="C13" i="12" s="1"/>
  <c r="H26" i="43"/>
  <c r="E181" i="3"/>
  <c r="G26" i="43"/>
  <c r="E472" i="3"/>
  <c r="E133" i="3"/>
  <c r="AK6" i="3"/>
  <c r="E568" i="3"/>
  <c r="J26" i="43"/>
  <c r="E458" i="3"/>
  <c r="E193" i="3"/>
  <c r="E511" i="3"/>
  <c r="E453" i="3"/>
  <c r="E496" i="3"/>
  <c r="E344" i="3"/>
  <c r="E437" i="3"/>
  <c r="E177" i="3"/>
  <c r="E128" i="3"/>
  <c r="E156" i="3"/>
  <c r="E224" i="3"/>
  <c r="E352" i="3"/>
  <c r="E122" i="3"/>
  <c r="N94" i="46"/>
  <c r="E59" i="40"/>
  <c r="E573" i="3"/>
  <c r="E45" i="3"/>
  <c r="E314" i="3"/>
  <c r="E253" i="3"/>
  <c r="E510" i="3"/>
  <c r="E148" i="3"/>
  <c r="E286" i="3"/>
  <c r="R6" i="3"/>
  <c r="E466" i="3"/>
  <c r="E449" i="3"/>
  <c r="AP6" i="3"/>
  <c r="E435" i="3"/>
  <c r="E479" i="3"/>
  <c r="E95" i="3"/>
  <c r="E192" i="3"/>
  <c r="E292" i="3"/>
  <c r="E389" i="3"/>
  <c r="E59" i="3"/>
  <c r="E425" i="3"/>
  <c r="E46" i="3"/>
  <c r="E142" i="3"/>
  <c r="E249" i="3"/>
  <c r="E310" i="3"/>
  <c r="E84" i="3"/>
  <c r="E144" i="3"/>
  <c r="E355" i="3"/>
  <c r="E63" i="3"/>
  <c r="E264" i="3"/>
  <c r="E513" i="3"/>
  <c r="E140" i="3"/>
  <c r="E369" i="3"/>
  <c r="T6" i="3"/>
  <c r="E469" i="3"/>
  <c r="E451" i="3"/>
  <c r="E497" i="3"/>
  <c r="E452" i="3"/>
  <c r="E26" i="3"/>
  <c r="E115" i="3"/>
  <c r="E225" i="3"/>
  <c r="E332" i="3"/>
  <c r="AL6" i="3"/>
  <c r="E75" i="3"/>
  <c r="E412" i="3"/>
  <c r="E78" i="3"/>
  <c r="E174" i="3"/>
  <c r="E235" i="3"/>
  <c r="E342" i="3"/>
  <c r="E86" i="3"/>
  <c r="E206" i="3"/>
  <c r="E370" i="3"/>
  <c r="E80" i="3"/>
  <c r="E287" i="3"/>
  <c r="E22" i="3"/>
  <c r="E149" i="3"/>
  <c r="E312" i="3"/>
  <c r="E552" i="3"/>
  <c r="E487" i="3"/>
  <c r="E459" i="3"/>
  <c r="E500" i="3"/>
  <c r="E460" i="3"/>
  <c r="E39" i="3"/>
  <c r="E131" i="3"/>
  <c r="E240" i="3"/>
  <c r="E348" i="3"/>
  <c r="E504" i="3"/>
  <c r="E488" i="3"/>
  <c r="E446" i="3"/>
  <c r="E65" i="3"/>
  <c r="E163" i="3"/>
  <c r="E266" i="3"/>
  <c r="E354" i="3"/>
  <c r="E24" i="3"/>
  <c r="E127" i="3"/>
  <c r="E341" i="3"/>
  <c r="E19" i="3"/>
  <c r="E222" i="3"/>
  <c r="E82" i="3"/>
  <c r="E329" i="3"/>
  <c r="E223" i="3"/>
  <c r="E393" i="3"/>
  <c r="E543" i="3"/>
  <c r="E507" i="3"/>
  <c r="E490" i="3"/>
  <c r="J6" i="3"/>
  <c r="E483" i="3"/>
  <c r="E40" i="3"/>
  <c r="E178" i="3"/>
  <c r="E242" i="3"/>
  <c r="E346" i="3"/>
  <c r="L6" i="3"/>
  <c r="E540" i="3"/>
  <c r="E455" i="3"/>
  <c r="E100" i="3"/>
  <c r="E194" i="3"/>
  <c r="E299" i="3"/>
  <c r="E392" i="3"/>
  <c r="E36" i="3"/>
  <c r="E147" i="3"/>
  <c r="E364" i="3"/>
  <c r="E62" i="3"/>
  <c r="E265" i="3"/>
  <c r="E101" i="3"/>
  <c r="E539" i="3"/>
  <c r="E575" i="3"/>
  <c r="E502" i="3"/>
  <c r="E541" i="3"/>
  <c r="E255" i="3"/>
  <c r="E554" i="3"/>
  <c r="E491" i="3"/>
  <c r="E56" i="3"/>
  <c r="E152" i="3"/>
  <c r="E258" i="3"/>
  <c r="E363" i="3"/>
  <c r="E544" i="3"/>
  <c r="E467" i="3"/>
  <c r="E103" i="3"/>
  <c r="E200" i="3"/>
  <c r="E300" i="3"/>
  <c r="E492" i="3"/>
  <c r="E184" i="3"/>
  <c r="E381" i="3"/>
  <c r="E81" i="3"/>
  <c r="E21" i="3"/>
  <c r="E212" i="3"/>
  <c r="E409" i="3"/>
  <c r="E67" i="3"/>
  <c r="E283" i="3"/>
  <c r="E205" i="3"/>
  <c r="E197" i="3"/>
  <c r="E525" i="3"/>
  <c r="E405" i="3"/>
  <c r="E512" i="3"/>
  <c r="E360" i="3"/>
  <c r="E470" i="3"/>
  <c r="E104" i="3"/>
  <c r="E198" i="3"/>
  <c r="E281" i="3"/>
  <c r="E391" i="3"/>
  <c r="E42" i="3"/>
  <c r="E428" i="3"/>
  <c r="E18" i="3"/>
  <c r="E129" i="3"/>
  <c r="E220" i="3"/>
  <c r="E324" i="3"/>
  <c r="E522" i="3"/>
  <c r="E34" i="3"/>
  <c r="E232" i="3"/>
  <c r="AF6" i="3"/>
  <c r="E113" i="3"/>
  <c r="E308" i="3"/>
  <c r="E83" i="3"/>
  <c r="E323" i="3"/>
  <c r="E417" i="3"/>
  <c r="E76" i="3"/>
  <c r="E64" i="3"/>
  <c r="E371" i="3"/>
  <c r="E68" i="3"/>
  <c r="E94" i="3"/>
  <c r="E275" i="3"/>
  <c r="E49" i="3"/>
  <c r="E326" i="3"/>
  <c r="E413" i="3"/>
  <c r="E375" i="3"/>
  <c r="E386" i="3"/>
  <c r="E373" i="3"/>
  <c r="E165" i="3"/>
  <c r="E167" i="3"/>
  <c r="AD6" i="3"/>
  <c r="E421" i="3"/>
  <c r="E398" i="3"/>
  <c r="E374" i="3"/>
  <c r="E582" i="3"/>
  <c r="E520" i="3"/>
  <c r="E90" i="3"/>
  <c r="E187" i="3"/>
  <c r="E297" i="3"/>
  <c r="E378" i="3"/>
  <c r="E58" i="3"/>
  <c r="E462" i="3"/>
  <c r="E47" i="3"/>
  <c r="E138" i="3"/>
  <c r="E248" i="3"/>
  <c r="E307" i="3"/>
  <c r="E584" i="3"/>
  <c r="E48" i="3"/>
  <c r="E250" i="3"/>
  <c r="Y6" i="3"/>
  <c r="E154" i="3"/>
  <c r="E132" i="3"/>
  <c r="E160" i="3"/>
  <c r="E23" i="3"/>
  <c r="E118" i="3"/>
  <c r="E482" i="3"/>
  <c r="E35" i="3"/>
  <c r="E542" i="3"/>
  <c r="E155" i="3"/>
  <c r="E209" i="3"/>
  <c r="E51" i="3"/>
  <c r="E16" i="3"/>
  <c r="E116" i="3"/>
  <c r="E493" i="3"/>
  <c r="E427" i="3"/>
  <c r="E422" i="3"/>
  <c r="E376" i="3"/>
  <c r="E498" i="3"/>
  <c r="E401" i="3"/>
  <c r="E25" i="3"/>
  <c r="E119" i="3"/>
  <c r="E226" i="3"/>
  <c r="E333" i="3"/>
  <c r="E60" i="3"/>
  <c r="E473" i="3"/>
  <c r="E79" i="3"/>
  <c r="E170" i="3"/>
  <c r="E234" i="3"/>
  <c r="E339" i="3"/>
  <c r="AQ6" i="3"/>
  <c r="E112" i="3"/>
  <c r="E289" i="3"/>
  <c r="E50" i="3"/>
  <c r="E176" i="3"/>
  <c r="E365" i="3"/>
  <c r="E241" i="3"/>
  <c r="E267" i="3"/>
  <c r="E233" i="3"/>
  <c r="E309" i="3"/>
  <c r="E190" i="3"/>
  <c r="E251" i="3"/>
  <c r="E464" i="3"/>
  <c r="E98" i="3"/>
  <c r="E284" i="3"/>
  <c r="E105" i="3"/>
  <c r="E419" i="3"/>
  <c r="E276" i="3"/>
  <c r="E38" i="3"/>
  <c r="E325" i="3"/>
  <c r="E340" i="3"/>
  <c r="E524" i="3"/>
  <c r="E536" i="3"/>
  <c r="E199" i="3"/>
  <c r="E499" i="3"/>
  <c r="E442" i="3"/>
  <c r="E430" i="3"/>
  <c r="I3" i="6"/>
  <c r="E517" i="3"/>
  <c r="E37" i="3"/>
  <c r="E349" i="3"/>
  <c r="E484" i="3"/>
  <c r="E33" i="3"/>
  <c r="E102" i="3"/>
  <c r="E416" i="3"/>
  <c r="E110" i="3"/>
  <c r="E66" i="3"/>
  <c r="E564" i="3"/>
  <c r="E440" i="3"/>
  <c r="E108" i="3"/>
  <c r="E372" i="3"/>
  <c r="E15" i="3"/>
  <c r="E219" i="3"/>
  <c r="E123" i="3"/>
  <c r="E218" i="3"/>
  <c r="E296" i="3"/>
  <c r="E173" i="3"/>
  <c r="E534" i="3"/>
  <c r="E456" i="3"/>
  <c r="E408" i="3"/>
  <c r="E556" i="3"/>
  <c r="E494" i="3"/>
  <c r="E420" i="3"/>
  <c r="E41" i="3"/>
  <c r="E139" i="3"/>
  <c r="E243" i="3"/>
  <c r="E356" i="3"/>
  <c r="E96" i="3"/>
  <c r="E383" i="3"/>
  <c r="E158" i="3"/>
  <c r="E521" i="3"/>
  <c r="E179" i="3"/>
  <c r="E188" i="3"/>
  <c r="E486" i="3"/>
  <c r="AH6" i="3"/>
  <c r="E463" i="3"/>
  <c r="E202" i="3"/>
  <c r="E43" i="3"/>
  <c r="E137" i="3"/>
  <c r="E52" i="3"/>
  <c r="E20" i="3"/>
  <c r="E244" i="3"/>
  <c r="E141" i="3"/>
  <c r="E566" i="3"/>
  <c r="E436" i="3"/>
  <c r="E57" i="3"/>
  <c r="E259" i="3"/>
  <c r="E195" i="3"/>
  <c r="E87" i="3"/>
  <c r="F7" i="36"/>
  <c r="S7" i="36" s="1"/>
  <c r="J7" i="36"/>
  <c r="E61" i="43"/>
  <c r="B59"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M14" i="1"/>
  <c r="D5" i="43"/>
  <c r="J10" i="40"/>
  <c r="AC10" i="40" s="1"/>
  <c r="H10" i="39"/>
  <c r="U10" i="39" s="1"/>
  <c r="F10" i="40"/>
  <c r="S10" i="40" s="1"/>
  <c r="J10" i="39"/>
  <c r="W10" i="39" s="1"/>
  <c r="C7" i="43"/>
  <c r="C5" i="43" s="1"/>
  <c r="D10" i="52"/>
  <c r="D125" i="9"/>
  <c r="D11" i="52" s="1"/>
  <c r="B7" i="74"/>
  <c r="F59" i="67"/>
  <c r="H7" i="37"/>
  <c r="AB7" i="37" s="1"/>
  <c r="T42" i="37" s="1"/>
  <c r="G42" i="37" s="1"/>
  <c r="B40" i="1"/>
  <c r="AA10" i="39"/>
  <c r="H7" i="33"/>
  <c r="J7" i="33"/>
  <c r="D65" i="40"/>
  <c r="E63" i="40"/>
  <c r="F48" i="35"/>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J18" i="15"/>
  <c r="M11" i="67"/>
  <c r="J10" i="67" s="1"/>
  <c r="F11" i="15"/>
  <c r="M11" i="15"/>
  <c r="J10" i="15" s="1"/>
  <c r="J5" i="15" s="1"/>
  <c r="J24" i="15" s="1"/>
  <c r="F11" i="67"/>
  <c r="C32" i="15"/>
  <c r="F1" i="67"/>
  <c r="Q52" i="67"/>
  <c r="Q74" i="15"/>
  <c r="Q61" i="15"/>
  <c r="AE11" i="1"/>
  <c r="AE9" i="1"/>
  <c r="AE7" i="1"/>
  <c r="AE8" i="1"/>
  <c r="AE12" i="1"/>
  <c r="AE10" i="1"/>
  <c r="F27" i="68"/>
  <c r="C16" i="15"/>
  <c r="F41" i="67"/>
  <c r="Q74" i="67" l="1"/>
  <c r="F1" i="15"/>
  <c r="Q52" i="15"/>
  <c r="J5" i="67"/>
  <c r="J24" i="67" s="1"/>
  <c r="Q73" i="15"/>
  <c r="Q73" i="67"/>
  <c r="AY6" i="3"/>
  <c r="E3" i="6"/>
  <c r="D88" i="43"/>
  <c r="J88" i="43"/>
  <c r="T44" i="71"/>
  <c r="D44" i="71"/>
  <c r="H10" i="40"/>
  <c r="AB10" i="40" s="1"/>
  <c r="D86" i="43"/>
  <c r="J86" i="43"/>
  <c r="T36" i="71"/>
  <c r="D36" i="71"/>
  <c r="C18" i="71"/>
  <c r="D19" i="71"/>
  <c r="J83" i="43"/>
  <c r="D83" i="43"/>
  <c r="E83" i="43" s="1"/>
  <c r="B81" i="43" s="1"/>
  <c r="C28" i="43" s="1"/>
  <c r="T64" i="71"/>
  <c r="D64" i="71"/>
  <c r="P65" i="71"/>
  <c r="P66" i="71"/>
  <c r="D90" i="43"/>
  <c r="J90" i="43"/>
  <c r="D84" i="43"/>
  <c r="J84" i="43"/>
  <c r="D40" i="71"/>
  <c r="T40" i="71"/>
  <c r="B11" i="71"/>
  <c r="B10" i="71" s="1"/>
  <c r="B9" i="71" s="1"/>
  <c r="B8" i="71" s="1"/>
  <c r="B7" i="71" s="1"/>
  <c r="B6" i="71" s="1"/>
  <c r="B5" i="71" s="1"/>
  <c r="S12" i="71"/>
  <c r="D87" i="43"/>
  <c r="J87" i="43"/>
  <c r="D26" i="43"/>
  <c r="C25" i="43" s="1"/>
  <c r="E65" i="39"/>
  <c r="AA7" i="36"/>
  <c r="R36" i="36" s="1"/>
  <c r="E69" i="39"/>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C17" i="4"/>
  <c r="B4" i="52" s="1"/>
  <c r="B43" i="72" s="1"/>
  <c r="D3" i="33"/>
  <c r="D3" i="37"/>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53" i="67"/>
  <c r="C48" i="67" s="1"/>
  <c r="C10" i="67"/>
  <c r="C5" i="67" s="1"/>
  <c r="C38" i="67" s="1"/>
  <c r="C53" i="15"/>
  <c r="C48" i="15" s="1"/>
  <c r="C66" i="15" s="1"/>
  <c r="C10" i="15"/>
  <c r="C5" i="15" s="1"/>
  <c r="C38" i="15" s="1"/>
  <c r="F25" i="12"/>
  <c r="F22" i="69"/>
  <c r="F41" i="69" s="1"/>
  <c r="F24" i="67"/>
  <c r="C24" i="67" s="1"/>
  <c r="F22" i="11"/>
  <c r="F22" i="68"/>
  <c r="F24" i="15"/>
  <c r="C24" i="15" s="1"/>
  <c r="M27" i="67"/>
  <c r="M27" i="15"/>
  <c r="AE6" i="1"/>
  <c r="F41" i="15" s="1"/>
  <c r="T13" i="43" l="1"/>
  <c r="V13" i="43" s="1"/>
  <c r="T8" i="43"/>
  <c r="V8" i="43" s="1"/>
  <c r="C37" i="43"/>
  <c r="C38" i="43"/>
  <c r="T11" i="43"/>
  <c r="V11" i="43" s="1"/>
  <c r="T4" i="43"/>
  <c r="V4" i="43" s="1"/>
  <c r="C41" i="43"/>
  <c r="G41" i="43" s="1"/>
  <c r="I41" i="43" s="1"/>
  <c r="T9" i="43"/>
  <c r="V9" i="43" s="1"/>
  <c r="T3" i="43"/>
  <c r="V3" i="43" s="1"/>
  <c r="T7" i="43"/>
  <c r="V7" i="43" s="1"/>
  <c r="T2" i="43"/>
  <c r="V2" i="43" s="1"/>
  <c r="T16" i="43"/>
  <c r="V16" i="43" s="1"/>
  <c r="T6" i="43"/>
  <c r="V6" i="43" s="1"/>
  <c r="T14" i="43"/>
  <c r="V14" i="43" s="1"/>
  <c r="T5" i="43"/>
  <c r="V5" i="43" s="1"/>
  <c r="T15" i="43"/>
  <c r="V15" i="43" s="1"/>
  <c r="C40" i="43"/>
  <c r="T12" i="43"/>
  <c r="V12" i="43" s="1"/>
  <c r="C33" i="43"/>
  <c r="E33" i="43" s="1"/>
  <c r="C39" i="43"/>
  <c r="T10" i="43"/>
  <c r="V10" i="43" s="1"/>
  <c r="C42" i="43"/>
  <c r="E42" i="43" s="1"/>
  <c r="C17" i="71"/>
  <c r="D18" i="71"/>
  <c r="C8" i="74"/>
  <c r="B10" i="74"/>
  <c r="D116" i="43"/>
  <c r="C7" i="74"/>
  <c r="M21" i="6"/>
  <c r="I21" i="6" s="1"/>
  <c r="S21" i="6" s="1"/>
  <c r="E6" i="70"/>
  <c r="C34" i="43"/>
  <c r="E34" i="43" s="1"/>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D29" i="6"/>
  <c r="H25" i="6"/>
  <c r="H22" i="6"/>
  <c r="H21" i="6"/>
  <c r="H24" i="6"/>
  <c r="D19" i="6"/>
  <c r="C18" i="4"/>
  <c r="D23" i="6"/>
  <c r="D5" i="6"/>
  <c r="D12" i="6"/>
  <c r="D11" i="6"/>
  <c r="D13" i="6"/>
  <c r="D28" i="6"/>
  <c r="E61" i="40"/>
  <c r="H26" i="6"/>
  <c r="P14" i="1"/>
  <c r="P16" i="1" s="1"/>
  <c r="C11" i="12" s="1"/>
  <c r="N16" i="1"/>
  <c r="L16" i="1"/>
  <c r="G42" i="43"/>
  <c r="I42" i="43" s="1"/>
  <c r="H67" i="39"/>
  <c r="G69" i="39"/>
  <c r="E41" i="43"/>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15"/>
  <c r="C17" i="67"/>
  <c r="C14" i="67"/>
  <c r="D30" i="6" l="1"/>
  <c r="D17" i="71"/>
  <c r="C16" i="71"/>
  <c r="C25" i="11"/>
  <c r="C22" i="11" s="1"/>
  <c r="C31" i="11" s="1"/>
  <c r="C18" i="67"/>
  <c r="C15" i="67"/>
  <c r="H23" i="6"/>
  <c r="R23" i="6" s="1"/>
  <c r="R10" i="1" s="1"/>
  <c r="C30" i="43"/>
  <c r="C31" i="43"/>
  <c r="H20" i="6"/>
  <c r="R20" i="6" s="1"/>
  <c r="R7" i="1" s="1"/>
  <c r="C38" i="69"/>
  <c r="C35" i="69"/>
  <c r="E12" i="70"/>
  <c r="F34" i="11"/>
  <c r="F11" i="12"/>
  <c r="S16" i="1"/>
  <c r="E9" i="70"/>
  <c r="AR9" i="1"/>
  <c r="AQ9" i="1"/>
  <c r="T9" i="1"/>
  <c r="AQ11" i="1"/>
  <c r="AR11" i="1"/>
  <c r="T11" i="1"/>
  <c r="AR12" i="1"/>
  <c r="T12" i="1"/>
  <c r="AQ12" i="1"/>
  <c r="AQ10" i="1"/>
  <c r="T10" i="1"/>
  <c r="AR10" i="1"/>
  <c r="AR7" i="1"/>
  <c r="AQ7" i="1"/>
  <c r="T7" i="1"/>
  <c r="M27" i="6"/>
  <c r="I19" i="6"/>
  <c r="L18" i="9" s="1"/>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15" i="71" l="1"/>
  <c r="T16" i="71"/>
  <c r="D16" i="71"/>
  <c r="U16" i="71" s="1"/>
  <c r="B3" i="43"/>
  <c r="C6" i="68"/>
  <c r="C7" i="68" s="1"/>
  <c r="C5" i="68" s="1"/>
  <c r="C23" i="68" s="1"/>
  <c r="C18" i="12"/>
  <c r="E2" i="70"/>
  <c r="C19" i="67"/>
  <c r="C20" i="67" s="1"/>
  <c r="C26" i="67" s="1"/>
  <c r="T16" i="1"/>
  <c r="C18" i="15"/>
  <c r="C15" i="15"/>
  <c r="C38" i="68"/>
  <c r="C35" i="68"/>
  <c r="C36" i="11"/>
  <c r="C37" i="11"/>
  <c r="C34" i="11"/>
  <c r="C23" i="12"/>
  <c r="C14" i="12"/>
  <c r="C16"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7" i="21"/>
  <c r="F7" i="21"/>
  <c r="J48" i="35"/>
  <c r="C14" i="71" l="1"/>
  <c r="D15" i="71"/>
  <c r="C21" i="12"/>
  <c r="C22" i="12" s="1"/>
  <c r="C27" i="12" s="1"/>
  <c r="C25" i="12" s="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30" i="12" l="1"/>
  <c r="C28" i="12" s="1"/>
  <c r="C32" i="12" s="1"/>
  <c r="B2" i="12" s="1"/>
  <c r="B3" i="12" s="1"/>
  <c r="D14" i="71"/>
  <c r="C13"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M21" i="15"/>
  <c r="M21" i="67"/>
  <c r="F35" i="67"/>
  <c r="D13" i="71" l="1"/>
  <c r="C12"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1" i="71" l="1"/>
  <c r="T12" i="71"/>
  <c r="D12" i="71"/>
  <c r="U12" i="71" s="1"/>
  <c r="C102" i="9"/>
  <c r="C21" i="9"/>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B3" i="68"/>
  <c r="D35" i="9"/>
  <c r="C20" i="9"/>
  <c r="D34" i="9"/>
  <c r="D2" i="21"/>
  <c r="C10" i="71" l="1"/>
  <c r="D11" i="71"/>
  <c r="C103" i="9"/>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D10" i="71"/>
  <c r="C9" i="71"/>
  <c r="Q65" i="67"/>
  <c r="B2" i="33"/>
  <c r="B3" i="33" s="1"/>
  <c r="C83" i="67"/>
  <c r="C82" i="67" s="1"/>
  <c r="Q47" i="67"/>
  <c r="Q53" i="67" s="1"/>
  <c r="C46" i="67"/>
  <c r="Q56" i="67"/>
  <c r="C43" i="67"/>
  <c r="C80" i="15"/>
  <c r="C79" i="15" s="1"/>
  <c r="C40" i="15"/>
  <c r="C46" i="15" s="1"/>
  <c r="H7" i="39"/>
  <c r="J7" i="39"/>
  <c r="S7" i="39"/>
  <c r="AA7" i="39"/>
  <c r="R47" i="39" s="1"/>
  <c r="O63" i="40"/>
  <c r="O65" i="40" s="1"/>
  <c r="N65" i="40"/>
  <c r="D2" i="36"/>
  <c r="L51" i="15"/>
  <c r="D2" i="34"/>
  <c r="D2" i="37"/>
  <c r="D2" i="35"/>
  <c r="Q57" i="67" l="1"/>
  <c r="Q62" i="67" s="1"/>
  <c r="Q66" i="67"/>
  <c r="Q75" i="67" s="1"/>
  <c r="C8" i="71"/>
  <c r="D9" i="7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2" i="1"/>
  <c r="AO10" i="1"/>
  <c r="AO9" i="1"/>
  <c r="AO8" i="1"/>
  <c r="AO11" i="1"/>
  <c r="AO7" i="1"/>
  <c r="C7" i="71" l="1"/>
  <c r="D8" i="71"/>
  <c r="L46" i="15"/>
  <c r="B2" i="15" s="1"/>
  <c r="B3"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20" i="9"/>
  <c r="D7" i="71" l="1"/>
  <c r="C6" i="71"/>
  <c r="D102" i="9"/>
  <c r="D21" i="9"/>
  <c r="G19" i="9"/>
  <c r="D22" i="9"/>
  <c r="B6" i="70"/>
  <c r="B2" i="70" s="1"/>
  <c r="B3" i="70" s="1"/>
  <c r="D103" i="9"/>
  <c r="G20" i="9"/>
  <c r="C32" i="9" s="1"/>
  <c r="C35" i="9" s="1"/>
  <c r="C34" i="9"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G21" i="9"/>
  <c r="L30" i="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l="1"/>
  <c r="F4" i="52" s="1"/>
  <c r="B51" i="72" s="1"/>
  <c r="D118" i="9"/>
  <c r="D119" i="9" s="1"/>
  <c r="D5" i="52" s="1"/>
  <c r="B49" i="72" s="1"/>
  <c r="H118" i="9"/>
  <c r="H119" i="9" s="1"/>
  <c r="H5" i="52" s="1"/>
  <c r="H101" i="9" l="1"/>
  <c r="I118" i="9"/>
  <c r="C105" i="9" s="1"/>
  <c r="D4" i="52"/>
  <c r="B47" i="72" s="1"/>
  <c r="G118" i="9"/>
  <c r="G4" i="52" s="1"/>
  <c r="B52" i="72" s="1"/>
  <c r="F119" i="9"/>
  <c r="F5" i="52" s="1"/>
  <c r="B53" i="72" s="1"/>
  <c r="H4" i="52"/>
  <c r="H102" i="9"/>
  <c r="D7" i="53" s="1"/>
  <c r="B21" i="72" s="1"/>
  <c r="C104" i="9"/>
  <c r="I4" i="52" l="1"/>
  <c r="M48" i="9"/>
  <c r="D14" i="74"/>
  <c r="G14" i="74" s="1"/>
  <c r="B6" i="74" s="1"/>
  <c r="D5" i="53"/>
  <c r="D6" i="53" s="1"/>
  <c r="B22" i="72" s="1"/>
  <c r="H107" i="9"/>
  <c r="D13" i="53" s="1"/>
  <c r="D45" i="9"/>
  <c r="D53" i="9" s="1"/>
  <c r="E118" i="9"/>
  <c r="E4" i="52" s="1"/>
  <c r="B48" i="72" s="1"/>
  <c r="H108" i="9"/>
  <c r="D15" i="53" s="1"/>
  <c r="B31" i="72" s="1"/>
  <c r="M49" i="9"/>
  <c r="D6" i="74" l="1"/>
  <c r="C6" i="74"/>
  <c r="B20" i="72"/>
  <c r="C72" i="9"/>
  <c r="E14" i="74"/>
  <c r="B5" i="74"/>
  <c r="F14" i="74"/>
  <c r="C85" i="9"/>
  <c r="C95" i="9" s="1"/>
  <c r="D122" i="9"/>
  <c r="D8" i="52" s="1"/>
  <c r="C78" i="9"/>
  <c r="C73" i="9" s="1"/>
  <c r="C79" i="9" s="1"/>
  <c r="C80" i="9" s="1"/>
  <c r="E80" i="9" s="1"/>
  <c r="E81" i="9" s="1"/>
  <c r="D52" i="9"/>
  <c r="C64" i="9"/>
  <c r="C63" i="9" s="1"/>
  <c r="C67" i="9" s="1"/>
  <c r="C68" i="9" s="1"/>
  <c r="D54" i="9" s="1"/>
  <c r="C93" i="9"/>
  <c r="C86" i="9" s="1"/>
  <c r="D55" i="9"/>
  <c r="M53" i="9" s="1"/>
  <c r="B30" i="72"/>
  <c r="D14" i="53"/>
  <c r="B32" i="72" s="1"/>
  <c r="L65" i="9"/>
  <c r="M65" i="9" s="1"/>
  <c r="L66" i="9"/>
  <c r="M66" i="9" s="1"/>
  <c r="L64" i="9"/>
  <c r="M64" i="9" s="1"/>
  <c r="L67" i="9"/>
  <c r="M67" i="9" s="1"/>
  <c r="L68" i="9"/>
  <c r="M68" i="9" s="1"/>
  <c r="L63" i="9"/>
  <c r="M63" i="9" s="1"/>
  <c r="D123" i="9" l="1"/>
  <c r="D9" i="52" s="1"/>
  <c r="D5" i="74"/>
  <c r="C5" i="74"/>
  <c r="D59" i="9"/>
  <c r="M55" i="9" s="1"/>
  <c r="M69" i="9"/>
  <c r="N69" i="9" s="1"/>
  <c r="C96" i="9"/>
  <c r="E96" i="9" s="1"/>
  <c r="E97" i="9" s="1"/>
  <c r="C81" i="9"/>
  <c r="C97" i="9" l="1"/>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rgb="FF000000"/>
            <rFont val="宋体"/>
            <family val="3"/>
            <charset val="134"/>
          </rPr>
          <t>地下商业：地上主用途需选商业</t>
        </r>
        <r>
          <rPr>
            <sz val="9"/>
            <color rgb="FF000000"/>
            <rFont val="宋体"/>
            <family val="3"/>
            <charset val="134"/>
          </rPr>
          <t xml:space="preserve">
</t>
        </r>
        <r>
          <rPr>
            <sz val="9"/>
            <color rgb="FF000000"/>
            <rFont val="宋体"/>
            <family val="3"/>
            <charset val="134"/>
          </rPr>
          <t xml:space="preserve">
</t>
        </r>
        <r>
          <rPr>
            <sz val="9"/>
            <color rgb="FF000000"/>
            <rFont val="宋体"/>
            <family val="3"/>
            <charset val="134"/>
          </rPr>
          <t>地下办公：地上主用途需选办公</t>
        </r>
        <r>
          <rPr>
            <sz val="9"/>
            <color rgb="FF000000"/>
            <rFont val="宋体"/>
            <family val="3"/>
            <charset val="134"/>
          </rPr>
          <t xml:space="preserve">
</t>
        </r>
        <r>
          <rPr>
            <sz val="9"/>
            <color rgb="FF000000"/>
            <rFont val="宋体"/>
            <family val="3"/>
            <charset val="134"/>
          </rPr>
          <t xml:space="preserve">
</t>
        </r>
        <r>
          <rPr>
            <sz val="9"/>
            <color rgb="FF000000"/>
            <rFont val="宋体"/>
            <family val="3"/>
            <charset val="134"/>
          </rPr>
          <t>地下仓储及车库：按地上主用途计算</t>
        </r>
        <r>
          <rPr>
            <sz val="9"/>
            <color rgb="FF000000"/>
            <rFont val="宋体"/>
            <family val="3"/>
            <charset val="134"/>
          </rPr>
          <t xml:space="preserve">
</t>
        </r>
      </text>
    </comment>
    <comment ref="G44" authorId="4">
      <text>
        <r>
          <rPr>
            <sz val="9"/>
            <color rgb="FF000000"/>
            <rFont val="宋体"/>
            <family val="3"/>
            <charset val="134"/>
          </rPr>
          <t>需在此处填写剩余土地年限</t>
        </r>
        <r>
          <rPr>
            <sz val="9"/>
            <color rgb="FF000000"/>
            <rFont val="宋体"/>
            <family val="3"/>
            <charset val="134"/>
          </rPr>
          <t xml:space="preserve">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<sst xmlns="http://schemas.openxmlformats.org/spreadsheetml/2006/main" count="7801" uniqueCount="3408">
  <si>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</si>
  <si>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</si>
  <si>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</si>
  <si>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</si>
  <si>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</si>
  <si>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</si>
  <si>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</si>
  <si>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</si>
  <si>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</si>
  <si>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</si>
  <si>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</si>
  <si>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</si>
  <si>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</si>
  <si>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</si>
  <si>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</si>
  <si>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</si>
  <si>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</si>
  <si>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</si>
  <si>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</si>
  <si>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</si>
  <si>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</si>
  <si>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</si>
  <si>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</si>
  <si>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</si>
  <si>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</si>
  <si>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</si>
  <si>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</si>
  <si>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</si>
  <si>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</si>
  <si>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</si>
  <si>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</si>
  <si>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</si>
  <si>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</si>
  <si>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</si>
  <si>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</si>
  <si>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</si>
  <si>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</si>
  <si>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</si>
  <si>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</si>
  <si>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</si>
  <si>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</si>
  <si>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</si>
  <si>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</si>
  <si>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</si>
  <si>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</si>
  <si>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</si>
  <si>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</si>
  <si>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</si>
  <si>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</si>
  <si>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</si>
  <si>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</si>
  <si>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</si>
  <si>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</si>
  <si>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</si>
  <si>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</si>
  <si>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</si>
  <si>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</si>
  <si>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</si>
  <si>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</si>
  <si>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</si>
  <si>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</si>
  <si>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</si>
  <si>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</si>
  <si>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</si>
  <si>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</si>
  <si>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</si>
  <si>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</si>
  <si>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</si>
  <si>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</si>
  <si>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</si>
  <si>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</si>
  <si>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</si>
  <si>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</si>
  <si>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</si>
  <si>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</si>
  <si>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</si>
  <si>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</si>
  <si>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</si>
  <si>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</si>
  <si>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</si>
  <si>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</si>
  <si>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</si>
  <si>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</si>
  <si>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</si>
  <si>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</si>
  <si>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</si>
  <si>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</si>
  <si>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</si>
  <si>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</si>
  <si>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</si>
  <si>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</si>
  <si>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</si>
  <si>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</si>
  <si>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</si>
  <si>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</si>
  <si>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</si>
  <si>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</si>
  <si>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</si>
  <si>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</si>
  <si>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</si>
  <si>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</si>
  <si>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</si>
  <si>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</si>
  <si>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</si>
  <si>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</si>
  <si>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</si>
  <si>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</si>
  <si>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</si>
  <si>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</si>
  <si>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</si>
  <si>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</si>
  <si>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</si>
  <si>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</si>
  <si>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</si>
  <si>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</si>
  <si>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</si>
  <si>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</si>
  <si>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</si>
  <si>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</si>
  <si>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</si>
  <si>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</si>
  <si>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</si>
  <si>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</si>
  <si>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</si>
  <si>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</si>
  <si>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</si>
  <si>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</si>
  <si>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</si>
  <si>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</si>
  <si>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</si>
  <si>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</si>
  <si>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</si>
  <si>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</si>
  <si>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</si>
  <si>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</si>
  <si>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</si>
  <si>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</si>
  <si>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</si>
  <si>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</si>
  <si>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</si>
  <si>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</si>
  <si>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</si>
  <si>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</si>
  <si>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</si>
  <si>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</si>
  <si>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</si>
  <si>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</si>
  <si>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</si>
  <si>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</si>
  <si>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</si>
  <si>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</si>
  <si>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</si>
  <si>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</si>
  <si>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</si>
  <si>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</si>
  <si>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</si>
  <si>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</si>
  <si>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</si>
  <si>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</si>
  <si>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</si>
  <si>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</si>
  <si>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</si>
  <si>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</si>
  <si>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</si>
  <si>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</si>
  <si>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</si>
  <si>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</si>
  <si>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</si>
  <si>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</si>
  <si>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</si>
  <si>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</si>
  <si>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</si>
  <si>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</si>
  <si>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</si>
  <si>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</si>
  <si>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</si>
  <si>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</si>
  <si>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</si>
  <si>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</si>
  <si>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</si>
  <si>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</si>
  <si>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</si>
  <si>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</si>
  <si>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</si>
  <si>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</si>
  <si>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</si>
  <si>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</si>
  <si>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</si>
  <si>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</si>
  <si>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</si>
  <si>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</si>
  <si>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</si>
  <si>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</si>
  <si>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</si>
  <si>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</si>
  <si>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</si>
  <si>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</si>
  <si>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</si>
  <si>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</si>
  <si>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</si>
  <si>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</si>
  <si>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</si>
  <si>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</si>
  <si>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</si>
  <si>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</si>
  <si>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</si>
  <si>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</si>
  <si>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</si>
  <si>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</si>
  <si>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</si>
  <si>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</si>
  <si>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</si>
  <si>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</si>
  <si>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</si>
  <si>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</si>
  <si>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</si>
  <si>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</si>
  <si>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</si>
  <si>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</si>
  <si>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</si>
  <si>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</si>
  <si>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</si>
  <si>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</si>
  <si>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</si>
  <si>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</si>
  <si>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</si>
  <si>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</si>
  <si>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</si>
  <si>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</si>
  <si>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</si>
  <si>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</si>
  <si>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</si>
  <si>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</si>
  <si>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</si>
  <si>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</si>
  <si>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</si>
  <si>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</si>
  <si>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</si>
  <si>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</si>
  <si>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</si>
  <si>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</si>
  <si>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</si>
  <si>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</si>
  <si>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</si>
  <si>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</si>
  <si>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</si>
  <si>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</si>
  <si>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</si>
  <si>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</si>
  <si>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</si>
  <si>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</si>
  <si>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</si>
  <si>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</si>
  <si>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</si>
  <si>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</si>
  <si>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</si>
  <si>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</si>
  <si>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</si>
  <si>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</si>
  <si>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</si>
  <si>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</si>
  <si>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</si>
  <si>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</si>
  <si>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</si>
  <si>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</si>
  <si>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</si>
  <si>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</si>
  <si>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</si>
  <si>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</si>
  <si>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</si>
  <si>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</si>
  <si>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</si>
  <si>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</si>
  <si>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</si>
  <si>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</si>
  <si>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</si>
  <si>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</si>
  <si>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</si>
  <si>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</si>
  <si>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</si>
  <si>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</si>
  <si>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</si>
  <si>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</si>
  <si>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</si>
  <si>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</si>
  <si>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</si>
  <si>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</si>
  <si>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</si>
  <si>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</si>
  <si>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</si>
  <si>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</si>
  <si>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</si>
  <si>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</si>
  <si>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</si>
  <si>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</si>
  <si>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</si>
  <si>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</si>
  <si>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</si>
  <si>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</si>
  <si>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</si>
  <si>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</si>
  <si>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</si>
  <si>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</si>
  <si>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</si>
  <si>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</si>
  <si>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</si>
  <si>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</si>
  <si>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</si>
  <si>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</si>
  <si>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</si>
  <si>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</si>
  <si>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</si>
  <si>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</si>
  <si>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</si>
  <si>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</si>
  <si>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</si>
  <si>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</si>
  <si>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</si>
  <si>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</si>
  <si>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</si>
  <si>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</si>
  <si>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</si>
  <si>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</si>
  <si>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</si>
  <si>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</si>
  <si>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</si>
  <si>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</si>
  <si>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</si>
  <si>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</si>
  <si>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</si>
  <si>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</si>
  <si>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</si>
  <si>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</si>
  <si>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</si>
  <si>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</si>
  <si>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</si>
  <si>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</si>
  <si>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</si>
  <si>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</si>
  <si>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</si>
  <si>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</si>
  <si>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</si>
  <si>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</si>
  <si>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</si>
  <si>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</si>
  <si>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</si>
  <si>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</si>
  <si>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</si>
  <si>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</si>
  <si>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</si>
  <si>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</si>
  <si>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</si>
  <si>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</si>
  <si>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</si>
  <si>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</si>
  <si>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</si>
  <si>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</si>
  <si>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</si>
  <si>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</si>
  <si>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</si>
  <si>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</si>
  <si>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</si>
  <si>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</si>
  <si>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</si>
  <si>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</si>
  <si>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</si>
  <si>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</si>
  <si>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</si>
  <si>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</si>
  <si>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</si>
  <si>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</si>
  <si>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</si>
  <si>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</si>
  <si>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</si>
  <si>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</si>
  <si>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</si>
  <si>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</si>
  <si>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</si>
  <si>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</si>
  <si>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</si>
  <si>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</si>
  <si>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</si>
  <si>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</si>
  <si>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</si>
  <si>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</si>
  <si>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</si>
  <si>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</si>
  <si>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</si>
  <si>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</si>
  <si>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</si>
  <si>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</si>
  <si>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</si>
  <si>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</si>
  <si>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</si>
  <si>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</si>
  <si>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</si>
  <si>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</si>
  <si>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</si>
  <si>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</si>
  <si>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</si>
  <si>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</si>
  <si>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</si>
  <si>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</si>
  <si>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</si>
  <si>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</si>
  <si>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</si>
  <si>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</si>
  <si>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</si>
  <si>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</si>
  <si>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</si>
  <si>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</si>
  <si>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</si>
  <si>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</si>
  <si>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</si>
  <si>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</si>
  <si>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</si>
  <si>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</si>
  <si>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</si>
  <si>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</si>
  <si>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</si>
  <si>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</si>
  <si>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</si>
  <si>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</si>
  <si>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</si>
  <si>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</si>
  <si>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</si>
  <si>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</si>
  <si>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</si>
  <si>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</si>
  <si>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</si>
  <si>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</si>
  <si>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</si>
  <si>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</si>
  <si>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</si>
  <si>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</si>
  <si>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</si>
  <si>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</si>
  <si>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</si>
  <si>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</si>
  <si>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</si>
  <si>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</si>
  <si>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</si>
  <si>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</si>
  <si>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</si>
  <si>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</si>
  <si>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</si>
  <si>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</si>
  <si>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</si>
  <si>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</si>
  <si>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</si>
  <si>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</si>
  <si>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</si>
  <si>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</si>
  <si>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</si>
  <si>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</si>
  <si>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</si>
  <si>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</si>
  <si>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</si>
  <si>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</si>
  <si>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</si>
  <si>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</si>
  <si>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</si>
  <si>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</si>
  <si>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</si>
  <si>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</si>
  <si>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</si>
  <si>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</si>
  <si>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</si>
  <si>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</si>
  <si>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</si>
  <si>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</si>
  <si>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</si>
  <si>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</si>
  <si>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</si>
  <si>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</si>
  <si>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</si>
  <si>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</si>
  <si>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</si>
  <si>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</si>
  <si>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</si>
  <si>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</si>
  <si>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</si>
  <si>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</si>
  <si>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</si>
  <si>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</si>
  <si>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</si>
  <si>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</si>
  <si>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</si>
  <si>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</si>
  <si>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</si>
  <si>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</si>
  <si>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</si>
  <si>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</si>
  <si>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</si>
  <si>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</si>
  <si>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</si>
  <si>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</si>
  <si>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</si>
  <si>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</si>
  <si>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</si>
  <si>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</si>
  <si>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</si>
  <si>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</si>
  <si>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</si>
  <si>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</si>
  <si>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</si>
  <si>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</si>
  <si>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</si>
  <si>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</si>
  <si>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</si>
  <si>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</si>
  <si>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</si>
  <si>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</si>
  <si>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</si>
  <si>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</si>
  <si>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</si>
  <si>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</si>
  <si>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</si>
  <si>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</si>
  <si>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</si>
  <si>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</si>
  <si>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</si>
  <si>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</si>
  <si>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</si>
  <si>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</si>
  <si>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</si>
  <si>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</si>
  <si>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</si>
  <si>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</si>
  <si>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</si>
  <si>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</si>
  <si>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</si>
  <si>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</si>
  <si>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</si>
  <si>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</si>
  <si>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</si>
  <si>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</si>
  <si>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</si>
  <si>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</si>
  <si>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</si>
  <si>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</si>
  <si>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</si>
  <si>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</si>
  <si>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</si>
  <si>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</si>
  <si>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</si>
  <si>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</si>
  <si>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</si>
  <si>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</si>
  <si>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</si>
  <si>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</si>
  <si>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</si>
  <si>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</si>
  <si>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</si>
  <si>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</si>
  <si>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</si>
  <si>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</si>
  <si>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</si>
  <si>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</si>
  <si>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</si>
  <si>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</si>
  <si>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</si>
  <si>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</si>
  <si>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</si>
  <si>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</si>
  <si>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</si>
  <si>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</si>
  <si>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</si>
  <si>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</si>
  <si>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</si>
  <si>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</si>
  <si>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</si>
  <si>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</si>
  <si>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</si>
  <si>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</si>
  <si>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</si>
  <si>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</si>
  <si>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</si>
  <si>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</si>
  <si>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</si>
  <si>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</si>
  <si>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</si>
  <si>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</si>
  <si>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</si>
  <si>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</si>
  <si>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</si>
  <si>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</si>
  <si>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</si>
  <si>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</si>
  <si>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</si>
  <si>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</si>
  <si>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</si>
  <si>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</si>
  <si>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</si>
  <si>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</si>
  <si>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</si>
  <si>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</si>
  <si>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</si>
  <si>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</si>
  <si>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</si>
  <si>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</si>
  <si>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</si>
  <si>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</si>
  <si>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</si>
  <si>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</si>
  <si>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</si>
  <si>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</si>
  <si>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</si>
  <si>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</si>
  <si>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</si>
  <si>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</si>
  <si>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</si>
  <si>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</si>
  <si>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</si>
  <si>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</si>
  <si>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</si>
  <si>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</si>
  <si>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</si>
  <si>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</si>
  <si>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</si>
  <si>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</si>
  <si>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</si>
  <si>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</si>
  <si>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</si>
  <si>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</si>
  <si>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</si>
  <si>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</si>
  <si>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</si>
  <si>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</si>
  <si>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</si>
  <si>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</si>
  <si>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</si>
  <si>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</si>
  <si>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</si>
  <si>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</si>
  <si>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</si>
  <si>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</si>
  <si>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</si>
  <si>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</si>
  <si>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</si>
  <si>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</si>
  <si>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</si>
  <si>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</si>
  <si>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</si>
  <si>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</si>
  <si>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</si>
  <si>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</si>
  <si>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</si>
  <si>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</si>
  <si>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</si>
  <si>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</si>
  <si>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</si>
  <si>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</si>
  <si>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</si>
  <si>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</si>
  <si>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</si>
  <si>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</si>
  <si>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</si>
  <si>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</si>
  <si>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</si>
  <si>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</si>
  <si>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</si>
  <si>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</si>
  <si>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</si>
  <si>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</si>
  <si>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</si>
  <si>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</si>
  <si>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</si>
  <si>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</si>
  <si>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</si>
  <si>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</si>
  <si>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</si>
  <si>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</si>
  <si>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</si>
  <si>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</si>
  <si>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</si>
  <si>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</si>
  <si>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</si>
  <si>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</si>
  <si>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</si>
  <si>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</si>
  <si>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</si>
  <si>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</si>
  <si>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</si>
  <si>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</si>
  <si>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</si>
  <si>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</si>
  <si>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</si>
  <si>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</si>
  <si>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</si>
  <si>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</si>
  <si>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</si>
  <si>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</si>
  <si>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</si>
  <si>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</si>
  <si>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</si>
  <si>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</si>
  <si>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</si>
  <si>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</si>
  <si>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</si>
  <si>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</si>
  <si>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</si>
  <si>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</si>
  <si>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</si>
  <si>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</si>
  <si>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</si>
  <si>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</si>
  <si>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</si>
  <si>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</si>
  <si>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</si>
  <si>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</si>
  <si>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</si>
  <si>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</si>
  <si>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</si>
  <si>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</si>
  <si>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</si>
  <si>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</si>
  <si>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</si>
  <si>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</si>
  <si>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</si>
  <si>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</si>
  <si>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</si>
  <si>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</si>
  <si>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</si>
  <si>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</si>
  <si>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</si>
  <si>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</si>
  <si>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</si>
  <si>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</si>
  <si>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</si>
  <si>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</si>
  <si>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</si>
  <si>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</si>
  <si>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</si>
  <si>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</si>
  <si>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</si>
  <si>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</si>
  <si>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</si>
  <si>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</si>
  <si>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</si>
  <si>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</si>
  <si>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</si>
  <si>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</si>
  <si>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</si>
  <si>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</si>
  <si>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</si>
  <si>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</si>
  <si>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</si>
  <si>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</si>
  <si>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</si>
  <si>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</si>
  <si>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</si>
  <si>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</si>
  <si>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</si>
  <si>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</si>
  <si>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</si>
  <si>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</si>
  <si>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</si>
  <si>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</si>
  <si>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</si>
  <si>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</si>
  <si>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</si>
  <si>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</si>
  <si>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</si>
  <si>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</si>
  <si>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</si>
  <si>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</si>
  <si>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</si>
  <si>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</si>
  <si>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</si>
  <si>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</si>
  <si>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</si>
  <si>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</si>
  <si>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</si>
  <si>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</si>
  <si>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</si>
  <si>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</si>
  <si>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</si>
  <si>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</si>
  <si>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</si>
  <si>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</si>
  <si>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</si>
  <si>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</si>
  <si>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</si>
  <si>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</si>
  <si>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</si>
  <si>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</si>
  <si>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</si>
  <si>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</si>
  <si>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</si>
  <si>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</si>
  <si>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</si>
  <si>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</si>
  <si>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</si>
  <si>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</si>
  <si>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</si>
  <si>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</si>
  <si>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</si>
  <si>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</si>
  <si>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</si>
  <si>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</si>
  <si>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</si>
  <si>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</si>
  <si>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</si>
  <si>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</si>
  <si>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</si>
  <si>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</si>
  <si>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</si>
  <si>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</si>
  <si>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</si>
  <si>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</si>
  <si>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</si>
  <si>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</si>
  <si>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</si>
  <si>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</si>
  <si>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</si>
  <si>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</si>
  <si>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</si>
  <si>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</si>
  <si>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</si>
  <si>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</si>
  <si>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</si>
  <si>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</si>
  <si>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</si>
  <si>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</si>
  <si>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</si>
  <si>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</si>
  <si>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</si>
  <si>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</si>
  <si>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</si>
  <si>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</si>
  <si>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</si>
  <si>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</si>
  <si>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</si>
  <si>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</si>
  <si>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</si>
  <si>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</si>
  <si>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</si>
  <si>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</si>
  <si>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</si>
  <si>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</si>
  <si>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</si>
  <si>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</si>
  <si>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</si>
  <si>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</si>
  <si>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</si>
  <si>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</si>
  <si>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</si>
  <si>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</si>
  <si>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</si>
  <si>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</si>
  <si>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</si>
  <si>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</si>
  <si>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</si>
  <si>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</si>
  <si>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</si>
  <si>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</si>
  <si>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</si>
  <si>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</si>
  <si>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</si>
  <si>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</si>
  <si>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</si>
  <si>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</si>
  <si>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</si>
  <si>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</si>
  <si>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</si>
  <si>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</si>
  <si>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</si>
  <si>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</si>
  <si>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</si>
  <si>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</si>
  <si>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</si>
  <si>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</si>
  <si>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</si>
  <si>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</si>
  <si>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</si>
  <si>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</si>
  <si>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</si>
  <si>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</si>
  <si>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</si>
  <si>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</si>
  <si>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</si>
  <si>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</si>
  <si>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</si>
  <si>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</si>
  <si>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</si>
  <si>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</si>
  <si>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</si>
  <si>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</si>
  <si>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</si>
  <si>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</si>
  <si>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</si>
  <si>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</si>
  <si>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</si>
  <si>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</si>
  <si>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</si>
  <si>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</si>
  <si>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</si>
  <si>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</si>
  <si>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</si>
  <si>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</si>
  <si>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</si>
  <si>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</si>
  <si>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</si>
  <si>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</si>
  <si>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</si>
  <si>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</si>
  <si>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</si>
  <si>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</si>
  <si>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</si>
  <si>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</si>
  <si>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</si>
  <si>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</si>
  <si>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</si>
  <si>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</si>
  <si>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</si>
  <si>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</si>
  <si>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</si>
  <si>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</si>
  <si>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</si>
  <si>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</si>
  <si>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</si>
  <si>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</si>
  <si>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</si>
  <si>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</si>
  <si>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</si>
  <si>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</si>
  <si>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</si>
  <si>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</si>
  <si>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</si>
  <si>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</si>
  <si>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</si>
  <si>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</si>
  <si>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</si>
  <si>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</si>
  <si>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</si>
  <si>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</si>
  <si>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</si>
  <si>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</si>
  <si>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</si>
  <si>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</si>
  <si>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</si>
  <si>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</si>
  <si>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</si>
  <si>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</si>
  <si>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</si>
  <si>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</si>
  <si>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</si>
  <si>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</si>
  <si>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</si>
  <si>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</si>
  <si>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</si>
  <si>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</si>
  <si>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</si>
  <si>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</si>
  <si>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</si>
  <si>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</si>
  <si>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</si>
  <si>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</si>
  <si>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</si>
  <si>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</si>
  <si>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</si>
  <si>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</si>
  <si>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</si>
  <si>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</si>
  <si>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</si>
  <si>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</si>
  <si>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</si>
  <si>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</si>
  <si>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</si>
  <si>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</si>
  <si>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</si>
  <si>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</si>
  <si>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</si>
  <si>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</si>
  <si>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</si>
  <si>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</si>
  <si>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</si>
  <si>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</si>
  <si>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</si>
  <si>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</si>
  <si>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</si>
  <si>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</si>
  <si>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</si>
  <si>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</si>
  <si>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</si>
  <si>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</si>
  <si>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</si>
  <si>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</si>
  <si>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</si>
  <si>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</si>
  <si>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</si>
  <si>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</si>
  <si>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</si>
  <si>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</si>
  <si>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</si>
  <si>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</si>
  <si>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</si>
  <si>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</si>
  <si>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</si>
  <si>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</si>
  <si>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</si>
  <si>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</si>
  <si>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</si>
  <si>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</si>
  <si>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</si>
  <si>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</si>
  <si>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</si>
  <si>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</si>
  <si>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</si>
  <si>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</si>
  <si>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</si>
  <si>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</si>
  <si>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</si>
  <si>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</si>
  <si>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</si>
  <si>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</si>
  <si>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</si>
  <si>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</si>
  <si>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</si>
  <si>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</si>
  <si>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</si>
  <si>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</si>
  <si>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</si>
  <si>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</si>
  <si>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</si>
  <si>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</si>
  <si>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</si>
  <si>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</si>
  <si>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</si>
  <si>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</si>
  <si>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</si>
  <si>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</si>
  <si>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</si>
  <si>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</si>
  <si>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</si>
  <si>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</si>
  <si>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</si>
  <si>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</si>
  <si>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</si>
  <si>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</si>
  <si>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</si>
  <si>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</si>
  <si>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</si>
  <si>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</si>
  <si>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</si>
  <si>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</si>
  <si>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</si>
  <si>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</si>
  <si>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</si>
  <si>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</si>
  <si>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</si>
  <si>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</si>
  <si>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</si>
  <si>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</si>
  <si>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</si>
  <si>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</si>
  <si>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</si>
  <si>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</si>
  <si>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</si>
  <si>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</si>
  <si>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</si>
  <si>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</si>
  <si>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</si>
  <si>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</si>
  <si>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</si>
  <si>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</si>
  <si>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</si>
  <si>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</si>
  <si>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</si>
  <si>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</si>
  <si>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</si>
  <si>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</si>
  <si>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</si>
  <si>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</si>
  <si>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</si>
  <si>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</si>
  <si>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</si>
  <si>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</si>
  <si>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</si>
  <si>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</si>
  <si>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</si>
  <si>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</si>
  <si>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</si>
  <si>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</si>
  <si>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</si>
  <si>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</si>
  <si>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</si>
  <si>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</si>
  <si>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</si>
  <si>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</si>
  <si>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</si>
  <si>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</si>
  <si>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</si>
  <si>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</si>
  <si>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</si>
  <si>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</si>
  <si>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</si>
  <si>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</si>
  <si>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</si>
  <si>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</si>
  <si>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</si>
  <si>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</si>
  <si>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</si>
  <si>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</si>
  <si>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</si>
  <si>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</si>
  <si>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</si>
  <si>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</si>
  <si>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</si>
  <si>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</si>
  <si>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</si>
  <si>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</si>
  <si>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</si>
  <si>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</si>
  <si>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</si>
  <si>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</si>
  <si>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</si>
  <si>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</si>
  <si>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</si>
  <si>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</si>
  <si>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</si>
  <si>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</si>
  <si>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</si>
  <si>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</si>
  <si>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</si>
  <si>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</si>
  <si>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</si>
  <si>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</si>
  <si>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</si>
  <si>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</si>
  <si>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</si>
  <si>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</si>
  <si>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</si>
  <si>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</si>
  <si>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</si>
  <si>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</si>
  <si>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</si>
  <si>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</si>
  <si>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</si>
  <si>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</si>
  <si>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</si>
  <si>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</si>
  <si>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</si>
  <si>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</si>
  <si>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</si>
  <si>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</si>
  <si>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</si>
  <si>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</si>
  <si>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</si>
  <si>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</si>
  <si>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</si>
  <si>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</si>
  <si>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</si>
  <si>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</si>
  <si>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</si>
  <si>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</si>
  <si>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</si>
  <si>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</si>
  <si>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</si>
  <si>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</si>
  <si>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</si>
  <si>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</si>
  <si>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</si>
  <si>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</si>
  <si>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</si>
  <si>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</si>
  <si>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</si>
  <si>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</si>
  <si>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</si>
  <si>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</si>
  <si>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</si>
  <si>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</si>
  <si>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</si>
  <si>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</si>
  <si>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</si>
  <si>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</si>
  <si>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</si>
  <si>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</si>
  <si>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</si>
  <si>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</si>
  <si>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</si>
  <si>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</si>
  <si>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</si>
  <si>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</si>
  <si>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</si>
  <si>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</si>
  <si>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</si>
  <si>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</si>
  <si>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</si>
  <si>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</si>
  <si>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</si>
  <si>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</si>
  <si>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</si>
  <si>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</si>
  <si>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</si>
  <si>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</si>
  <si>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</si>
  <si>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</si>
  <si>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</si>
  <si>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</si>
  <si>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</si>
  <si>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</si>
  <si>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</si>
  <si>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</si>
  <si>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</si>
  <si>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</si>
  <si>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</si>
  <si>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</si>
  <si>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</si>
  <si>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</si>
  <si>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</si>
  <si>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</si>
  <si>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</si>
  <si>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</si>
  <si>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</si>
  <si>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</si>
  <si>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</si>
  <si>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</si>
  <si>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</si>
  <si>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</si>
  <si>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</si>
  <si>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</si>
  <si>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</si>
  <si>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</si>
  <si>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</si>
  <si>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</si>
  <si>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</si>
  <si>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</si>
  <si>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</si>
  <si>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</si>
  <si>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</si>
  <si>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</si>
  <si>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</si>
  <si>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</si>
  <si>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</si>
  <si>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</si>
  <si>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</si>
  <si>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</si>
  <si>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</si>
  <si>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</si>
  <si>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</si>
  <si>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</si>
  <si>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</si>
  <si>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</si>
  <si>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</si>
  <si>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</si>
  <si>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</si>
  <si>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</si>
  <si>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</si>
  <si>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</si>
  <si>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</si>
  <si>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</si>
  <si>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</si>
  <si>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</si>
  <si>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</si>
  <si>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</si>
  <si>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</si>
  <si>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</si>
  <si>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</si>
  <si>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</si>
  <si>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</si>
  <si>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</si>
  <si>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</si>
  <si>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</si>
  <si>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</si>
  <si>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</si>
  <si>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</si>
  <si>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</si>
  <si>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</si>
  <si>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</si>
  <si>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</si>
  <si>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</si>
  <si>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</si>
  <si>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</si>
  <si>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</si>
  <si>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</si>
  <si>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</si>
  <si>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</si>
  <si>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</si>
  <si>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</si>
  <si>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</si>
  <si>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</si>
  <si>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</si>
  <si>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</si>
  <si>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</si>
  <si>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</si>
  <si>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</si>
  <si>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</si>
  <si>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</si>
  <si>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</si>
  <si>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</si>
  <si>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</si>
  <si>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</si>
  <si>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</si>
  <si>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</si>
  <si>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</si>
  <si>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</si>
  <si>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</si>
  <si>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</si>
  <si>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</si>
  <si>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</si>
  <si>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</si>
  <si>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</si>
  <si>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</si>
  <si>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</si>
  <si>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</si>
  <si>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</si>
  <si>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</si>
  <si>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</si>
  <si>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</si>
  <si>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</si>
  <si>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</si>
  <si>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</si>
  <si>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</si>
  <si>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</si>
  <si>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</si>
  <si>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</si>
  <si>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</si>
  <si>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</si>
  <si>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</si>
  <si>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</si>
  <si>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</si>
  <si>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</si>
  <si>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</si>
  <si>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</si>
  <si>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</si>
  <si>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</si>
  <si>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</si>
  <si>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</si>
  <si>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</si>
  <si>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</si>
  <si>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</si>
  <si>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</si>
  <si>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</si>
  <si>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</si>
  <si>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</si>
  <si>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</si>
  <si>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</si>
  <si>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</si>
  <si>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</si>
  <si>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</si>
  <si>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</si>
  <si>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</si>
  <si>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</si>
  <si>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</si>
  <si>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</si>
  <si>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</si>
  <si>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</si>
  <si>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</si>
  <si>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</si>
  <si>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</si>
  <si>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</si>
  <si>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</si>
  <si>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</si>
  <si>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</si>
  <si>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</si>
  <si>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</si>
  <si>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</si>
  <si>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</si>
  <si>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</si>
  <si>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</si>
  <si>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</si>
  <si>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</si>
  <si>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</si>
  <si>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</si>
  <si>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</si>
  <si>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</si>
  <si>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</si>
  <si>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</si>
  <si>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</si>
  <si>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</si>
  <si>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</si>
  <si>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</si>
  <si>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</si>
  <si>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</si>
  <si>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</si>
  <si>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</si>
  <si>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</si>
  <si>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</si>
  <si>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</si>
  <si>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</si>
  <si>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</si>
  <si>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</si>
  <si>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</si>
  <si>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</si>
  <si>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</si>
  <si>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</si>
  <si>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</si>
  <si>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</si>
  <si>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</si>
  <si>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</si>
  <si>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</si>
  <si>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</si>
  <si>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</si>
  <si>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</si>
  <si>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</si>
  <si>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</si>
  <si>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</si>
  <si>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</si>
  <si>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</si>
  <si>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</si>
  <si>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</si>
  <si>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</si>
  <si>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</si>
  <si>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</si>
  <si>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</si>
  <si>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</si>
  <si>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</si>
  <si>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</si>
  <si>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</si>
  <si>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</si>
  <si>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</si>
  <si>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</si>
  <si>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</si>
  <si>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</si>
  <si>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</si>
  <si>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</si>
  <si>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</si>
  <si>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</si>
  <si>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</si>
  <si>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</si>
  <si>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</si>
  <si>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</si>
  <si>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</si>
  <si>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</si>
  <si>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</si>
  <si>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</si>
  <si>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</si>
  <si>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</si>
  <si>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</si>
  <si>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</si>
  <si>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</si>
  <si>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</si>
  <si>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</si>
  <si>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</si>
  <si>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</si>
  <si>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</si>
  <si>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</si>
  <si>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</si>
  <si>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</si>
  <si>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</si>
  <si>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</si>
  <si>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</si>
  <si>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</si>
  <si>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</si>
  <si>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</si>
  <si>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</si>
  <si>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</si>
  <si>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</si>
  <si>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</si>
  <si>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</si>
  <si>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</si>
  <si>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</si>
  <si>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</si>
  <si>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</si>
  <si>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</si>
  <si>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</si>
  <si>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</si>
  <si>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</si>
  <si>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</si>
  <si>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</si>
  <si>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</si>
  <si>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</si>
  <si>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</si>
  <si>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</si>
  <si>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</si>
  <si>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</si>
  <si>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</si>
  <si>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</si>
  <si>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</si>
  <si>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</si>
  <si>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</si>
  <si>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</si>
  <si>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</si>
  <si>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</si>
  <si>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</si>
  <si>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</si>
  <si>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</si>
  <si>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</si>
  <si>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</si>
  <si>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</si>
  <si>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</si>
  <si>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</si>
  <si>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</si>
  <si>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</si>
  <si>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</si>
  <si>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</si>
  <si>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</si>
  <si>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</si>
  <si>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</si>
  <si>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</si>
  <si>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</si>
  <si>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</si>
  <si>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</si>
  <si>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</si>
  <si>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</si>
  <si>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</si>
  <si>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</si>
  <si>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</si>
  <si>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</si>
  <si>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</si>
  <si>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</si>
  <si>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</si>
  <si>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</si>
  <si>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</si>
  <si>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</si>
  <si>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</si>
  <si>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</si>
  <si>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</si>
  <si>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</si>
  <si>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</si>
  <si>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</si>
  <si>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</si>
  <si>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</si>
  <si>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</si>
  <si>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</si>
  <si>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</si>
  <si>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</si>
  <si>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</si>
  <si>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</si>
  <si>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</si>
  <si>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</si>
  <si>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</si>
  <si>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</si>
  <si>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</si>
  <si>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</si>
  <si>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</si>
  <si>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</si>
  <si>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</si>
  <si>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</si>
  <si>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</si>
  <si>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</si>
  <si>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</si>
  <si>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</si>
  <si>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</si>
  <si>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</si>
  <si>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</si>
  <si>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</si>
  <si>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</si>
  <si>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</si>
  <si>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</si>
  <si>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</si>
  <si>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</si>
  <si>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</si>
  <si>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</si>
  <si>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</si>
  <si>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</si>
  <si>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</si>
  <si>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</si>
  <si>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</si>
  <si>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</si>
  <si>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</si>
  <si>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</si>
  <si>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</si>
  <si>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</si>
  <si>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</si>
  <si>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</si>
  <si>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</si>
  <si>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</si>
  <si>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</si>
  <si>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</si>
  <si>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</si>
  <si>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</si>
  <si>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</si>
  <si>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</si>
  <si>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</si>
  <si>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</si>
  <si>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</si>
  <si>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</si>
  <si>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</si>
  <si>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</si>
  <si>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</si>
  <si>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</si>
  <si>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</si>
  <si>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</si>
  <si>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</si>
  <si>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</si>
  <si>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</si>
  <si>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</si>
  <si>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</si>
  <si>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</si>
  <si>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</si>
  <si>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</si>
  <si>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</si>
  <si>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</si>
  <si>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</si>
  <si>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</si>
  <si>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</si>
  <si>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</si>
  <si>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</si>
  <si>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</si>
  <si>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</si>
  <si>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</si>
  <si>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</si>
  <si>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</si>
  <si>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</si>
  <si>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</si>
  <si>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</si>
  <si>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</si>
  <si>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</si>
  <si>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</si>
  <si>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</si>
  <si>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</si>
  <si>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</si>
  <si>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</si>
  <si>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</si>
  <si>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</si>
  <si>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</si>
  <si>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</si>
  <si>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</si>
  <si>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</si>
  <si>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</si>
  <si>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</si>
  <si>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</si>
  <si>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</si>
  <si>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</si>
  <si>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</si>
  <si>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</si>
  <si>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</si>
  <si>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</si>
  <si>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</si>
  <si>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</si>
  <si>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</si>
  <si>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</si>
  <si>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</si>
  <si>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</si>
  <si>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</si>
  <si>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</si>
  <si>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</si>
  <si>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</si>
  <si>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</si>
  <si>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</si>
  <si>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</si>
  <si>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</si>
  <si>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</si>
  <si>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</si>
  <si>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</si>
  <si>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</si>
  <si>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</si>
  <si>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</si>
  <si>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</si>
  <si>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</si>
  <si>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</si>
  <si>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</si>
  <si>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</si>
  <si>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</si>
  <si>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</si>
  <si>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</si>
  <si>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</si>
  <si>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</si>
  <si>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</si>
  <si>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</si>
  <si>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</si>
  <si>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</si>
  <si>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</si>
  <si>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</si>
  <si>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</si>
  <si>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</si>
  <si>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</si>
  <si>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</si>
  <si>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</si>
  <si>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</si>
  <si>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</si>
  <si>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</si>
  <si>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</si>
  <si>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</si>
  <si>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</si>
  <si>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</si>
  <si>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</si>
  <si>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</si>
  <si>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</si>
  <si>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</si>
  <si>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</si>
  <si>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</si>
  <si>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</si>
  <si>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</si>
  <si>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</si>
  <si>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</si>
  <si>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</si>
  <si>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</si>
  <si>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</si>
  <si>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</si>
  <si>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</si>
  <si>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</si>
  <si>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</si>
  <si>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</si>
  <si>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</si>
  <si>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</si>
  <si>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</si>
  <si>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</si>
  <si>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</si>
  <si>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</si>
  <si>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</si>
  <si>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</si>
  <si>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</si>
  <si>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</si>
  <si>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</si>
  <si>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</si>
  <si>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</si>
  <si>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</si>
  <si>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</si>
  <si>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</si>
  <si>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</si>
  <si>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</si>
  <si>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</si>
  <si>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</si>
  <si>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</si>
  <si>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</si>
  <si>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</si>
  <si>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</si>
  <si>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</si>
  <si>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</si>
  <si>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</si>
  <si>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</si>
  <si>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</si>
  <si>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</si>
  <si>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</si>
  <si>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</si>
  <si>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</si>
  <si>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</si>
  <si>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</si>
  <si>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</si>
  <si>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</si>
  <si>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</si>
  <si>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</si>
  <si>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</si>
  <si>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</si>
  <si>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</si>
  <si>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</si>
  <si>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</si>
  <si>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</si>
  <si>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</si>
  <si>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</si>
  <si>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</si>
  <si>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</si>
  <si>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</si>
  <si>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</si>
  <si>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</si>
  <si>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</si>
  <si>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</si>
  <si>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</si>
  <si>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</si>
  <si>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</si>
  <si>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</si>
  <si>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</si>
  <si>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</si>
  <si>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</si>
  <si>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</si>
  <si>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</si>
  <si>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</si>
  <si>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</si>
  <si>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</si>
  <si>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</si>
  <si>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</si>
  <si>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</si>
  <si>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</si>
  <si>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</si>
  <si>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</si>
  <si>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</si>
  <si>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</si>
  <si>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</si>
  <si>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</si>
  <si>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</si>
  <si>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</si>
  <si>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</si>
  <si>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</si>
  <si>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</si>
  <si>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</si>
  <si>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</si>
  <si>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</si>
  <si>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</si>
  <si>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</si>
  <si>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</si>
  <si>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</si>
  <si>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</si>
  <si>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</si>
  <si>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</si>
  <si>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</si>
  <si>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</si>
  <si>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</si>
  <si>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</si>
  <si>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</si>
  <si>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</si>
  <si>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</si>
  <si>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</si>
  <si>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</si>
  <si>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</si>
  <si>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</si>
  <si>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</si>
  <si>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</si>
  <si>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</si>
  <si>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</si>
  <si>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</si>
  <si>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</si>
  <si>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</si>
  <si>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</si>
  <si>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</si>
  <si>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</si>
  <si>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</si>
  <si>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</si>
  <si>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</si>
  <si>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</si>
  <si>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</si>
  <si>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</si>
  <si>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</si>
  <si>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</si>
  <si>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</si>
  <si>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</si>
  <si>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</si>
  <si>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</si>
  <si>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</si>
  <si>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</si>
  <si>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</si>
  <si>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</si>
  <si>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</si>
  <si>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</si>
  <si>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</si>
  <si>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</si>
  <si>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</si>
  <si>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</si>
  <si>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</si>
  <si>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</si>
  <si>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</si>
  <si>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</si>
  <si>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</si>
  <si>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</si>
  <si>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</si>
  <si>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</si>
  <si>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</si>
  <si>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</si>
  <si>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</si>
  <si>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</si>
  <si>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</si>
  <si>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</si>
  <si>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</si>
  <si>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</si>
  <si>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</si>
  <si>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</si>
  <si>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</si>
  <si>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</si>
  <si>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</si>
  <si>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</si>
  <si>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</si>
  <si>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</si>
  <si>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</si>
  <si>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</si>
  <si>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</si>
  <si>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</si>
  <si>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</si>
  <si>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</si>
  <si>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</si>
  <si>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</si>
  <si>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</si>
  <si>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</si>
  <si>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</si>
  <si>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</si>
  <si>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</si>
  <si>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</si>
  <si>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</si>
  <si>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</si>
  <si>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</si>
  <si>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</si>
  <si>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</si>
  <si>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</si>
  <si>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</si>
  <si>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</si>
  <si>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</si>
  <si>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</si>
  <si>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</si>
  <si>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</si>
  <si>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</si>
  <si>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</si>
  <si>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</si>
  <si>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</si>
  <si>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</si>
  <si>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</si>
  <si>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</si>
  <si>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</si>
  <si>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</si>
  <si>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</si>
  <si>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</si>
  <si>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</si>
  <si>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</si>
  <si>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</si>
  <si>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</si>
  <si>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</si>
  <si>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</si>
  <si>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</si>
  <si>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</si>
  <si>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</si>
  <si>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</si>
  <si>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</si>
  <si>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</si>
  <si>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</si>
  <si>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</si>
  <si>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</si>
  <si>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</si>
  <si>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</si>
  <si>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</si>
  <si>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</si>
  <si>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</si>
  <si>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</si>
  <si>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</si>
  <si>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</si>
  <si>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</si>
  <si>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</si>
  <si>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</si>
  <si>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</si>
  <si>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</si>
  <si>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</si>
  <si>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</si>
  <si>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</si>
  <si>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</si>
  <si>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</si>
  <si>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</si>
  <si>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</si>
  <si>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</si>
  <si>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</si>
  <si>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</si>
  <si>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</si>
  <si>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</si>
  <si>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</si>
  <si>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</si>
  <si>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</si>
  <si>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</si>
  <si>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</si>
  <si>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</si>
  <si>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</si>
  <si>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</si>
  <si>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</si>
  <si>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</si>
  <si>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</si>
  <si>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</si>
  <si>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</si>
  <si>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</si>
  <si>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</si>
  <si>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</si>
  <si>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</si>
  <si>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</si>
  <si>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</si>
  <si>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</si>
  <si>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</si>
  <si>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</si>
  <si>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</si>
  <si>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</si>
  <si>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</si>
  <si>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</si>
  <si>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</si>
  <si>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</si>
  <si>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</si>
  <si>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</si>
  <si>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</si>
  <si>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</si>
  <si>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</si>
  <si>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</si>
  <si>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</si>
  <si>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</si>
  <si>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</si>
  <si>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</si>
  <si>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</si>
  <si>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</si>
  <si>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</si>
  <si>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</si>
  <si>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</si>
  <si>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</si>
  <si>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</si>
  <si>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</si>
  <si>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</si>
  <si>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</si>
  <si>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</si>
  <si>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</si>
  <si>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</si>
  <si>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</si>
  <si>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</si>
  <si>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</si>
  <si>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</si>
  <si>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</si>
  <si>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</si>
  <si>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</si>
  <si>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</si>
  <si>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</si>
  <si>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</si>
  <si>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</si>
  <si>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</si>
  <si>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</si>
  <si>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</si>
  <si>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</si>
  <si>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</si>
  <si>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</si>
  <si>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</si>
  <si>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</si>
  <si>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</si>
  <si>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</si>
  <si>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</si>
  <si>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</si>
  <si>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</si>
  <si>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</si>
  <si>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</si>
  <si>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</si>
  <si>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</si>
  <si>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</si>
  <si>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</si>
  <si>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</si>
  <si>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</si>
  <si>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</si>
  <si>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</si>
  <si>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</si>
  <si>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</si>
  <si>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</si>
  <si>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</si>
  <si>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</si>
  <si>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</si>
  <si>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</si>
  <si>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</si>
  <si>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</si>
  <si>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</si>
  <si>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</si>
  <si>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</si>
  <si>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</si>
  <si>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</si>
  <si>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</si>
  <si>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</si>
  <si>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</si>
  <si>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</si>
  <si>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</si>
  <si>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</si>
  <si>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</si>
  <si>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</si>
  <si>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</si>
  <si>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</si>
  <si>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</si>
  <si>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</si>
  <si>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</si>
  <si>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</si>
  <si>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</si>
  <si>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</si>
  <si>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</si>
  <si>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</si>
  <si>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</si>
  <si>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</si>
  <si>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</si>
  <si>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</si>
  <si>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</si>
  <si>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</si>
  <si>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</si>
  <si>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</si>
  <si>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</si>
  <si>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</si>
  <si>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</si>
  <si>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</si>
  <si>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</si>
  <si>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</si>
  <si>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</si>
  <si>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</si>
  <si>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</si>
  <si>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</si>
  <si>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</si>
  <si>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</si>
  <si>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</si>
  <si>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</si>
  <si>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</si>
  <si>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</si>
  <si>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</si>
  <si>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</si>
  <si>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</si>
  <si>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</si>
  <si>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</si>
  <si>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</si>
  <si>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</si>
  <si>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</si>
  <si>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</si>
  <si>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</si>
  <si>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</si>
  <si>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</si>
  <si>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</si>
  <si>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</si>
  <si>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</si>
  <si>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</si>
  <si>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</si>
  <si>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</si>
  <si>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</si>
  <si>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</si>
  <si>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</si>
  <si>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</si>
  <si>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</si>
  <si>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</si>
  <si>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</si>
  <si>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</si>
  <si>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</si>
  <si>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</si>
  <si>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</si>
  <si>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</si>
  <si>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</si>
  <si>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</si>
  <si>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</si>
  <si>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</si>
  <si>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</si>
  <si>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</si>
  <si>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</si>
  <si>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</si>
  <si>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</si>
  <si>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</si>
  <si>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</si>
  <si>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</si>
  <si>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</si>
  <si>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</si>
  <si>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</si>
  <si>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</si>
  <si>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</si>
  <si>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</si>
  <si>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</si>
  <si>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</si>
  <si>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</si>
  <si>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</si>
  <si>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</si>
  <si>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</si>
  <si>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</si>
  <si>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</si>
  <si>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</si>
  <si>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</si>
  <si>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</si>
  <si>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</si>
  <si>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</si>
  <si>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</si>
  <si>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</si>
  <si>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</si>
  <si>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</si>
  <si>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</si>
  <si>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</si>
  <si>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</si>
  <si>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</si>
  <si>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</si>
  <si>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</si>
  <si>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</si>
  <si>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</si>
  <si>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</si>
  <si>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</si>
  <si>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</si>
  <si>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</si>
  <si>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</si>
  <si>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</si>
  <si>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</si>
  <si>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</si>
  <si>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</si>
  <si>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</si>
  <si>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</si>
  <si>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</si>
  <si>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</si>
  <si>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</si>
  <si>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</si>
  <si>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</si>
  <si>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</si>
  <si>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</si>
  <si>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</si>
  <si>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</si>
  <si>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</si>
  <si>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</si>
  <si>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</si>
  <si>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</si>
  <si>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</si>
  <si>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</si>
  <si>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</si>
  <si>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</si>
  <si>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</si>
  <si>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</si>
  <si>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</si>
  <si>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</si>
  <si>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</si>
  <si>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</si>
  <si>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</si>
  <si>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</si>
  <si>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</si>
  <si>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</si>
  <si>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</si>
  <si>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</si>
  <si>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</si>
  <si>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</si>
  <si>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</si>
  <si>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</si>
  <si>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</si>
  <si>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</si>
  <si>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</si>
  <si>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</si>
  <si>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</si>
  <si>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</si>
  <si>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</si>
  <si>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</si>
  <si>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</si>
  <si>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</si>
  <si>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</si>
  <si>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</si>
  <si>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</si>
  <si>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</si>
  <si>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</si>
  <si>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</si>
  <si>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</si>
  <si>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</si>
  <si>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</si>
  <si>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</si>
  <si>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</si>
  <si>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</si>
  <si>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</si>
  <si>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</si>
  <si>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</si>
  <si>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</si>
  <si>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</si>
  <si>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</si>
  <si>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</si>
  <si>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</si>
  <si>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</si>
  <si>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</si>
  <si>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</si>
  <si>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</si>
  <si>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</si>
  <si>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</si>
  <si>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</si>
  <si>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</si>
  <si>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</si>
  <si>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</si>
  <si>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</si>
  <si>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</si>
  <si>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</si>
  <si>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</si>
  <si>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</si>
  <si>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</si>
  <si>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</si>
  <si>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</si>
  <si>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</si>
  <si>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</si>
  <si>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</si>
  <si>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</si>
  <si>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</si>
  <si>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</si>
  <si>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</si>
  <si>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</si>
  <si>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</si>
  <si>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</si>
  <si>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</si>
  <si>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</si>
  <si>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</si>
  <si>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</si>
  <si>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</si>
  <si>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</si>
  <si>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</si>
  <si>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</si>
  <si>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</si>
  <si>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</si>
  <si>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</si>
  <si>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</si>
  <si>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</si>
  <si>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</si>
  <si>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</si>
  <si>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</si>
  <si>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</si>
  <si>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</si>
  <si>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</si>
  <si>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</si>
  <si>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</si>
  <si>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</si>
  <si>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</si>
  <si>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</si>
  <si>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</si>
  <si>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</si>
  <si>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</si>
  <si>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</si>
  <si>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</si>
  <si>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</si>
  <si>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</si>
  <si>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</si>
  <si>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</si>
  <si>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</si>
  <si>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</si>
  <si>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</si>
  <si>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</si>
  <si>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</si>
  <si>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</si>
  <si>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</si>
  <si>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</si>
  <si>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</si>
  <si>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</si>
  <si>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</si>
  <si>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</si>
  <si>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</si>
  <si>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</si>
  <si>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</si>
  <si>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</si>
  <si>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</si>
  <si>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</si>
  <si>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</si>
  <si>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</si>
  <si>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</si>
  <si>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</si>
  <si>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</si>
  <si>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</si>
  <si>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</si>
  <si>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</si>
  <si>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</si>
  <si>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</si>
  <si>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</si>
  <si>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</si>
  <si>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</si>
  <si>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</si>
  <si>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</si>
  <si>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</si>
  <si>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</si>
  <si>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</si>
  <si>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</si>
  <si>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</si>
  <si>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</si>
  <si>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</si>
  <si>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</si>
  <si>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</si>
  <si>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</si>
  <si>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</si>
  <si>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</si>
  <si>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</si>
  <si>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</si>
  <si>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</si>
  <si>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</si>
  <si>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</si>
  <si>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</si>
  <si>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</si>
  <si>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</si>
  <si>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</si>
  <si>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</si>
  <si>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</si>
  <si>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</si>
  <si>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</si>
  <si>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</si>
  <si>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</si>
  <si>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</si>
  <si>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</si>
  <si>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</si>
  <si>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</si>
  <si>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</si>
  <si>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</si>
  <si>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</si>
  <si>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</si>
  <si>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</si>
  <si>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</si>
  <si>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</si>
  <si>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</si>
  <si>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</si>
  <si>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</si>
  <si>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</si>
  <si>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</si>
  <si>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</si>
  <si>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</si>
  <si>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</si>
  <si>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</si>
  <si>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</si>
  <si>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</si>
  <si>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</si>
  <si>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</si>
  <si>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</si>
  <si>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</si>
  <si>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</si>
  <si>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</si>
  <si>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</si>
  <si>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</si>
  <si>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</si>
  <si>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</si>
  <si>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</si>
  <si>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</si>
  <si>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</si>
  <si>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</si>
  <si>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</si>
  <si>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</si>
  <si>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</si>
  <si>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</si>
  <si>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</si>
  <si>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</si>
  <si>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</si>
  <si>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</si>
  <si>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</si>
  <si>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</si>
  <si>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</si>
  <si>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</si>
  <si>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</si>
  <si>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</si>
  <si>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</si>
  <si>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</si>
  <si>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</si>
  <si>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</si>
  <si>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</si>
  <si>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</si>
  <si>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</si>
  <si>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</si>
  <si>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</si>
  <si>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</si>
  <si>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</si>
  <si>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</si>
  <si>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</si>
  <si>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</si>
  <si>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</si>
  <si>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</si>
  <si>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</si>
  <si>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</si>
  <si>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</si>
  <si>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</si>
  <si>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</si>
  <si>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</si>
  <si>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</si>
  <si>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</si>
  <si>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</si>
  <si>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</si>
  <si>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</si>
  <si>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</si>
  <si>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</si>
  <si>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</si>
  <si>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</si>
  <si>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</si>
  <si>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</si>
  <si>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</si>
  <si>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</si>
  <si>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</si>
  <si>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</si>
  <si>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</si>
  <si>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</si>
  <si>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</si>
  <si>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</si>
  <si>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</si>
  <si>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</si>
  <si>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</si>
  <si>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</si>
  <si>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</si>
  <si>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</si>
  <si>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</si>
  <si>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</si>
  <si>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</si>
  <si>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</si>
  <si>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</si>
  <si>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</si>
  <si>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</si>
  <si>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</si>
  <si>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</si>
  <si>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</si>
  <si>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</si>
  <si>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</si>
  <si>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</si>
  <si>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</si>
  <si>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</si>
  <si>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</si>
  <si>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</si>
  <si>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</si>
  <si>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</si>
  <si>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</si>
  <si>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</si>
  <si>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</si>
  <si>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</si>
  <si>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</si>
  <si>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</si>
  <si>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</si>
  <si>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</si>
  <si>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</si>
  <si>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</si>
  <si>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</si>
  <si>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</si>
  <si>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</si>
  <si>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</si>
  <si>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</si>
  <si>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</si>
  <si>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</si>
  <si>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</si>
  <si>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</si>
  <si>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</si>
  <si>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</si>
  <si>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</si>
  <si>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</si>
  <si>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</si>
  <si>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</si>
  <si>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</si>
  <si>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</si>
  <si>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</si>
  <si>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</si>
  <si>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</si>
  <si>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</si>
  <si>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</si>
  <si>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</si>
  <si>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</si>
  <si>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</si>
  <si>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</si>
  <si>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</si>
  <si>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</si>
  <si>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</si>
  <si>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</si>
  <si>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</si>
  <si>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</si>
  <si>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</si>
  <si>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</si>
  <si>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</si>
  <si>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</si>
  <si>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</si>
  <si>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</si>
  <si>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</si>
  <si>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</si>
  <si>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</si>
  <si>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</si>
  <si>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</si>
  <si>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</si>
  <si>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</si>
  <si>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</si>
  <si>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</si>
  <si>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</si>
  <si>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</si>
  <si>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</si>
  <si>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</si>
  <si>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</si>
  <si>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</si>
  <si>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</si>
  <si>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</si>
  <si>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</si>
  <si>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</si>
  <si>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</si>
  <si>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</si>
  <si>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</si>
  <si>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</si>
  <si>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</si>
  <si>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</si>
  <si>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</si>
  <si>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</si>
  <si>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</si>
  <si>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</si>
  <si>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</si>
  <si>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</si>
  <si>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</si>
  <si>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</si>
  <si>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</si>
  <si>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</si>
  <si>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</si>
  <si>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</si>
  <si>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</si>
  <si>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</si>
  <si>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</si>
  <si>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</si>
  <si>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</si>
  <si>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</si>
  <si>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</si>
  <si>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</si>
  <si>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</si>
  <si>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</si>
  <si>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</si>
  <si>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</si>
  <si>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</si>
  <si>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</si>
  <si>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</si>
  <si>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</si>
  <si>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</si>
  <si>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</si>
  <si>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</si>
  <si>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</si>
  <si>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</si>
  <si>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</si>
  <si>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</si>
  <si>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</si>
  <si>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</si>
  <si>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</si>
  <si>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</si>
  <si>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</si>
  <si>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</si>
  <si>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</si>
  <si>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</si>
  <si>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</si>
  <si>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</si>
  <si>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</si>
  <si>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</si>
  <si>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</si>
  <si>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</si>
  <si>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</si>
  <si>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</si>
  <si>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</si>
  <si>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</si>
  <si>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</si>
  <si>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</si>
  <si>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</si>
  <si>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</si>
  <si>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</si>
  <si>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</si>
  <si>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</si>
  <si>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</si>
  <si>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</si>
  <si>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</si>
  <si>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</si>
  <si>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</si>
  <si>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</si>
  <si>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</si>
  <si>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</si>
  <si>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</si>
  <si>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</si>
  <si>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</si>
  <si>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</si>
  <si>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</si>
  <si>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</si>
  <si>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</si>
  <si>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</si>
  <si>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</si>
  <si>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</si>
  <si>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</si>
  <si>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</si>
  <si>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</si>
  <si>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</si>
  <si>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</si>
  <si>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</si>
  <si>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</si>
  <si>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</si>
  <si>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</si>
  <si>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</si>
  <si>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</si>
  <si>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</si>
  <si>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</si>
  <si>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</si>
  <si>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</si>
  <si>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</si>
  <si>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</si>
  <si>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</si>
  <si>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</si>
  <si>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</si>
  <si>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</si>
  <si>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</si>
  <si>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</si>
  <si>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</si>
  <si>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</si>
  <si>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</si>
  <si>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</si>
  <si>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</si>
  <si>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</si>
  <si>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</si>
  <si>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</si>
  <si>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</si>
  <si>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</si>
  <si>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</si>
  <si>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</si>
  <si>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</si>
  <si>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</si>
  <si>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</si>
  <si>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</si>
  <si>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</si>
  <si>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</si>
  <si>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</si>
  <si>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</si>
  <si>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</si>
  <si>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</si>
  <si>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</si>
  <si>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</si>
  <si>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</si>
  <si>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</si>
  <si>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</si>
  <si>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</si>
  <si>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</si>
  <si>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</si>
  <si>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</si>
  <si>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</si>
  <si>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</si>
  <si>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</si>
  <si>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</si>
  <si>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</si>
  <si>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</si>
  <si>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</si>
  <si>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</si>
  <si>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</si>
  <si>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</si>
  <si>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</si>
  <si>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</si>
  <si>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</si>
  <si>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</si>
  <si>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</si>
  <si>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</si>
  <si>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</si>
  <si>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</si>
  <si>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</si>
  <si>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</si>
  <si>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</si>
  <si>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</si>
  <si>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</si>
  <si>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</si>
  <si>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</si>
  <si>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</si>
  <si>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</si>
  <si>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</si>
  <si>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</si>
  <si>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</si>
  <si>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</si>
  <si>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</si>
  <si>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</si>
  <si>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</si>
  <si>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</si>
  <si>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</si>
  <si>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</si>
  <si>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</si>
  <si>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</si>
  <si>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</si>
  <si>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</si>
  <si>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</si>
  <si>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</si>
  <si>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</si>
  <si>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</si>
  <si>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</si>
  <si>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</si>
  <si>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</si>
  <si>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</si>
  <si>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</si>
  <si>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</si>
  <si>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</si>
  <si>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</si>
  <si>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</si>
  <si>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</si>
  <si>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</si>
  <si>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</si>
  <si>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</si>
  <si>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</si>
  <si>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</si>
  <si>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</si>
  <si>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</si>
  <si>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</si>
  <si>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</si>
  <si>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</si>
  <si>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</si>
  <si>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</si>
  <si>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</si>
  <si>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</si>
  <si>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</si>
  <si>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</si>
  <si>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</si>
  <si>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</si>
  <si>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</si>
  <si>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</si>
  <si>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</si>
  <si>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</si>
  <si>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</si>
  <si>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</si>
  <si>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</si>
  <si>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</si>
  <si>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</si>
  <si>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</si>
  <si>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</si>
  <si>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</si>
  <si>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</si>
  <si>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</si>
  <si>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</si>
  <si>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</si>
  <si>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</si>
  <si>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</si>
  <si>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</si>
  <si>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</si>
  <si>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</si>
  <si>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</si>
  <si>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</si>
  <si>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</si>
  <si>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</si>
  <si>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</si>
  <si>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</si>
  <si>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</si>
  <si>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</si>
  <si>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</si>
  <si>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</si>
  <si>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</si>
  <si>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</si>
  <si>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</si>
  <si>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</si>
  <si>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</si>
  <si>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</si>
  <si>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</si>
  <si>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</si>
  <si>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</si>
  <si>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</si>
  <si>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</si>
  <si>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</si>
  <si>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</si>
  <si>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</si>
  <si>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</si>
  <si>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</si>
  <si>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</si>
  <si>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</si>
  <si>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</si>
  <si>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</si>
  <si>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</si>
  <si>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</si>
  <si>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</si>
  <si>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</si>
  <si>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</si>
  <si>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</si>
  <si>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</si>
  <si>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</si>
  <si>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</si>
  <si>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</si>
  <si>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</si>
  <si>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</si>
  <si>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</si>
  <si>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</si>
  <si>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</si>
  <si>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</si>
  <si>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</si>
  <si>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</si>
  <si>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</si>
  <si>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</si>
  <si>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</si>
  <si>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</si>
  <si>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</si>
  <si>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</si>
  <si>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</si>
  <si>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</si>
  <si>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</si>
  <si>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</si>
  <si>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</si>
  <si>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</si>
  <si>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</si>
  <si>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</si>
  <si>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</si>
  <si>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</si>
  <si>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</si>
  <si>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</si>
  <si>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</si>
  <si>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</si>
  <si>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</si>
  <si>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</si>
  <si>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</si>
  <si>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</si>
  <si>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</si>
  <si>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</si>
  <si>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</si>
  <si>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</si>
  <si>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</si>
  <si>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</si>
  <si>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</si>
  <si>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</si>
  <si>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</si>
  <si>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</si>
  <si>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</si>
  <si>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</si>
  <si>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</si>
  <si>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</si>
  <si>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</si>
  <si>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</si>
  <si>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</si>
  <si>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</si>
  <si>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</si>
  <si>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</si>
  <si>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</si>
  <si>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</si>
  <si>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</si>
  <si>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</si>
  <si>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</si>
  <si>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</si>
  <si>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</si>
  <si>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</si>
  <si>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</si>
  <si>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</si>
  <si>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</si>
  <si>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</si>
  <si>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</si>
  <si>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</si>
  <si>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</si>
  <si>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</si>
  <si>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</si>
  <si>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</si>
  <si>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</si>
  <si>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</si>
  <si>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</si>
  <si>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</si>
  <si>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</si>
  <si>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</si>
  <si>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</si>
  <si>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</si>
  <si>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</si>
  <si>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</si>
  <si>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</si>
  <si>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</si>
  <si>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</si>
  <si>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</si>
  <si>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</si>
  <si>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</si>
  <si>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</si>
  <si>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</si>
  <si>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</si>
  <si>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</si>
  <si>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</si>
  <si>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</si>
  <si>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</si>
  <si>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</si>
  <si>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</si>
  <si>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</si>
  <si>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</si>
  <si>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</si>
  <si>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</si>
  <si>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</si>
  <si>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</si>
  <si>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</si>
  <si>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</si>
  <si>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</si>
  <si>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</si>
  <si>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</si>
  <si>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</si>
  <si>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</si>
  <si>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</si>
  <si>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</si>
  <si>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</si>
  <si>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</si>
  <si>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</si>
  <si>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</si>
  <si>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</si>
  <si>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</si>
  <si>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</si>
  <si>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</si>
  <si>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</si>
  <si>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</si>
  <si>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</si>
  <si>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</si>
  <si>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</si>
  <si>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</si>
  <si>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</si>
  <si>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</si>
  <si>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</si>
  <si>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</si>
  <si>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</si>
  <si>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</si>
  <si>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</si>
  <si>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</si>
  <si>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</si>
  <si>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</si>
  <si>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</si>
  <si>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</si>
  <si>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</si>
  <si>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</si>
  <si>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</si>
  <si>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</si>
  <si>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</si>
  <si>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</si>
  <si>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</si>
  <si>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</si>
  <si>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</si>
  <si>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</si>
  <si>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</si>
  <si>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</si>
  <si>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</si>
  <si>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</si>
  <si>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</si>
  <si>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</si>
  <si>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</si>
  <si>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</si>
  <si>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</si>
  <si>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</si>
  <si>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</si>
  <si>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</si>
  <si>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</si>
  <si>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</si>
  <si>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</si>
  <si>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</si>
  <si>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</si>
  <si>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</si>
  <si>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</si>
  <si>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</si>
  <si>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</si>
  <si>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</si>
  <si>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</si>
  <si>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</si>
  <si>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</si>
  <si>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</si>
  <si>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</si>
  <si>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</si>
  <si>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</si>
  <si>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</si>
  <si>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</si>
  <si>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</si>
  <si>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</si>
  <si>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</si>
  <si>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</si>
  <si>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</si>
  <si>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</si>
  <si>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</si>
  <si>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</si>
  <si>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</si>
  <si>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</si>
  <si>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</si>
  <si>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</si>
  <si>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</si>
  <si>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</si>
  <si>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</si>
  <si>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</si>
  <si>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</si>
  <si>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</si>
  <si>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</si>
  <si>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</si>
  <si>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</si>
  <si>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</si>
  <si>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</si>
  <si>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</si>
  <si>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</si>
  <si>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</si>
  <si>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</si>
  <si>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</si>
  <si>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</si>
  <si>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</si>
  <si>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</si>
  <si>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</si>
  <si>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</si>
  <si>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</si>
  <si>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</si>
  <si>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</si>
  <si>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</si>
  <si>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</si>
  <si>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</si>
  <si>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</si>
  <si>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</si>
  <si>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</si>
  <si>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</si>
  <si>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</si>
  <si>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</si>
  <si>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</si>
  <si>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</si>
  <si>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</si>
  <si>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</si>
  <si>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</si>
  <si>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</si>
  <si>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</si>
  <si>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</si>
  <si>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</si>
  <si>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</si>
  <si>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</si>
  <si>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</si>
  <si>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</si>
  <si>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</si>
  <si>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</si>
  <si>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</si>
  <si>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</si>
  <si>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</si>
  <si>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</si>
  <si>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</si>
  <si>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</si>
  <si>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</si>
  <si>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</si>
  <si>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</si>
  <si>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</si>
  <si>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</si>
  <si>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</si>
  <si>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</si>
  <si>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</si>
  <si>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</si>
  <si>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</si>
  <si>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</si>
  <si>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</si>
  <si>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</si>
  <si>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</si>
  <si>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</si>
  <si>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</si>
  <si>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</si>
  <si>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</si>
  <si>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</si>
  <si>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</si>
  <si>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</si>
  <si>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</si>
  <si>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</si>
  <si>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</si>
  <si>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</si>
  <si>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</si>
  <si>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</si>
  <si>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</si>
  <si>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</si>
  <si>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</si>
  <si>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</si>
  <si>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</si>
  <si>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</si>
  <si>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</si>
  <si>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</si>
  <si>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</si>
  <si>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</si>
  <si>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</si>
  <si>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</si>
  <si>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</si>
  <si>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</si>
  <si>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</si>
  <si>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</si>
  <si>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</si>
  <si>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</si>
  <si>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</si>
  <si>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</si>
  <si>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</si>
  <si>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</si>
  <si>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</si>
  <si>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</si>
  <si>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</si>
  <si>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</si>
  <si>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</si>
  <si>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</si>
  <si>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</si>
  <si>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</si>
  <si>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</si>
  <si>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</si>
  <si>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</si>
  <si>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</si>
  <si>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</si>
  <si>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</si>
  <si>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</si>
  <si>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</si>
  <si>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</si>
  <si>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</si>
  <si>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</si>
  <si>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</si>
  <si>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</si>
  <si>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</si>
  <si>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</si>
  <si>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</si>
  <si>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</si>
  <si>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</si>
  <si>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</si>
  <si>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</si>
  <si>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</si>
  <si>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</si>
  <si>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</si>
  <si>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</si>
  <si>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</si>
  <si>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</si>
  <si>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</si>
  <si>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</si>
  <si>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</si>
  <si>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</si>
  <si>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</si>
  <si>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</si>
  <si>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</si>
  <si>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</si>
  <si>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</si>
  <si>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</si>
  <si>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</si>
  <si>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</si>
  <si>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</si>
  <si>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</si>
  <si>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</si>
  <si>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</si>
  <si>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</si>
  <si>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</si>
  <si>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</si>
  <si>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</si>
  <si>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</si>
  <si>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</si>
  <si>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</si>
  <si>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</si>
  <si>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</si>
  <si>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</si>
  <si>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</si>
  <si>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</si>
  <si>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</si>
  <si>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</si>
  <si>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</si>
  <si>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</si>
  <si>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</si>
  <si>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</si>
  <si>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</si>
  <si>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</si>
  <si>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</si>
  <si>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</si>
  <si>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</si>
  <si>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</si>
  <si>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</si>
  <si>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</si>
  <si>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</si>
  <si>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</si>
  <si>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</si>
  <si>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</si>
  <si>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</si>
  <si>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</si>
  <si>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</si>
  <si>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</si>
  <si>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</si>
  <si>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</si>
  <si>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</si>
  <si>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</si>
  <si>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</si>
  <si>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</si>
  <si>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</si>
  <si>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</si>
  <si>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</si>
  <si>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</si>
  <si>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</si>
  <si>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</si>
  <si>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</si>
  <si>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</si>
  <si>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</si>
  <si>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</si>
  <si>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</si>
  <si>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</si>
  <si>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</si>
  <si>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</si>
  <si>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</si>
  <si>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</si>
  <si>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</si>
  <si>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</si>
  <si>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</si>
  <si>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</si>
  <si>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</si>
  <si>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</si>
  <si>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</si>
  <si>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</si>
  <si>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</si>
  <si>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</si>
  <si>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</si>
  <si>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</si>
  <si>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</si>
  <si>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</si>
  <si>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</si>
  <si>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</si>
  <si>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</si>
  <si>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</si>
  <si>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</si>
  <si>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</si>
  <si>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</si>
  <si>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</si>
  <si>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</si>
  <si>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</si>
  <si>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</si>
  <si>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</si>
  <si>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</si>
  <si>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</si>
  <si>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</si>
  <si>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</si>
  <si>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</si>
  <si>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</si>
  <si>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</si>
  <si>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</si>
  <si>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</si>
  <si>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</si>
  <si>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</si>
  <si>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</si>
  <si>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</si>
  <si>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</si>
  <si>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</si>
  <si>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</si>
  <si>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</si>
  <si>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</si>
  <si>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</si>
  <si>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</si>
  <si>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</si>
  <si>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</si>
  <si>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</si>
  <si>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</si>
  <si>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</si>
  <si>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</si>
  <si>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</si>
  <si>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</si>
  <si>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</si>
  <si>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</si>
  <si>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</si>
  <si>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</si>
  <si>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</si>
  <si>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</si>
  <si>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</si>
  <si>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</si>
  <si>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</si>
  <si>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</si>
  <si>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</si>
  <si>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</si>
  <si>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</si>
  <si>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</si>
  <si>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</si>
  <si>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</si>
  <si>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</si>
  <si>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</si>
  <si>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</si>
  <si>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</si>
  <si>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</si>
  <si>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</si>
  <si>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</si>
  <si>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</si>
  <si>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</si>
  <si>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</si>
  <si>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</si>
  <si>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</si>
  <si>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</si>
  <si>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</si>
  <si>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</si>
  <si>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</si>
  <si>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</si>
  <si>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</si>
  <si>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</si>
  <si>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</si>
  <si>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</si>
  <si>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</si>
  <si>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</si>
  <si>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</si>
  <si>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</si>
  <si>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</si>
  <si>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</si>
  <si>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</si>
  <si>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</si>
  <si>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</si>
  <si>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</si>
  <si>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</si>
  <si>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</si>
  <si>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</si>
  <si>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</si>
  <si>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</si>
  <si>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</si>
  <si>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</si>
  <si>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</si>
  <si>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</si>
  <si>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</si>
  <si>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</si>
  <si>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</si>
  <si>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</si>
  <si>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</si>
  <si>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</si>
  <si>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</si>
  <si>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</si>
  <si>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</si>
  <si>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</si>
  <si>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</si>
  <si>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</si>
  <si>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</si>
  <si>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</si>
  <si>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</si>
  <si>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</si>
  <si>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</si>
  <si>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</si>
  <si>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</si>
  <si>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</si>
  <si>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</si>
  <si>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</si>
  <si>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</si>
  <si>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</si>
  <si>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</si>
  <si>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</si>
  <si>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</si>
  <si>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</si>
  <si>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</si>
  <si>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</si>
  <si>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</si>
  <si>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</si>
  <si>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</si>
  <si>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</si>
  <si>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</si>
  <si>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</si>
  <si>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</si>
  <si>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</si>
  <si>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</si>
  <si>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</si>
  <si>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</si>
  <si>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</si>
  <si>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</si>
  <si>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</si>
  <si>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</si>
  <si>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</si>
  <si>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</si>
  <si>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</si>
  <si>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</si>
  <si>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</si>
  <si>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</si>
  <si>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</si>
  <si>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</si>
  <si>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</si>
  <si>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</si>
  <si>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</si>
  <si>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</si>
  <si>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</si>
  <si>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</si>
  <si>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</si>
  <si>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</si>
  <si>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2022-3</t>
    <phoneticPr fontId="3" type="noConversion"/>
  </si>
  <si>
    <t>2022-2</t>
    <phoneticPr fontId="3" type="noConversion"/>
  </si>
  <si>
    <t>2022-3</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</si>
  <si>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</si>
  <si>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</si>
  <si>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</si>
  <si>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</si>
  <si>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</si>
  <si>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</si>
  <si>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</si>
  <si>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</si>
  <si>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北京市</t>
  </si>
  <si>
    <t>抵押</t>
  </si>
  <si>
    <t>房地产抵押价值</t>
  </si>
  <si>
    <t>二期</t>
    <phoneticPr fontId="3" type="noConversion"/>
  </si>
  <si>
    <t>5#</t>
    <phoneticPr fontId="3" type="noConversion"/>
  </si>
  <si>
    <t>一期</t>
    <phoneticPr fontId="3" type="noConversion"/>
  </si>
  <si>
    <t>6#</t>
    <phoneticPr fontId="3" type="noConversion"/>
  </si>
  <si>
    <t>地上</t>
  </si>
  <si>
    <t>工业</t>
    <phoneticPr fontId="7" type="noConversion"/>
  </si>
  <si>
    <t>是</t>
  </si>
  <si>
    <t>成新度</t>
  </si>
  <si>
    <t>收益法</t>
  </si>
  <si>
    <t>不临65条商业街</t>
  </si>
  <si>
    <t>无</t>
  </si>
  <si>
    <t>1000米以外</t>
  </si>
  <si>
    <t>通路</t>
  </si>
  <si>
    <t>通电</t>
  </si>
  <si>
    <t>通讯</t>
  </si>
  <si>
    <t>通上水</t>
  </si>
  <si>
    <t>通下水</t>
  </si>
  <si>
    <t>燃气</t>
  </si>
  <si>
    <t>平整</t>
  </si>
  <si>
    <t>与级别开发程度不一致</t>
  </si>
  <si>
    <t>Ⅸ-平1</t>
  </si>
  <si>
    <t>较好</t>
  </si>
  <si>
    <t>一般</t>
  </si>
  <si>
    <t>好</t>
  </si>
  <si>
    <t>未包含在土地购买价格中</t>
  </si>
  <si>
    <t>全部缴纳</t>
  </si>
  <si>
    <t>已包含在土地取得成本中</t>
  </si>
  <si>
    <t>企业</t>
  </si>
  <si>
    <t>自定义容积率</t>
  </si>
  <si>
    <t>现房</t>
  </si>
  <si>
    <t>项目全部</t>
  </si>
  <si>
    <t>成本法</t>
  </si>
  <si>
    <t>钢</t>
  </si>
  <si>
    <t>生产用房</t>
  </si>
  <si>
    <t>否</t>
  </si>
  <si>
    <t>收益还原</t>
  </si>
  <si>
    <t>利息：取LPR加浮动点数</t>
  </si>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</sst>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sz val="10"/>
      <color theme="0"/>
      <name val="Arial"/>
      <family val="2"/>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9"/>
      <color rgb="FF000000"/>
      <name val="宋体"/>
      <family val="3"/>
      <charset val="134"/>
    </font>
    <font>
      <b/>
      <sz val="9"/>
      <color rgb="FF000000"/>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253"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4" fillId="21" borderId="125" xfId="9" applyNumberFormat="1" applyFont="1" applyFill="1" applyBorder="1" applyAlignment="1" applyProtection="1">
      <alignment horizontal="left" vertical="center" wrapText="1"/>
    </xf>
    <xf numFmtId="0" fontId="254" fillId="21" borderId="126" xfId="9" applyNumberFormat="1" applyFont="1" applyFill="1" applyBorder="1" applyAlignment="1" applyProtection="1">
      <alignment horizontal="left" vertical="center" wrapText="1"/>
    </xf>
    <xf numFmtId="0" fontId="254" fillId="21" borderId="126" xfId="16" applyNumberFormat="1" applyFont="1" applyFill="1" applyBorder="1" applyAlignment="1" applyProtection="1">
      <alignment horizontal="left" vertical="center" wrapText="1"/>
    </xf>
    <xf numFmtId="0" fontId="254" fillId="21" borderId="135" xfId="16" applyNumberFormat="1" applyFont="1" applyFill="1" applyBorder="1" applyAlignment="1" applyProtection="1">
      <alignment horizontal="left" vertical="center" wrapText="1"/>
    </xf>
    <xf numFmtId="0" fontId="254"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6" fillId="6" borderId="47" xfId="0" applyNumberFormat="1" applyFont="1" applyFill="1" applyBorder="1" applyAlignment="1" applyProtection="1">
      <alignment vertical="center"/>
    </xf>
    <xf numFmtId="0" fontId="256" fillId="6" borderId="43" xfId="0" applyNumberFormat="1" applyFont="1" applyFill="1" applyBorder="1" applyAlignment="1" applyProtection="1">
      <alignment horizontal="right" vertical="center"/>
    </xf>
    <xf numFmtId="0" fontId="256" fillId="6" borderId="9" xfId="0" applyNumberFormat="1" applyFont="1" applyFill="1" applyBorder="1" applyAlignment="1" applyProtection="1">
      <alignment horizontal="left" vertical="center" wrapText="1"/>
    </xf>
    <xf numFmtId="0" fontId="257" fillId="6" borderId="19" xfId="0" applyNumberFormat="1" applyFont="1" applyFill="1" applyBorder="1" applyAlignment="1" applyProtection="1">
      <alignment horizontal="left" vertical="center"/>
    </xf>
    <xf numFmtId="0" fontId="255" fillId="6" borderId="28" xfId="0" applyNumberFormat="1" applyFont="1" applyFill="1" applyBorder="1" applyAlignment="1" applyProtection="1">
      <alignment horizontal="left" vertical="center"/>
    </xf>
    <xf numFmtId="0" fontId="257" fillId="6" borderId="18" xfId="0" applyNumberFormat="1" applyFont="1" applyFill="1" applyBorder="1" applyAlignment="1" applyProtection="1">
      <alignment horizontal="left" vertical="center"/>
    </xf>
    <xf numFmtId="0" fontId="256" fillId="6" borderId="1" xfId="0" applyNumberFormat="1" applyFont="1" applyFill="1" applyBorder="1" applyAlignment="1" applyProtection="1">
      <alignment horizontal="left" vertical="center" wrapText="1"/>
    </xf>
    <xf numFmtId="0" fontId="256" fillId="6" borderId="2" xfId="0" applyNumberFormat="1" applyFont="1" applyFill="1" applyBorder="1" applyAlignment="1" applyProtection="1">
      <alignment horizontal="left" vertical="center" wrapText="1"/>
    </xf>
    <xf numFmtId="0" fontId="257" fillId="6" borderId="0" xfId="0" applyNumberFormat="1" applyFont="1" applyFill="1" applyAlignment="1" applyProtection="1">
      <alignment horizontal="left" vertical="center"/>
    </xf>
    <xf numFmtId="0" fontId="255" fillId="6" borderId="32" xfId="0" applyNumberFormat="1" applyFont="1" applyFill="1" applyBorder="1" applyAlignment="1" applyProtection="1">
      <alignment horizontal="left" vertical="center"/>
    </xf>
    <xf numFmtId="0" fontId="255" fillId="6" borderId="33" xfId="0" applyNumberFormat="1" applyFont="1" applyFill="1" applyBorder="1" applyAlignment="1" applyProtection="1">
      <alignment horizontal="left" vertical="center"/>
    </xf>
    <xf numFmtId="0" fontId="256" fillId="6" borderId="40" xfId="0" applyNumberFormat="1" applyFont="1" applyFill="1" applyBorder="1" applyAlignment="1" applyProtection="1">
      <alignment horizontal="left" vertical="center" wrapText="1"/>
    </xf>
    <xf numFmtId="0" fontId="256" fillId="6" borderId="74" xfId="0" applyNumberFormat="1" applyFont="1" applyFill="1" applyBorder="1" applyAlignment="1" applyProtection="1">
      <alignment horizontal="left" vertical="center" wrapText="1"/>
    </xf>
    <xf numFmtId="0" fontId="256" fillId="6" borderId="32" xfId="0" applyNumberFormat="1" applyFont="1" applyFill="1" applyBorder="1" applyAlignment="1" applyProtection="1">
      <alignment horizontal="left" vertical="center" wrapText="1"/>
    </xf>
    <xf numFmtId="0" fontId="256" fillId="6" borderId="14" xfId="0" applyNumberFormat="1" applyFont="1" applyFill="1" applyBorder="1" applyAlignment="1" applyProtection="1">
      <alignment horizontal="left" vertical="center" wrapText="1"/>
    </xf>
    <xf numFmtId="0" fontId="256" fillId="6" borderId="1" xfId="18" applyNumberFormat="1" applyFont="1" applyFill="1" applyBorder="1" applyAlignment="1" applyProtection="1">
      <alignment horizontal="left" vertical="center" wrapText="1"/>
    </xf>
    <xf numFmtId="0" fontId="256" fillId="6" borderId="15" xfId="0" applyNumberFormat="1" applyFont="1" applyFill="1" applyBorder="1" applyAlignment="1" applyProtection="1">
      <alignment horizontal="left" vertical="center" wrapText="1"/>
    </xf>
    <xf numFmtId="0" fontId="256" fillId="6" borderId="13" xfId="0" applyNumberFormat="1" applyFont="1" applyFill="1" applyBorder="1" applyAlignment="1" applyProtection="1">
      <alignment horizontal="left" vertical="center" wrapText="1"/>
    </xf>
    <xf numFmtId="0" fontId="256" fillId="6" borderId="10" xfId="0" applyNumberFormat="1" applyFont="1" applyFill="1" applyBorder="1" applyAlignment="1" applyProtection="1">
      <alignment horizontal="left" vertical="center" wrapText="1"/>
    </xf>
    <xf numFmtId="0" fontId="256" fillId="6" borderId="24" xfId="0" applyNumberFormat="1" applyFont="1" applyFill="1" applyBorder="1" applyAlignment="1" applyProtection="1">
      <alignment horizontal="left" vertical="center" wrapText="1"/>
    </xf>
    <xf numFmtId="0" fontId="256" fillId="6" borderId="12" xfId="0" applyNumberFormat="1" applyFont="1" applyFill="1" applyBorder="1" applyAlignment="1" applyProtection="1">
      <alignment horizontal="left" vertical="center" wrapText="1"/>
    </xf>
    <xf numFmtId="0" fontId="256" fillId="6" borderId="49" xfId="0" applyNumberFormat="1" applyFont="1" applyFill="1" applyBorder="1" applyAlignment="1" applyProtection="1">
      <alignment horizontal="left" vertical="center" wrapText="1"/>
    </xf>
    <xf numFmtId="0" fontId="256" fillId="6" borderId="61" xfId="0" applyNumberFormat="1" applyFont="1" applyFill="1" applyBorder="1" applyAlignment="1" applyProtection="1">
      <alignment horizontal="left" vertical="center" wrapText="1"/>
    </xf>
    <xf numFmtId="0" fontId="256" fillId="6" borderId="6" xfId="0" applyNumberFormat="1" applyFont="1" applyFill="1" applyBorder="1" applyAlignment="1" applyProtection="1">
      <alignment horizontal="left" vertical="center" wrapText="1"/>
    </xf>
    <xf numFmtId="0" fontId="256" fillId="6" borderId="23" xfId="0" applyNumberFormat="1" applyFont="1" applyFill="1" applyBorder="1" applyAlignment="1" applyProtection="1">
      <alignment horizontal="left" vertical="center" wrapText="1"/>
    </xf>
    <xf numFmtId="0" fontId="256"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9" fillId="6" borderId="9" xfId="0" applyFont="1" applyFill="1" applyBorder="1" applyAlignment="1" applyProtection="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9" fillId="6" borderId="1" xfId="0" applyFont="1" applyFill="1" applyBorder="1" applyAlignment="1" applyProtection="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9" fillId="6" borderId="13" xfId="0" applyFont="1" applyFill="1" applyBorder="1" applyAlignment="1" applyProtection="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pplyProtection="1">
      <alignment horizontal="left" vertical="center" wrapText="1"/>
    </xf>
    <xf numFmtId="0" fontId="259"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9" fillId="6" borderId="1" xfId="18" applyFont="1" applyFill="1" applyBorder="1" applyAlignment="1" applyProtection="1">
      <alignment horizontal="left" vertical="center" wrapText="1"/>
    </xf>
    <xf numFmtId="0" fontId="259" fillId="6" borderId="25" xfId="0" applyFont="1" applyFill="1" applyBorder="1" applyAlignment="1" applyProtection="1">
      <alignment horizontal="left" vertical="center" wrapText="1"/>
    </xf>
    <xf numFmtId="0" fontId="259" fillId="6" borderId="32" xfId="0" applyFont="1" applyFill="1" applyBorder="1" applyAlignment="1" applyProtection="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4"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5" fillId="0" borderId="1" xfId="0" applyNumberFormat="1" applyFont="1" applyFill="1" applyBorder="1" applyAlignment="1">
      <alignment horizontal="left" vertical="center"/>
    </xf>
    <xf numFmtId="0" fontId="265" fillId="0" borderId="1" xfId="0" applyNumberFormat="1" applyFont="1" applyFill="1" applyBorder="1" applyAlignment="1">
      <alignment horizontal="left" vertical="center" wrapText="1"/>
    </xf>
    <xf numFmtId="0" fontId="266" fillId="0" borderId="1" xfId="0" applyNumberFormat="1" applyFont="1" applyFill="1" applyBorder="1" applyAlignment="1">
      <alignment horizontal="left" vertical="center"/>
    </xf>
    <xf numFmtId="0" fontId="267"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3" fillId="5" borderId="65" xfId="0" applyFont="1" applyFill="1" applyBorder="1" applyAlignment="1" applyProtection="1">
      <alignment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0" fontId="159" fillId="12" borderId="1" xfId="12" applyFill="1" applyBorder="1" applyAlignment="1" applyProtection="1">
      <alignment horizontal="left"/>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77" fillId="0" borderId="1" xfId="0" applyFont="1" applyBorder="1" applyAlignment="1" applyProtection="1">
      <alignment horizontal="center" vertical="center" wrapText="1"/>
      <protection locked="0"/>
    </xf>
    <xf numFmtId="179" fontId="44" fillId="18" borderId="23" xfId="0" applyNumberFormat="1" applyFont="1" applyFill="1" applyBorder="1" applyAlignment="1" applyProtection="1">
      <alignment horizontal="center" vertical="center"/>
      <protection locked="0"/>
    </xf>
    <xf numFmtId="181" fontId="44" fillId="18" borderId="1" xfId="0" applyNumberFormat="1" applyFont="1" applyFill="1" applyBorder="1" applyAlignment="1" applyProtection="1">
      <alignment vertical="center"/>
      <protection locked="0"/>
    </xf>
    <xf numFmtId="10" fontId="44" fillId="18" borderId="1" xfId="0" applyNumberFormat="1" applyFont="1" applyFill="1" applyBorder="1" applyAlignment="1" applyProtection="1">
      <alignment horizontal="center" vertical="center"/>
      <protection locked="0"/>
    </xf>
    <xf numFmtId="182" fontId="44" fillId="18" borderId="1" xfId="0" applyNumberFormat="1" applyFont="1" applyFill="1" applyBorder="1" applyAlignment="1" applyProtection="1">
      <alignment horizontal="center" vertical="center"/>
      <protection locked="0"/>
    </xf>
    <xf numFmtId="9" fontId="47" fillId="18" borderId="5" xfId="0" applyNumberFormat="1" applyFont="1" applyFill="1" applyBorder="1" applyAlignment="1" applyProtection="1">
      <alignment horizontal="center" vertical="center"/>
      <protection locked="0"/>
    </xf>
    <xf numFmtId="0" fontId="99" fillId="18" borderId="1" xfId="0" applyFont="1" applyFill="1" applyBorder="1" applyAlignment="1" applyProtection="1">
      <alignment horizontal="center" vertical="center" wrapText="1"/>
      <protection locked="0"/>
    </xf>
    <xf numFmtId="0" fontId="53" fillId="16" borderId="1" xfId="0" applyFont="1" applyFill="1" applyBorder="1" applyAlignment="1" applyProtection="1">
      <alignmen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5" fillId="6" borderId="6"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255" fillId="6" borderId="0" xfId="0" applyNumberFormat="1" applyFont="1" applyFill="1" applyAlignment="1" applyProtection="1">
      <alignment horizontal="center" vertical="center"/>
    </xf>
    <xf numFmtId="0" fontId="255"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4" fillId="0" borderId="0" xfId="0" applyNumberFormat="1" applyFont="1" applyFill="1" applyAlignment="1">
      <alignment horizontal="center" vertical="center"/>
    </xf>
    <xf numFmtId="0" fontId="264"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9979;&#36733;&#38598;&#21512;\&#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估价对象为北京市房地产，为所有。根据《国有土地使用证》[]，估价对象（分摊）出让国有建设用地使用权面积为74231.63平方米，建筑面积为25739.82平方米。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估价对象为北京市房地产,为开发建设的，该项目尚在开发建设中。根据《国有土地使用证》[]，估价对象（分摊）出让国有建设用地使用权面积为74231.63平方米，规划建筑面积为25739.82平方米。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2022年12月21日（评估专业人员实地查勘之日）</v>
      </c>
    </row>
    <row r="13" spans="1:2" s="1203" customFormat="1">
      <c r="A13" s="1201" t="s">
        <v>529</v>
      </c>
      <c r="B13" s="1202" t="str">
        <f>'预评函-1'!A18</f>
        <v>本次估价的“房地产价值”是指在正常市场情况下，在价值时点2022年12月21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11855</v>
      </c>
    </row>
    <row r="21" spans="1:2" s="1203" customFormat="1">
      <c r="A21" s="1201" t="s">
        <v>537</v>
      </c>
      <c r="B21" s="1202">
        <f ca="1">'预评函-2'!D7</f>
        <v>4606</v>
      </c>
    </row>
    <row r="22" spans="1:2" s="1203" customFormat="1">
      <c r="A22" s="1201" t="s">
        <v>538</v>
      </c>
      <c r="B22" s="1202" t="str">
        <f ca="1">'预评函-2'!D6</f>
        <v>壹亿壹仟捌佰伍拾伍万元整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11855</v>
      </c>
    </row>
    <row r="31" spans="1:2" s="1203" customFormat="1">
      <c r="A31" s="1201" t="s">
        <v>576</v>
      </c>
      <c r="B31" s="1202">
        <f ca="1">'预评函-2'!D15</f>
        <v>4606</v>
      </c>
    </row>
    <row r="32" spans="1:2" s="1203" customFormat="1">
      <c r="A32" s="1201" t="s">
        <v>543</v>
      </c>
      <c r="B32" s="1202" t="str">
        <f ca="1">'预评函-2'!D14</f>
        <v>壹亿壹仟捌佰伍拾伍万元整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25739.82</v>
      </c>
    </row>
    <row r="44" spans="1:2" s="1203" customFormat="1">
      <c r="A44" s="1201" t="s">
        <v>575</v>
      </c>
      <c r="B44" s="1202" t="str">
        <f>'预评函-3'!C2</f>
        <v>(分摊)土地面积</v>
      </c>
    </row>
    <row r="45" spans="1:2" s="1203" customFormat="1">
      <c r="A45" s="1201" t="s">
        <v>547</v>
      </c>
      <c r="B45" s="1202">
        <f>'预评函-3'!C4</f>
        <v>74231.63</v>
      </c>
    </row>
    <row r="46" spans="1:2" s="1203" customFormat="1">
      <c r="A46" s="1201" t="s">
        <v>573</v>
      </c>
      <c r="B46" s="1202" t="str">
        <f>'预评函-3'!D2</f>
        <v>出让国有建设用地使用权价值</v>
      </c>
    </row>
    <row r="47" spans="1:2" s="1203" customFormat="1">
      <c r="A47" s="1201" t="s">
        <v>548</v>
      </c>
      <c r="B47" s="1202">
        <f ca="1">'预评函-3'!D4</f>
        <v>6674</v>
      </c>
    </row>
    <row r="48" spans="1:2" s="1203" customFormat="1">
      <c r="A48" s="1201" t="s">
        <v>549</v>
      </c>
      <c r="B48" s="1202">
        <f ca="1">'预评函-3'!E4</f>
        <v>2593</v>
      </c>
    </row>
    <row r="49" spans="1:2" s="1203" customFormat="1">
      <c r="A49" s="1201" t="s">
        <v>550</v>
      </c>
      <c r="B49" s="1202" t="str">
        <f ca="1">'预评函-3'!D5</f>
        <v>陆仟陆佰柒拾肆万元整</v>
      </c>
    </row>
    <row r="50" spans="1:2" s="1203" customFormat="1">
      <c r="A50" s="1201" t="s">
        <v>574</v>
      </c>
      <c r="B50" s="1202" t="str">
        <f>'预评函-3'!F2</f>
        <v>在建建筑物价值</v>
      </c>
    </row>
    <row r="51" spans="1:2" s="1203" customFormat="1">
      <c r="A51" s="1201" t="s">
        <v>551</v>
      </c>
      <c r="B51" s="1202">
        <f ca="1">'预评函-3'!F4</f>
        <v>5181</v>
      </c>
    </row>
    <row r="52" spans="1:2" s="1203" customFormat="1">
      <c r="A52" s="1201" t="s">
        <v>552</v>
      </c>
      <c r="B52" s="1202">
        <f ca="1">'预评函-3'!G4</f>
        <v>2013</v>
      </c>
    </row>
    <row r="53" spans="1:2" s="1203" customFormat="1">
      <c r="A53" s="1201" t="s">
        <v>580</v>
      </c>
      <c r="B53" s="1202" t="str">
        <f ca="1">'预评函-3'!F5</f>
        <v>伍仟壹佰捌拾壹万元整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125" style="1507" customWidth="1"/>
    <col min="3" max="3" width="13" style="1551" customWidth="1"/>
    <col min="4" max="4" width="5.62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2571</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2572</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2284</v>
      </c>
      <c r="C17" s="1547"/>
    </row>
    <row r="18" spans="1:3">
      <c r="A18" s="1546" t="s">
        <v>1046</v>
      </c>
      <c r="B18" s="1546" t="s">
        <v>2427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7"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7"/>
      <c r="B54" s="1554" t="s">
        <v>385</v>
      </c>
      <c r="C54" s="1551" t="s">
        <v>583</v>
      </c>
    </row>
    <row r="55" spans="1:4">
      <c r="A55" s="3497"/>
      <c r="B55" s="1554" t="s">
        <v>386</v>
      </c>
      <c r="C55" s="1551" t="s">
        <v>584</v>
      </c>
    </row>
    <row r="56" spans="1:4">
      <c r="A56" s="3497"/>
      <c r="B56" s="1554" t="s">
        <v>387</v>
      </c>
      <c r="C56" s="1551" t="s">
        <v>588</v>
      </c>
    </row>
    <row r="57" spans="1:4">
      <c r="A57" s="3497"/>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C2" sqref="C2"/>
    </sheetView>
  </sheetViews>
  <sheetFormatPr defaultColWidth="15.125" defaultRowHeight="13.5"/>
  <cols>
    <col min="1" max="7" width="15.125" style="3016"/>
    <col min="8" max="8" width="5.5" style="3016" customWidth="1"/>
    <col min="9" max="13" width="9.5" style="3058" customWidth="1"/>
    <col min="14" max="18" width="9.5" style="3016" customWidth="1"/>
    <col min="19" max="16384" width="15.125" style="3016"/>
  </cols>
  <sheetData>
    <row r="1" spans="1:18">
      <c r="A1" s="3013" t="s">
        <v>2494</v>
      </c>
      <c r="B1" s="3014"/>
      <c r="C1" s="3014"/>
      <c r="D1" s="3014"/>
      <c r="E1" s="3014"/>
      <c r="F1" s="3015"/>
      <c r="I1" s="3440" t="s">
        <v>2587</v>
      </c>
      <c r="J1" s="3227"/>
      <c r="K1" s="3227"/>
      <c r="L1" s="3227"/>
      <c r="M1" s="3227"/>
      <c r="N1" s="3441"/>
      <c r="O1" s="3441"/>
      <c r="P1" s="3441"/>
      <c r="Q1" s="3441"/>
      <c r="R1" s="3441"/>
    </row>
    <row r="2" spans="1:18">
      <c r="A2" s="3017"/>
      <c r="B2" s="3018"/>
      <c r="C2" s="3018"/>
      <c r="D2" s="3018"/>
      <c r="E2" s="3018"/>
      <c r="F2" s="3019"/>
      <c r="I2" s="3498" t="s">
        <v>2574</v>
      </c>
      <c r="J2" s="3498"/>
      <c r="K2" s="3498"/>
      <c r="L2" s="3498"/>
      <c r="M2" s="3498"/>
      <c r="N2" s="3498"/>
      <c r="O2" s="3498"/>
      <c r="P2" s="3498"/>
      <c r="Q2" s="3498"/>
      <c r="R2" s="3498"/>
    </row>
    <row r="3" spans="1:18">
      <c r="A3" s="3020" t="s">
        <v>2495</v>
      </c>
      <c r="B3" s="3021">
        <f>项目基本情况!D3</f>
        <v>44916</v>
      </c>
      <c r="C3" s="3023"/>
      <c r="D3" s="3023"/>
      <c r="E3" s="3023"/>
      <c r="F3" s="3019"/>
      <c r="I3" s="3442"/>
      <c r="J3" s="3442" t="s">
        <v>2578</v>
      </c>
      <c r="K3" s="3442" t="s">
        <v>2579</v>
      </c>
      <c r="L3" s="3442" t="s">
        <v>2580</v>
      </c>
      <c r="M3" s="3442" t="s">
        <v>2581</v>
      </c>
      <c r="N3" s="3443" t="s">
        <v>2582</v>
      </c>
      <c r="O3" s="3443" t="s">
        <v>2583</v>
      </c>
      <c r="P3" s="3443" t="s">
        <v>2584</v>
      </c>
      <c r="Q3" s="3443" t="s">
        <v>2585</v>
      </c>
      <c r="R3" s="3443" t="s">
        <v>2586</v>
      </c>
    </row>
    <row r="4" spans="1:18">
      <c r="A4" s="3020" t="s">
        <v>2496</v>
      </c>
      <c r="B4" s="3023" t="s">
        <v>2497</v>
      </c>
      <c r="C4" s="3023" t="s">
        <v>2498</v>
      </c>
      <c r="D4" s="3023" t="s">
        <v>2499</v>
      </c>
      <c r="E4" s="3023" t="s">
        <v>2500</v>
      </c>
      <c r="F4" s="3019"/>
      <c r="I4" s="3442" t="s">
        <v>2575</v>
      </c>
      <c r="J4" s="3442">
        <v>80</v>
      </c>
      <c r="K4" s="3442">
        <v>70</v>
      </c>
      <c r="L4" s="3442">
        <v>20</v>
      </c>
      <c r="M4" s="3442">
        <v>30</v>
      </c>
      <c r="N4" s="3023">
        <v>45</v>
      </c>
      <c r="O4" s="3023">
        <v>60</v>
      </c>
      <c r="P4" s="3023">
        <v>50</v>
      </c>
      <c r="Q4" s="3023">
        <v>20</v>
      </c>
      <c r="R4" s="3023">
        <v>375</v>
      </c>
    </row>
    <row r="5" spans="1:18">
      <c r="A5" s="3024">
        <v>40</v>
      </c>
      <c r="B5" s="3021">
        <v>46375</v>
      </c>
      <c r="C5" s="3023">
        <f>ROUNDDOWN(MIN((B5-B3)/365,A5),2)</f>
        <v>3.99</v>
      </c>
      <c r="D5" s="3025">
        <f>IF(ISERROR(ROUND(POWER(1+E5,A5-C5)*(POWER(1+E5,C5)-1)/(POWER(1+E5,A5)-1),3)),0,ROUND(POWER(1+E5,A5-C5)*(POWER(1+E5,C5)-1)/(POWER(1+E5,A5)-1),4))</f>
        <v>0.183</v>
      </c>
      <c r="E5" s="3026">
        <v>0.04</v>
      </c>
      <c r="F5" s="3019"/>
      <c r="I5" s="3442" t="s">
        <v>2576</v>
      </c>
      <c r="J5" s="3442">
        <v>70</v>
      </c>
      <c r="K5" s="3442">
        <v>60</v>
      </c>
      <c r="L5" s="3442">
        <v>15</v>
      </c>
      <c r="M5" s="3442">
        <v>25</v>
      </c>
      <c r="N5" s="3023">
        <v>40</v>
      </c>
      <c r="O5" s="3023">
        <v>50</v>
      </c>
      <c r="P5" s="3023">
        <v>40</v>
      </c>
      <c r="Q5" s="3023">
        <v>15</v>
      </c>
      <c r="R5" s="3023">
        <v>315</v>
      </c>
    </row>
    <row r="6" spans="1:18">
      <c r="A6" s="3024">
        <v>50</v>
      </c>
      <c r="B6" s="3021">
        <v>50028</v>
      </c>
      <c r="C6" s="3023">
        <f>ROUNDDOWN(MIN((B6-B3)/365,A6),2)</f>
        <v>14</v>
      </c>
      <c r="D6" s="3025">
        <f>IF(ISERROR(ROUND(POWER(1+E6,A6-C6)*(POWER(1+E6,C6)-1)/(POWER(1+E6,A6)-1),3)),0,ROUND(POWER(1+E6,A6-C6)*(POWER(1+E6,C6)-1)/(POWER(1+E6,A6)-1),4))</f>
        <v>0.49170000000000003</v>
      </c>
      <c r="E6" s="3026">
        <v>0.04</v>
      </c>
      <c r="F6" s="3019"/>
      <c r="I6" s="3442" t="s">
        <v>2577</v>
      </c>
      <c r="J6" s="3442">
        <v>60</v>
      </c>
      <c r="K6" s="3442">
        <v>50</v>
      </c>
      <c r="L6" s="3442">
        <v>10</v>
      </c>
      <c r="M6" s="3442">
        <v>20</v>
      </c>
      <c r="N6" s="3023">
        <v>35</v>
      </c>
      <c r="O6" s="3023">
        <v>40</v>
      </c>
      <c r="P6" s="3023">
        <v>30</v>
      </c>
      <c r="Q6" s="3023">
        <v>10</v>
      </c>
      <c r="R6" s="3023">
        <v>255</v>
      </c>
    </row>
    <row r="7" spans="1:18">
      <c r="A7" s="3024">
        <v>70</v>
      </c>
      <c r="B7" s="3021">
        <v>57333</v>
      </c>
      <c r="C7" s="3023">
        <f>ROUNDDOWN(MIN((B7-B3)/365,A7),2)</f>
        <v>34.01</v>
      </c>
      <c r="D7" s="3025">
        <f>IF(ISERROR(ROUND(POWER(1+E7,A7-C7)*(POWER(1+E7,C7)-1)/(POWER(1+E7,A7)-1),3)),0,ROUND(POWER(1+E7,A7-C7)*(POWER(1+E7,C7)-1)/(POWER(1+E7,A7)-1),4))</f>
        <v>0.78710000000000002</v>
      </c>
      <c r="E7" s="3026">
        <v>0.04</v>
      </c>
      <c r="F7" s="3019"/>
    </row>
    <row r="8" spans="1:18">
      <c r="A8" s="3017"/>
      <c r="B8" s="3018"/>
      <c r="C8" s="3018"/>
      <c r="D8" s="3018"/>
      <c r="E8" s="3018"/>
      <c r="F8" s="3019"/>
    </row>
    <row r="9" spans="1:18">
      <c r="A9" s="3020" t="s">
        <v>2501</v>
      </c>
      <c r="B9" s="3023"/>
      <c r="C9" s="3023"/>
      <c r="D9" s="3023"/>
      <c r="E9" s="3023"/>
      <c r="F9" s="3027"/>
    </row>
    <row r="10" spans="1:18">
      <c r="A10" s="3020" t="s">
        <v>2502</v>
      </c>
      <c r="B10" s="3023"/>
      <c r="C10" s="3023"/>
      <c r="D10" s="3023" t="s">
        <v>2500</v>
      </c>
      <c r="E10" s="3023"/>
      <c r="F10" s="3027" t="s">
        <v>2499</v>
      </c>
    </row>
    <row r="11" spans="1:18">
      <c r="A11" s="3020" t="s">
        <v>2503</v>
      </c>
      <c r="B11" s="3028">
        <v>70</v>
      </c>
      <c r="C11" s="3023" t="s">
        <v>2504</v>
      </c>
      <c r="D11" s="3029">
        <v>4.4999999999999998E-2</v>
      </c>
      <c r="E11" s="3023" t="s">
        <v>2505</v>
      </c>
      <c r="F11" s="3030">
        <f>ROUND(1-(1/(POWER(1+D11,B11))),4)</f>
        <v>0.95409999999999995</v>
      </c>
    </row>
    <row r="12" spans="1:18">
      <c r="A12" s="3020" t="s">
        <v>2506</v>
      </c>
      <c r="B12" s="3028">
        <v>40</v>
      </c>
      <c r="C12" s="3023" t="s">
        <v>2507</v>
      </c>
      <c r="D12" s="3029">
        <v>4.4999999999999998E-2</v>
      </c>
      <c r="E12" s="3023" t="s">
        <v>2508</v>
      </c>
      <c r="F12" s="3030">
        <f>ROUND(1-(1/(POWER(1+D12,B12))),4)</f>
        <v>0.82809999999999995</v>
      </c>
    </row>
    <row r="13" spans="1:18">
      <c r="A13" s="3020" t="s">
        <v>2509</v>
      </c>
      <c r="B13" s="3023"/>
      <c r="C13" s="3023"/>
      <c r="D13" s="3018"/>
      <c r="E13" s="3018"/>
      <c r="F13" s="3019"/>
    </row>
    <row r="14" spans="1:18">
      <c r="A14" s="3020" t="s">
        <v>2510</v>
      </c>
      <c r="B14" s="3028">
        <v>5000</v>
      </c>
      <c r="C14" s="3022"/>
      <c r="D14" s="3018"/>
      <c r="E14" s="3018"/>
      <c r="F14" s="3019"/>
    </row>
    <row r="15" spans="1:18">
      <c r="A15" s="3020" t="s">
        <v>2511</v>
      </c>
      <c r="B15" s="3023">
        <f>ROUND(B14*F12/F11,2)</f>
        <v>4339.6899999999996</v>
      </c>
      <c r="C15" s="3023">
        <f>ROUND(F12/F11,4)</f>
        <v>0.8679</v>
      </c>
      <c r="D15" s="3018"/>
      <c r="E15" s="3018"/>
      <c r="F15" s="3019"/>
    </row>
    <row r="16" spans="1:18">
      <c r="A16" s="3020" t="s">
        <v>2512</v>
      </c>
      <c r="B16" s="3023"/>
      <c r="C16" s="3023"/>
      <c r="D16" s="3018"/>
      <c r="E16" s="3018"/>
      <c r="F16" s="3019"/>
    </row>
    <row r="17" spans="1:13">
      <c r="A17" s="3020" t="s">
        <v>2511</v>
      </c>
      <c r="B17" s="3029">
        <v>4810</v>
      </c>
      <c r="C17" s="3022"/>
      <c r="D17" s="3018"/>
      <c r="E17" s="3018"/>
      <c r="F17" s="3019"/>
    </row>
    <row r="18" spans="1:13" ht="14.25" thickBot="1">
      <c r="A18" s="3031" t="s">
        <v>2510</v>
      </c>
      <c r="B18" s="3032">
        <f>ROUND(B17*F11/F12,2)</f>
        <v>5541.87</v>
      </c>
      <c r="C18" s="3032">
        <f>ROUND(F11/F12,4)</f>
        <v>1.1521999999999999</v>
      </c>
      <c r="D18" s="3033"/>
      <c r="E18" s="3033"/>
      <c r="F18" s="3034"/>
    </row>
    <row r="19" spans="1:13" ht="14.25" thickBot="1"/>
    <row r="20" spans="1:13" s="3069" customFormat="1" ht="14.25" thickTop="1">
      <c r="A20" s="3066" t="s">
        <v>2513</v>
      </c>
      <c r="B20" s="3067"/>
      <c r="C20" s="3067"/>
      <c r="D20" s="3067"/>
      <c r="E20" s="3067"/>
      <c r="F20" s="3067"/>
      <c r="G20" s="3068"/>
      <c r="I20" s="3070" t="s">
        <v>2558</v>
      </c>
      <c r="J20" s="3070" t="s">
        <v>2563</v>
      </c>
      <c r="K20" s="3070"/>
      <c r="L20" s="3070"/>
      <c r="M20" s="3070"/>
    </row>
    <row r="21" spans="1:13">
      <c r="A21" s="3035"/>
      <c r="B21" s="3036" t="s">
        <v>2514</v>
      </c>
      <c r="C21" s="3036" t="s">
        <v>2515</v>
      </c>
      <c r="D21" s="3036" t="s">
        <v>2516</v>
      </c>
      <c r="E21" s="3036" t="s">
        <v>2517</v>
      </c>
      <c r="F21" s="3036" t="s">
        <v>2518</v>
      </c>
      <c r="G21" s="3037" t="s">
        <v>2519</v>
      </c>
      <c r="I21" s="3058">
        <v>5</v>
      </c>
      <c r="J21" s="3058">
        <v>54.2</v>
      </c>
    </row>
    <row r="22" spans="1:13">
      <c r="A22" s="3035" t="s">
        <v>2520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2521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2561</v>
      </c>
      <c r="M23" s="3058" t="s">
        <v>2562</v>
      </c>
    </row>
    <row r="24" spans="1:13">
      <c r="A24" s="3035" t="s">
        <v>2522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2560</v>
      </c>
      <c r="M24" s="3058">
        <v>10</v>
      </c>
    </row>
    <row r="25" spans="1:13">
      <c r="A25" s="3035" t="s">
        <v>2523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2564</v>
      </c>
      <c r="M25" s="3058">
        <v>8</v>
      </c>
    </row>
    <row r="26" spans="1:13">
      <c r="A26" s="3040"/>
      <c r="B26" s="3041"/>
      <c r="C26" s="3041"/>
      <c r="D26" s="3041"/>
      <c r="E26" s="3041"/>
      <c r="F26" s="3041"/>
      <c r="G26" s="3042"/>
      <c r="I26" s="3058">
        <v>30</v>
      </c>
      <c r="J26" s="3058">
        <v>90.5</v>
      </c>
      <c r="K26" s="3058">
        <f t="shared" si="2"/>
        <v>4.2000000000000028</v>
      </c>
      <c r="L26" s="3058" t="s">
        <v>2565</v>
      </c>
      <c r="M26" s="3058">
        <v>5</v>
      </c>
    </row>
    <row r="27" spans="1:13">
      <c r="A27" s="3040" t="s">
        <v>2524</v>
      </c>
      <c r="B27" s="3041"/>
      <c r="C27" s="3041"/>
      <c r="D27" s="3041"/>
      <c r="E27" s="3041"/>
      <c r="F27" s="3041"/>
      <c r="G27" s="3042"/>
      <c r="I27" s="3058">
        <v>35</v>
      </c>
      <c r="J27" s="3058">
        <v>93.8</v>
      </c>
      <c r="K27" s="3058">
        <f t="shared" si="2"/>
        <v>3.2999999999999972</v>
      </c>
      <c r="L27" s="3058" t="s">
        <v>2566</v>
      </c>
      <c r="M27" s="3058">
        <v>3</v>
      </c>
    </row>
    <row r="28" spans="1:13">
      <c r="A28" s="3040" t="s">
        <v>2525</v>
      </c>
      <c r="B28" s="3041"/>
      <c r="C28" s="3041"/>
      <c r="D28" s="3041"/>
      <c r="E28" s="3041"/>
      <c r="F28" s="3041"/>
      <c r="G28" s="3042"/>
      <c r="I28" s="3058">
        <v>40</v>
      </c>
      <c r="J28" s="3058">
        <v>96.4</v>
      </c>
      <c r="K28" s="3058">
        <f t="shared" si="2"/>
        <v>2.6000000000000085</v>
      </c>
      <c r="L28" s="3058" t="s">
        <v>2567</v>
      </c>
      <c r="M28" s="3058">
        <v>2</v>
      </c>
    </row>
    <row r="29" spans="1:13">
      <c r="A29" s="3040" t="s">
        <v>2526</v>
      </c>
      <c r="B29" s="3041"/>
      <c r="C29" s="3041"/>
      <c r="D29" s="3041"/>
      <c r="E29" s="3041"/>
      <c r="F29" s="3041"/>
      <c r="G29" s="3042"/>
      <c r="I29" s="3058">
        <v>45</v>
      </c>
      <c r="J29" s="3058">
        <v>98.4</v>
      </c>
      <c r="K29" s="3058">
        <f t="shared" si="2"/>
        <v>2</v>
      </c>
    </row>
    <row r="30" spans="1:13">
      <c r="A30" s="3040" t="s">
        <v>2527</v>
      </c>
      <c r="B30" s="3041"/>
      <c r="C30" s="3041"/>
      <c r="D30" s="3041"/>
      <c r="E30" s="3041"/>
      <c r="F30" s="3041"/>
      <c r="G30" s="3042"/>
      <c r="I30" s="3058">
        <v>50</v>
      </c>
      <c r="J30" s="3058">
        <v>100</v>
      </c>
      <c r="K30" s="3058">
        <f t="shared" si="2"/>
        <v>1.5999999999999943</v>
      </c>
    </row>
    <row r="31" spans="1:13">
      <c r="A31" s="3040" t="s">
        <v>2528</v>
      </c>
      <c r="B31" s="3041"/>
      <c r="C31" s="3041"/>
      <c r="D31" s="3041"/>
      <c r="E31" s="3041"/>
      <c r="F31" s="3041"/>
      <c r="G31" s="3042"/>
      <c r="I31" s="3058" t="s">
        <v>2559</v>
      </c>
    </row>
    <row r="32" spans="1:13">
      <c r="A32" s="3040" t="s">
        <v>2529</v>
      </c>
      <c r="B32" s="3041"/>
      <c r="C32" s="3041"/>
      <c r="D32" s="3041"/>
      <c r="E32" s="3041"/>
      <c r="F32" s="3041"/>
      <c r="G32" s="3042"/>
    </row>
    <row r="33" spans="1:13">
      <c r="A33" s="3040" t="s">
        <v>2530</v>
      </c>
      <c r="B33" s="3041"/>
      <c r="C33" s="3041"/>
      <c r="D33" s="3041"/>
      <c r="E33" s="3041"/>
      <c r="F33" s="3041"/>
      <c r="G33" s="3042"/>
      <c r="I33" s="3058" t="s">
        <v>2558</v>
      </c>
      <c r="J33" s="3058" t="s">
        <v>2568</v>
      </c>
    </row>
    <row r="34" spans="1:13">
      <c r="A34" s="3040" t="s">
        <v>2531</v>
      </c>
      <c r="B34" s="3041"/>
      <c r="C34" s="3041"/>
      <c r="D34" s="3041"/>
      <c r="E34" s="3041"/>
      <c r="F34" s="3041"/>
      <c r="G34" s="3042"/>
      <c r="I34" s="3058">
        <v>5</v>
      </c>
      <c r="J34" s="3058">
        <v>55.1</v>
      </c>
    </row>
    <row r="35" spans="1:13">
      <c r="A35" s="3040" t="s">
        <v>2532</v>
      </c>
      <c r="B35" s="3041"/>
      <c r="C35" s="3041"/>
      <c r="D35" s="3041"/>
      <c r="E35" s="3041"/>
      <c r="F35" s="3041"/>
      <c r="G35" s="3042"/>
      <c r="I35" s="3058">
        <v>10</v>
      </c>
      <c r="J35" s="3058">
        <v>67</v>
      </c>
      <c r="K35" s="3058">
        <f>J35-J34</f>
        <v>11.899999999999999</v>
      </c>
    </row>
    <row r="36" spans="1:13">
      <c r="A36" s="3040" t="s">
        <v>2533</v>
      </c>
      <c r="B36" s="3041"/>
      <c r="C36" s="3041"/>
      <c r="D36" s="3041"/>
      <c r="E36" s="3041"/>
      <c r="F36" s="3041"/>
      <c r="G36" s="3042"/>
      <c r="I36" s="3058">
        <v>15</v>
      </c>
      <c r="J36" s="3058">
        <v>76.3</v>
      </c>
      <c r="K36" s="3058">
        <f t="shared" ref="K36:K41" si="3">J36-J35</f>
        <v>9.2999999999999972</v>
      </c>
      <c r="L36" s="3058" t="s">
        <v>2561</v>
      </c>
      <c r="M36" s="3058" t="s">
        <v>2562</v>
      </c>
    </row>
    <row r="37" spans="1:13">
      <c r="A37" s="3040" t="s">
        <v>2534</v>
      </c>
      <c r="B37" s="3041"/>
      <c r="C37" s="3041"/>
      <c r="D37" s="3041"/>
      <c r="E37" s="3041"/>
      <c r="F37" s="3041"/>
      <c r="G37" s="3042"/>
      <c r="I37" s="3058">
        <v>20</v>
      </c>
      <c r="J37" s="3058">
        <v>83.6</v>
      </c>
      <c r="K37" s="3058">
        <f t="shared" si="3"/>
        <v>7.2999999999999972</v>
      </c>
      <c r="L37" s="3058" t="s">
        <v>2560</v>
      </c>
      <c r="M37" s="3058">
        <v>10</v>
      </c>
    </row>
    <row r="38" spans="1:13">
      <c r="A38" s="3040" t="s">
        <v>2535</v>
      </c>
      <c r="B38" s="3041"/>
      <c r="C38" s="3041"/>
      <c r="D38" s="3041"/>
      <c r="E38" s="3041"/>
      <c r="F38" s="3041"/>
      <c r="G38" s="3042"/>
      <c r="I38" s="3058">
        <v>25</v>
      </c>
      <c r="J38" s="3058">
        <v>89.3</v>
      </c>
      <c r="K38" s="3058">
        <f t="shared" si="3"/>
        <v>5.7000000000000028</v>
      </c>
      <c r="L38" s="3058" t="s">
        <v>2564</v>
      </c>
      <c r="M38" s="3058">
        <v>8</v>
      </c>
    </row>
    <row r="39" spans="1:13">
      <c r="A39" s="3040"/>
      <c r="B39" s="3041"/>
      <c r="C39" s="3041"/>
      <c r="D39" s="3041"/>
      <c r="E39" s="3041"/>
      <c r="F39" s="3041"/>
      <c r="G39" s="3042"/>
      <c r="I39" s="3058">
        <v>30</v>
      </c>
      <c r="J39" s="3058">
        <v>93.8</v>
      </c>
      <c r="K39" s="3058">
        <f t="shared" si="3"/>
        <v>4.5</v>
      </c>
      <c r="L39" s="3058" t="s">
        <v>2565</v>
      </c>
      <c r="M39" s="3058">
        <v>6</v>
      </c>
    </row>
    <row r="40" spans="1:13">
      <c r="A40" s="3043" t="s">
        <v>2536</v>
      </c>
      <c r="B40" s="3044"/>
      <c r="C40" s="3044"/>
      <c r="D40" s="3044"/>
      <c r="E40" s="3044"/>
      <c r="F40" s="3044"/>
      <c r="G40" s="3045"/>
      <c r="I40" s="3058">
        <v>35</v>
      </c>
      <c r="J40" s="3058">
        <v>97.2</v>
      </c>
      <c r="K40" s="3058">
        <f t="shared" si="3"/>
        <v>3.4000000000000057</v>
      </c>
      <c r="L40" s="3058" t="s">
        <v>2566</v>
      </c>
      <c r="M40" s="3058">
        <v>3</v>
      </c>
    </row>
    <row r="41" spans="1:13">
      <c r="A41" s="3046" t="s">
        <v>2537</v>
      </c>
      <c r="B41" s="3047" t="s">
        <v>2538</v>
      </c>
      <c r="C41" s="3048" t="s">
        <v>2539</v>
      </c>
      <c r="D41" s="3048" t="s">
        <v>2540</v>
      </c>
      <c r="E41" s="3049"/>
      <c r="F41" s="3050"/>
      <c r="G41" s="3051"/>
      <c r="I41" s="3058">
        <v>40</v>
      </c>
      <c r="J41" s="3058">
        <v>100</v>
      </c>
      <c r="K41" s="3058">
        <f t="shared" si="3"/>
        <v>2.7999999999999972</v>
      </c>
    </row>
    <row r="42" spans="1:13">
      <c r="A42" s="3046" t="s">
        <v>2541</v>
      </c>
      <c r="B42" s="3047" t="s">
        <v>2542</v>
      </c>
      <c r="C42" s="3048" t="s">
        <v>2543</v>
      </c>
      <c r="D42" s="3052" t="s">
        <v>2544</v>
      </c>
      <c r="E42" s="3044" t="s">
        <v>2545</v>
      </c>
      <c r="F42" s="3044"/>
      <c r="G42" s="3045"/>
    </row>
    <row r="43" spans="1:13">
      <c r="A43" s="3046" t="s">
        <v>2546</v>
      </c>
      <c r="B43" s="3047" t="s">
        <v>2547</v>
      </c>
      <c r="C43" s="3048" t="s">
        <v>2548</v>
      </c>
      <c r="D43" s="3048" t="s">
        <v>2549</v>
      </c>
      <c r="E43" s="3049" t="s">
        <v>2550</v>
      </c>
      <c r="F43" s="3050"/>
      <c r="G43" s="3051"/>
      <c r="I43" s="3058" t="s">
        <v>2558</v>
      </c>
      <c r="J43" s="3058" t="s">
        <v>2569</v>
      </c>
    </row>
    <row r="44" spans="1:13">
      <c r="A44" s="3046" t="s">
        <v>2551</v>
      </c>
      <c r="B44" s="3047" t="s">
        <v>2552</v>
      </c>
      <c r="C44" s="3048" t="s">
        <v>2553</v>
      </c>
      <c r="D44" s="3052">
        <v>0.5</v>
      </c>
      <c r="E44" s="3049" t="s">
        <v>2554</v>
      </c>
      <c r="F44" s="3050"/>
      <c r="G44" s="3051"/>
      <c r="I44" s="3058">
        <v>30</v>
      </c>
      <c r="J44" s="3058">
        <v>81.7</v>
      </c>
    </row>
    <row r="45" spans="1:13" ht="14.25" thickBot="1">
      <c r="A45" s="3053" t="s">
        <v>2555</v>
      </c>
      <c r="B45" s="3054" t="s">
        <v>2542</v>
      </c>
      <c r="C45" s="3055" t="s">
        <v>2542</v>
      </c>
      <c r="D45" s="3055" t="s">
        <v>2556</v>
      </c>
      <c r="E45" s="3056" t="s">
        <v>2557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44" sqref="G4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62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9" t="str">
        <f>IF(B10="北京市","北京市",C10)&amp;F10&amp;IF(结果表!G1="在建","出让国有建设用地使用权及在建建筑物",IF(结果表!G1="土地","出让国有建设用地使用权",))&amp;B9&amp;"预评估"</f>
        <v>北京市房地产抵押价值预评估</v>
      </c>
      <c r="C1" s="3500"/>
      <c r="D1" s="3500"/>
      <c r="E1" s="3500"/>
      <c r="F1" s="3500"/>
      <c r="G1" s="3500"/>
      <c r="H1" s="3500"/>
      <c r="I1" s="3501"/>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44916</v>
      </c>
      <c r="C3" s="2374" t="s">
        <v>2171</v>
      </c>
      <c r="D3" s="2373">
        <f>B3</f>
        <v>44916</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3367</v>
      </c>
      <c r="C8" s="2390"/>
      <c r="D8" s="3502" t="s">
        <v>2177</v>
      </c>
      <c r="E8" s="2391" t="s">
        <v>3368</v>
      </c>
      <c r="F8" s="2392"/>
      <c r="G8" s="2663"/>
      <c r="H8" s="2663"/>
      <c r="I8" s="2663"/>
      <c r="J8" s="2439"/>
      <c r="K8" s="2614"/>
      <c r="L8" s="2613"/>
      <c r="M8" s="2613"/>
      <c r="N8" s="2439"/>
      <c r="O8" s="2450"/>
      <c r="P8" s="2439"/>
      <c r="Q8" s="2439"/>
      <c r="R8" s="2439"/>
    </row>
    <row r="9" spans="1:30" ht="13.5" thickBot="1">
      <c r="A9" s="2393" t="s">
        <v>2178</v>
      </c>
      <c r="B9" s="2394" t="s">
        <v>3368</v>
      </c>
      <c r="C9" s="2395"/>
      <c r="D9" s="3503"/>
      <c r="E9" s="2394"/>
      <c r="F9" s="2396"/>
      <c r="G9" s="2665"/>
      <c r="H9" s="2665"/>
      <c r="I9" s="2665"/>
      <c r="J9" s="2439"/>
      <c r="K9" s="2616"/>
      <c r="L9" s="2613"/>
      <c r="M9" s="2613"/>
      <c r="N9" s="2439"/>
      <c r="O9" s="2450"/>
      <c r="P9" s="2439"/>
      <c r="Q9" s="2439"/>
      <c r="R9" s="2439"/>
    </row>
    <row r="10" spans="1:30" ht="13.5" thickTop="1">
      <c r="A10" s="2397" t="s">
        <v>2179</v>
      </c>
      <c r="B10" s="2398" t="s">
        <v>3366</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3396</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2570</v>
      </c>
      <c r="J12" s="3062"/>
      <c r="K12" s="2613"/>
      <c r="L12" s="2613"/>
      <c r="M12" s="2439"/>
      <c r="N12" s="2450"/>
      <c r="O12" s="2439"/>
      <c r="P12" s="2439"/>
      <c r="Q12" s="2439"/>
      <c r="AD12" s="1745"/>
    </row>
    <row r="13" spans="1:30">
      <c r="A13" s="3425" t="s">
        <v>3332</v>
      </c>
      <c r="B13" s="2407" t="s">
        <v>2190</v>
      </c>
      <c r="C13" s="856"/>
      <c r="D13" s="856"/>
      <c r="E13" s="856"/>
      <c r="F13" s="856"/>
      <c r="G13" s="856"/>
      <c r="H13" s="856">
        <v>57522</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34.53</v>
      </c>
      <c r="I15" s="2410" t="str">
        <f>IF(A13="出让",IF(I13="","",ROUNDDOWN(MIN((I13-$D$3)/365,I14),2)),I14)</f>
        <v/>
      </c>
      <c r="J15" s="3064"/>
      <c r="K15" s="2451"/>
      <c r="L15" s="2451"/>
      <c r="M15" s="2509"/>
      <c r="N15" s="2451"/>
      <c r="O15" s="2509"/>
      <c r="P15" s="2439"/>
      <c r="Q15" s="2439"/>
      <c r="AD15" s="1745"/>
    </row>
    <row r="16" spans="1:30">
      <c r="A16" s="2400" t="s">
        <v>2193</v>
      </c>
      <c r="B16" s="3509"/>
      <c r="C16" s="3510"/>
      <c r="D16" s="3511"/>
      <c r="E16" s="2413" t="s">
        <v>2194</v>
      </c>
      <c r="F16" s="3512"/>
      <c r="G16" s="3513"/>
      <c r="H16" s="3513"/>
      <c r="I16" s="3514"/>
      <c r="J16" s="2439"/>
      <c r="K16" s="2617"/>
      <c r="L16" s="2451"/>
      <c r="M16" s="2451"/>
      <c r="N16" s="2509"/>
      <c r="O16" s="2451"/>
      <c r="P16" s="2509"/>
      <c r="Q16" s="2439"/>
      <c r="R16" s="2439"/>
    </row>
    <row r="17" spans="1:28">
      <c r="A17" s="313" t="s">
        <v>2195</v>
      </c>
      <c r="B17" s="302" t="s">
        <v>2196</v>
      </c>
      <c r="C17" s="8">
        <f>'数据-汇总表'!E3</f>
        <v>25739.82</v>
      </c>
      <c r="D17" s="2322" t="s">
        <v>2197</v>
      </c>
      <c r="E17" s="3515" t="s">
        <v>2198</v>
      </c>
      <c r="F17" s="3516"/>
      <c r="G17" s="3516"/>
      <c r="H17" s="3516"/>
      <c r="I17" s="3517"/>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74231.63</v>
      </c>
      <c r="D18" s="1092" t="s">
        <v>2201</v>
      </c>
      <c r="E18" s="3518" t="s">
        <v>2202</v>
      </c>
      <c r="F18" s="3519"/>
      <c r="G18" s="3519"/>
      <c r="H18" s="3519"/>
      <c r="I18" s="3520"/>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5" t="s">
        <v>2206</v>
      </c>
      <c r="C20" s="3506"/>
      <c r="D20" s="3507" t="s">
        <v>2207</v>
      </c>
      <c r="E20" s="3508"/>
      <c r="F20" s="2647" t="s">
        <v>1056</v>
      </c>
      <c r="G20" s="2664"/>
      <c r="H20" s="2664"/>
      <c r="I20" s="2664"/>
      <c r="J20" s="2439"/>
      <c r="K20" s="3504"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4"/>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4"/>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2"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2"/>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2"/>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3"/>
      <c r="B30" s="302" t="s">
        <v>2218</v>
      </c>
      <c r="C30" s="3524"/>
      <c r="D30" s="3525"/>
      <c r="E30" s="2664"/>
      <c r="F30" s="2664"/>
      <c r="G30" s="2664"/>
      <c r="H30" s="2664"/>
      <c r="I30" s="2664"/>
      <c r="J30" s="2439"/>
      <c r="K30" s="2616"/>
      <c r="L30" s="2613"/>
      <c r="M30" s="2613"/>
      <c r="N30" s="2439"/>
      <c r="O30" s="2450"/>
      <c r="P30" s="2439"/>
      <c r="Q30" s="2439"/>
      <c r="R30" s="2439"/>
      <c r="S30" s="2439"/>
      <c r="T30" s="2439"/>
      <c r="U30" s="2439"/>
      <c r="V30" s="2439"/>
    </row>
    <row r="31" spans="1:28">
      <c r="A31" s="3526"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7"/>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7"/>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21" t="s">
        <v>2228</v>
      </c>
      <c r="T34" s="2428" t="str">
        <f>NUMBERSTRING(7-K34,1)&amp;"通"</f>
        <v>七通</v>
      </c>
      <c r="U34" s="2439"/>
      <c r="V34" s="2439"/>
    </row>
    <row r="35" spans="1:30">
      <c r="A35" s="2429"/>
      <c r="B35" s="3528" t="s">
        <v>2229</v>
      </c>
      <c r="C35" s="3528"/>
      <c r="D35" s="3528"/>
      <c r="E35" s="3528"/>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1"/>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306</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3389</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F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N26" sqref="N26"/>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625" style="1573" customWidth="1"/>
    <col min="17" max="17" width="9.375" style="1573" customWidth="1"/>
    <col min="18" max="18" width="9.125" style="1573" customWidth="1"/>
    <col min="19" max="19" width="10.875" style="1573" customWidth="1"/>
    <col min="20" max="21" width="10.625" style="1573" customWidth="1"/>
    <col min="22" max="22" width="10.875" style="1573" customWidth="1"/>
    <col min="23" max="27" width="10.625" style="1573" customWidth="1"/>
    <col min="28" max="28" width="10.875" style="1573" customWidth="1"/>
    <col min="29" max="29" width="11" style="1573" bestFit="1" customWidth="1"/>
    <col min="30" max="30" width="10" style="1573" bestFit="1" customWidth="1"/>
    <col min="31" max="31" width="9.625" style="1573" customWidth="1"/>
    <col min="32" max="46" width="9.5" style="1573" customWidth="1"/>
    <col min="47" max="47" width="18.125" style="1573" customWidth="1"/>
    <col min="48" max="50" width="9.62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74231.63</v>
      </c>
      <c r="B3" s="11">
        <f>IF(C3="否",G5-AT5,G5)</f>
        <v>25739.82</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25739.82</v>
      </c>
      <c r="H5" s="13">
        <f t="shared" ref="H5:AT5" si="0">SUM(H13:H656)</f>
        <v>25739.82</v>
      </c>
      <c r="I5" s="13">
        <f t="shared" si="0"/>
        <v>25739.82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25739.82</v>
      </c>
      <c r="BA5" s="15">
        <f t="shared" si="1"/>
        <v>25739.82</v>
      </c>
      <c r="BB5" s="15">
        <f t="shared" si="1"/>
        <v>25739.82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74231.63</v>
      </c>
      <c r="F6" s="13" t="s">
        <v>0</v>
      </c>
      <c r="G6" s="13" t="s">
        <v>1</v>
      </c>
      <c r="H6" s="17">
        <f>SUMIF(I$12:AB$12,"总值",I6:AB6)</f>
        <v>74231.63</v>
      </c>
      <c r="I6" s="13">
        <f t="shared" ref="I6:AB6" si="2">ROUND($A$3*I5/$B$3,2)</f>
        <v>74231.63</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74231.63</v>
      </c>
      <c r="AZ6" s="13" t="s">
        <v>2</v>
      </c>
      <c r="BA6" s="13">
        <f>ROUND($AY$6*BA5/$AZ$5,2)</f>
        <v>74231.63</v>
      </c>
      <c r="BB6" s="13">
        <f>ROUND($AY$6*BB5/$AZ$5,2)</f>
        <v>74231.63</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3373</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3449" t="s">
        <v>3369</v>
      </c>
      <c r="C13" s="1051" t="s">
        <v>3370</v>
      </c>
      <c r="D13" s="1625" t="s">
        <v>3375</v>
      </c>
      <c r="E13" s="13">
        <f>IF($C$3="是",ROUND($A$3*G13/$B$3,2),ROUND($A$3*(G13-AT13)/$B$3,2))</f>
        <v>20105.43</v>
      </c>
      <c r="F13" s="29"/>
      <c r="G13" s="30">
        <f>H13+AC13+AT13</f>
        <v>6971.56</v>
      </c>
      <c r="H13" s="17">
        <f>SUMIF(I$12:AB$12,"总值",I13:AB13)</f>
        <v>6971.56</v>
      </c>
      <c r="I13" s="1626">
        <v>6971.56</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t="str">
        <f t="shared" si="6"/>
        <v>二期</v>
      </c>
      <c r="AX13" s="8" t="str">
        <f t="shared" si="6"/>
        <v>5#</v>
      </c>
      <c r="AY13" s="1349">
        <f>ROUND($AY$6*AZ13/$AZ$5,2)</f>
        <v>20105.43</v>
      </c>
      <c r="AZ13" s="13">
        <f>BA13+BL13</f>
        <v>6971.56</v>
      </c>
      <c r="BA13" s="13">
        <f>SUM(BB13:BK13)</f>
        <v>6971.56</v>
      </c>
      <c r="BB13" s="13">
        <f>IF($D13="是",I13-J13,0)</f>
        <v>6971.56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3449" t="s">
        <v>3371</v>
      </c>
      <c r="C14" s="1570" t="s">
        <v>3372</v>
      </c>
      <c r="D14" s="1625" t="s">
        <v>3375</v>
      </c>
      <c r="E14" s="13">
        <f>IF($C$3="是",ROUND($A$3*G14/$B$3,2),ROUND($A$3*(G14-AT14)/$B$3,2))</f>
        <v>54126.2</v>
      </c>
      <c r="F14" s="29"/>
      <c r="G14" s="30">
        <f>H14+AC14+AT14</f>
        <v>18768.259999999998</v>
      </c>
      <c r="H14" s="17">
        <f>SUMIF(I$12:AB$12,"总值",I14:AB14)</f>
        <v>18768.259999999998</v>
      </c>
      <c r="I14" s="1626">
        <v>18768.259999999998</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t="str">
        <f t="shared" si="6"/>
        <v>一期</v>
      </c>
      <c r="AX14" s="8" t="str">
        <f t="shared" si="6"/>
        <v>6#</v>
      </c>
      <c r="AY14" s="1349">
        <f>ROUND($AY$6*AZ14/$AZ$5,2)</f>
        <v>54126.2</v>
      </c>
      <c r="AZ14" s="13">
        <f>BA14+BL14</f>
        <v>18768.259999999998</v>
      </c>
      <c r="BA14" s="13">
        <f>SUM(BB14:BK14)</f>
        <v>18768.259999999998</v>
      </c>
      <c r="BB14" s="13">
        <f>IF($D14="是",I14-J14,0)</f>
        <v>18768.259999999998</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125" defaultRowHeight="14.25"/>
  <cols>
    <col min="1" max="1" width="12.125" style="1638" customWidth="1"/>
    <col min="2" max="2" width="10.1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1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8" t="s">
        <v>1131</v>
      </c>
      <c r="B2" s="3538"/>
      <c r="C2" s="3538"/>
      <c r="D2" s="796" t="s">
        <v>1107</v>
      </c>
      <c r="E2" s="1639" t="s">
        <v>1108</v>
      </c>
      <c r="F2" s="2659"/>
      <c r="G2" s="2650"/>
      <c r="H2" s="2651"/>
      <c r="I2" s="2325" t="s">
        <v>1132</v>
      </c>
      <c r="J2" s="2659"/>
      <c r="K2" s="2659"/>
      <c r="L2" s="2659"/>
      <c r="M2" s="2659"/>
      <c r="N2" s="2661"/>
      <c r="O2" s="2659"/>
      <c r="P2" s="2659"/>
    </row>
    <row r="3" spans="1:16" ht="15.75" thickBot="1">
      <c r="A3" s="3539" t="s">
        <v>1105</v>
      </c>
      <c r="B3" s="3539"/>
      <c r="C3" s="3539"/>
      <c r="D3" s="43">
        <f>'数据-基础表'!AY6</f>
        <v>74231.63</v>
      </c>
      <c r="E3" s="43">
        <f>'数据-基础表'!AZ5</f>
        <v>25739.82</v>
      </c>
      <c r="F3" s="2659"/>
      <c r="G3" s="1145"/>
      <c r="H3" s="1026" t="s">
        <v>1106</v>
      </c>
      <c r="I3" s="855">
        <f>ROUND('数据-基础表'!B3/'数据-基础表'!A3,2)</f>
        <v>0.35</v>
      </c>
      <c r="J3" s="2659"/>
      <c r="K3" s="2659"/>
      <c r="L3" s="2659"/>
      <c r="M3" s="2659"/>
      <c r="N3" s="2661"/>
      <c r="O3" s="2659"/>
      <c r="P3" s="2659"/>
    </row>
    <row r="4" spans="1:16" ht="15">
      <c r="A4" s="3540"/>
      <c r="B4" s="3541"/>
      <c r="C4" s="3542"/>
      <c r="D4" s="1641" t="s">
        <v>1107</v>
      </c>
      <c r="E4" s="1642" t="s">
        <v>1108</v>
      </c>
      <c r="F4" s="2659"/>
      <c r="G4" s="2652" t="s">
        <v>1133</v>
      </c>
      <c r="H4" s="1026" t="s">
        <v>1113</v>
      </c>
      <c r="I4" s="855">
        <f>ROUND(SUMIF('数据-基础表'!I9:AS9,"地上",'数据-基础表'!I5:AS5)/'数据-基础表'!A3,2)</f>
        <v>0.35</v>
      </c>
      <c r="J4" s="2659"/>
      <c r="K4" s="2659"/>
      <c r="L4" s="2659"/>
      <c r="M4" s="2659"/>
      <c r="N4" s="2661"/>
      <c r="O4" s="2659"/>
      <c r="P4" s="2659"/>
    </row>
    <row r="5" spans="1:16">
      <c r="A5" s="44" t="s">
        <v>1109</v>
      </c>
      <c r="B5" s="3543" t="s">
        <v>1110</v>
      </c>
      <c r="C5" s="3543"/>
      <c r="D5" s="45">
        <f>ROUND($D$3*E5/$E$3,2)</f>
        <v>0</v>
      </c>
      <c r="E5" s="46">
        <f>SUMIF('数据-基础表'!$11:$11,"住宅",'数据-基础表'!$5:$5)</f>
        <v>0</v>
      </c>
      <c r="F5" s="2659"/>
      <c r="G5" s="1145"/>
      <c r="H5" s="1026" t="s">
        <v>1106</v>
      </c>
      <c r="I5" s="855">
        <f>ROUND(E31/D31,2)</f>
        <v>0.35</v>
      </c>
      <c r="J5" s="2659"/>
      <c r="K5" s="2659"/>
      <c r="L5" s="2659"/>
      <c r="M5" s="2659"/>
      <c r="N5" s="2659"/>
      <c r="O5" s="2659"/>
      <c r="P5" s="2659"/>
    </row>
    <row r="6" spans="1:16" ht="15" thickBot="1">
      <c r="A6" s="1644"/>
      <c r="B6" s="3543" t="s">
        <v>1111</v>
      </c>
      <c r="C6" s="3543"/>
      <c r="D6" s="45">
        <f>ROUND($D$3*E6/$E$3,2)</f>
        <v>74231.63</v>
      </c>
      <c r="E6" s="46">
        <f>E3-E5</f>
        <v>25739.82</v>
      </c>
      <c r="F6" s="2659"/>
      <c r="G6" s="2653" t="s">
        <v>1112</v>
      </c>
      <c r="H6" s="1146" t="s">
        <v>1113</v>
      </c>
      <c r="I6" s="2654">
        <f>ROUND(F31/D31,2)</f>
        <v>0.35</v>
      </c>
      <c r="J6" s="2659"/>
      <c r="K6" s="2659"/>
      <c r="L6" s="2659"/>
      <c r="M6" s="2659"/>
      <c r="N6" s="2659"/>
      <c r="O6" s="2659"/>
      <c r="P6" s="2659"/>
    </row>
    <row r="7" spans="1:16" ht="15.75" thickBot="1">
      <c r="A7" s="3535"/>
      <c r="B7" s="3536"/>
      <c r="C7" s="3537"/>
      <c r="D7" s="1641" t="s">
        <v>1107</v>
      </c>
      <c r="E7" s="1645" t="s">
        <v>1114</v>
      </c>
      <c r="F7" s="2659"/>
      <c r="G7" s="2655" t="s">
        <v>1115</v>
      </c>
      <c r="H7" s="2656"/>
      <c r="I7" s="2657">
        <v>1</v>
      </c>
      <c r="J7" s="2659"/>
      <c r="K7" s="2659"/>
      <c r="L7" s="2659"/>
      <c r="M7" s="2659"/>
      <c r="N7" s="2659"/>
      <c r="O7" s="2659"/>
      <c r="P7" s="2659"/>
    </row>
    <row r="8" spans="1:16">
      <c r="A8" s="44" t="s">
        <v>1116</v>
      </c>
      <c r="B8" s="47" t="s">
        <v>1117</v>
      </c>
      <c r="C8" s="45" t="s">
        <v>1118</v>
      </c>
      <c r="D8" s="45">
        <f t="shared" ref="D8:D15" si="0">ROUND($D$3*E8/$E$3,2)</f>
        <v>74231.63</v>
      </c>
      <c r="E8" s="48">
        <f>SUMIF('数据-基础表'!BB10:BK10,"地上",'数据-基础表'!BB5:BK5)</f>
        <v>25739.82</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74231.63</v>
      </c>
      <c r="E16" s="50">
        <f>SUM(E8:E15)</f>
        <v>25739.82</v>
      </c>
      <c r="F16" s="2659"/>
      <c r="G16" s="2660"/>
      <c r="H16" s="1648" t="s">
        <v>1135</v>
      </c>
      <c r="I16" s="1649"/>
      <c r="J16" s="1139"/>
      <c r="K16" s="3532" t="s">
        <v>1135</v>
      </c>
      <c r="L16" s="3533"/>
      <c r="M16" s="3533"/>
      <c r="N16" s="3533"/>
      <c r="O16" s="3533"/>
      <c r="P16" s="3534"/>
    </row>
    <row r="17" spans="1:19" ht="15">
      <c r="A17" s="1650" t="s">
        <v>1136</v>
      </c>
      <c r="B17" s="1651" t="s">
        <v>1137</v>
      </c>
      <c r="C17" s="1652" t="s">
        <v>1138</v>
      </c>
      <c r="D17" s="1653" t="s">
        <v>1126</v>
      </c>
      <c r="E17" s="1654" t="s">
        <v>1127</v>
      </c>
      <c r="F17" s="1655"/>
      <c r="G17" s="1656"/>
      <c r="H17" s="1657" t="s">
        <v>1139</v>
      </c>
      <c r="I17" s="1658" t="s">
        <v>1124</v>
      </c>
      <c r="J17" s="1139"/>
      <c r="K17" s="3529" t="s">
        <v>1140</v>
      </c>
      <c r="L17" s="3530"/>
      <c r="M17" s="3531"/>
      <c r="N17" s="3529" t="s">
        <v>1141</v>
      </c>
      <c r="O17" s="3530"/>
      <c r="P17" s="3531"/>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9" t="s">
        <v>3374</v>
      </c>
      <c r="D19" s="45">
        <f>ROUND($D$3*E19/$E$3,2)</f>
        <v>74231.63</v>
      </c>
      <c r="E19" s="53">
        <f t="shared" ref="E19:E26" si="1">SUM(F19:G19)</f>
        <v>25739.82</v>
      </c>
      <c r="F19" s="2795">
        <f>'数据-基础表'!I13+'数据-基础表'!I14</f>
        <v>25739.82</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74231.63</v>
      </c>
      <c r="S19" s="1027">
        <f t="shared" si="5"/>
        <v>25739.82</v>
      </c>
    </row>
    <row r="20" spans="1:19">
      <c r="A20" s="1670"/>
      <c r="B20" s="47" t="s">
        <v>1153</v>
      </c>
      <c r="C20" s="3419"/>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9"/>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20"/>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20"/>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20"/>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20"/>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74231.63</v>
      </c>
      <c r="E27" s="1141">
        <f>IF(SUM(E19:E26)='数据-基础表'!BA5,SUM(E19:E26),IF(F27="地上面积有误","面积有误","地下面积有误"))</f>
        <v>25739.82</v>
      </c>
      <c r="F27" s="1140">
        <f>IF(SUM(F19:F26)=E8,SUM(F19:F26),"地上面积有误")</f>
        <v>25739.82</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74231.63</v>
      </c>
      <c r="S27" s="1026">
        <f>IF(SUM(S19:S26)=$E$3,SUM(S19:S26),SUM(S19:S26)&amp;"误差"&amp;ROUND(SUM(S19:S26)-E3,2))</f>
        <v>25739.82</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74231.63</v>
      </c>
      <c r="E31" s="676">
        <f>E27+E30</f>
        <v>25739.82</v>
      </c>
      <c r="F31" s="677">
        <f>F27+F30</f>
        <v>25739.82</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F6" activePane="bottomRight" state="frozen"/>
      <selection activeCell="C50" sqref="C50"/>
      <selection pane="topRight" activeCell="C50" sqref="C50"/>
      <selection pane="bottomLeft" activeCell="C50" sqref="C50"/>
      <selection pane="bottomRight" activeCell="J34" sqref="J34"/>
    </sheetView>
  </sheetViews>
  <sheetFormatPr defaultColWidth="13.625" defaultRowHeight="12.75"/>
  <cols>
    <col min="1" max="1" width="20.875" style="1745" customWidth="1"/>
    <col min="2" max="2" width="12" style="1682" customWidth="1"/>
    <col min="3" max="3" width="12.62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625" style="1682" customWidth="1"/>
    <col min="31" max="31" width="8" style="1682" customWidth="1"/>
    <col min="32" max="34" width="7.125" style="1682" customWidth="1"/>
    <col min="35" max="39" width="8" style="1682" customWidth="1"/>
    <col min="40" max="40" width="13.625" style="1681"/>
    <col min="41" max="41" width="11.625" style="1681" customWidth="1"/>
    <col min="42" max="42" width="9.625" style="1681" customWidth="1"/>
    <col min="43" max="67" width="13.625" style="1681"/>
    <col min="68" max="16384" width="13.62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44916</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3376</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IF(B6="","",SUMIF(项目基本情况!C$12:H$12,C6,项目基本情况!C$13:H$13))</f>
        <v>57522</v>
      </c>
      <c r="F6" s="64">
        <f>SUMIF(项目基本情况!C$12:I$12,C6,项目基本情况!C$15:I$15)</f>
        <v>34.53</v>
      </c>
      <c r="G6" s="65">
        <f>IF(ISERROR(ROUND(POWER(1+H6,D6-F6)*(POWER(1+H6,F6)-1)/(POWER(1+H6,D6)-1),3)),0,ROUND(POWER(1+H6,D6-F6)*(POWER(1+H6,F6)-1)/(POWER(1+H6,D6)-1),3))</f>
        <v>0.88700000000000001</v>
      </c>
      <c r="H6" s="732">
        <v>4.8000000000000001E-2</v>
      </c>
      <c r="I6" s="732">
        <v>5.5E-2</v>
      </c>
      <c r="J6" s="66">
        <v>8.5000000000000006E-2</v>
      </c>
      <c r="K6" s="1030">
        <f>SUMIF('数据-汇总表'!C$19:C$33,A6,'数据-汇总表'!E$19:E$33)</f>
        <v>25739.82</v>
      </c>
      <c r="L6" s="733">
        <v>2200</v>
      </c>
      <c r="M6" s="67">
        <f t="shared" ref="M6:M14" si="0">ROUND(K6*L6/10000,0)</f>
        <v>5663</v>
      </c>
      <c r="N6" s="731">
        <f>ROUND(1-(1-2%)*(2022-2014)/70,2)</f>
        <v>0.89</v>
      </c>
      <c r="O6" s="67" t="str">
        <f>IF($N$5="成新度","——",ROUND(M6*N6,0))</f>
        <v>——</v>
      </c>
      <c r="P6" s="68" t="str">
        <f>IF($N$5="成新度","——",M6-O6)</f>
        <v>——</v>
      </c>
      <c r="Q6" s="3454">
        <v>0.1</v>
      </c>
      <c r="R6" s="69">
        <f ca="1">SUMIF('数据-汇总表'!C$19:C$33,A6,'数据-汇总表'!R$19:R$27)</f>
        <v>74231.63</v>
      </c>
      <c r="S6" s="51">
        <f>IF('数据-汇总表'!$I$17="按面积比例",SUMIF('数据-汇总表'!C$19:C$33,A6,'数据-汇总表'!K$19:K$33),SUMIF('数据-汇总表'!C$19:C$33,A6,'数据-汇总表'!N$19:N$33))</f>
        <v>0</v>
      </c>
      <c r="T6" s="1172">
        <f>ROUND($L$14*S6/10000,0)</f>
        <v>0</v>
      </c>
      <c r="U6" s="3450">
        <v>0.84</v>
      </c>
      <c r="V6" s="3451">
        <v>0.02</v>
      </c>
      <c r="W6" s="70">
        <v>0.1</v>
      </c>
      <c r="X6" s="1040"/>
      <c r="Y6" s="71">
        <f>N6</f>
        <v>0.89</v>
      </c>
      <c r="Z6" s="72"/>
      <c r="AA6" s="66"/>
      <c r="AB6" s="66"/>
      <c r="AC6" s="1040"/>
      <c r="AD6" s="73"/>
      <c r="AE6" s="1041">
        <f ca="1">IF(AN6="",0,SUMIF(INDIRECT("'"&amp;AN6&amp;"'"&amp;"!E:E"),$AE$5,INDIRECT("'"&amp;AN6&amp;"'"&amp;"!F:F")))</f>
        <v>34.53</v>
      </c>
      <c r="AF6" s="1348"/>
      <c r="AG6" s="138">
        <f>IF(AF6="",0,AE6-AF6)</f>
        <v>0</v>
      </c>
      <c r="AH6" s="74"/>
      <c r="AI6" s="76">
        <v>365</v>
      </c>
      <c r="AJ6" s="77"/>
      <c r="AK6" s="3452">
        <v>0.02</v>
      </c>
      <c r="AL6" s="3453">
        <v>1.5E-3</v>
      </c>
      <c r="AM6" s="80">
        <v>0.01</v>
      </c>
      <c r="AN6" s="1715" t="s">
        <v>3377</v>
      </c>
      <c r="AO6" s="52">
        <f ca="1">SUMIF(INDIRECT("'"&amp;AN6&amp;"'"&amp;"!A:A"),"总价",INDIRECT("'"&amp;AN6&amp;"'"&amp;"!B:B"))</f>
        <v>8032</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hidden="1">
      <c r="A7" s="1712">
        <f>'数据-汇总表'!C20</f>
        <v>0</v>
      </c>
      <c r="B7" s="1713" t="str">
        <f t="shared" ref="B7:B13" si="1">IF(A7=0,"","经营性")</f>
        <v/>
      </c>
      <c r="C7" s="1714"/>
      <c r="D7" s="858">
        <f>SUMIF(项目基本情况!C$12:I$12,C7,项目基本情况!C$14:I$14)</f>
        <v>0</v>
      </c>
      <c r="E7" s="857" t="str">
        <f>IF(B7="","",SUMIF(项目基本情况!C$12:H$12,C7,项目基本情况!C$13:H$13))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30"/>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hidden="1">
      <c r="A8" s="1712">
        <f>'数据-汇总表'!C21</f>
        <v>0</v>
      </c>
      <c r="B8" s="1713" t="str">
        <f t="shared" si="1"/>
        <v/>
      </c>
      <c r="C8" s="1714"/>
      <c r="D8" s="858">
        <f>SUMIF(项目基本情况!C$12:I$12,C8,项目基本情况!C$14:I$14)</f>
        <v>0</v>
      </c>
      <c r="E8" s="857" t="str">
        <f>IF(B8="","",SUMIF(项目基本情况!C$12:H$12,C8,项目基本情况!C$13:H$13))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31"/>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hidden="1">
      <c r="A9" s="1712">
        <f>'数据-汇总表'!C22</f>
        <v>0</v>
      </c>
      <c r="B9" s="1713" t="str">
        <f t="shared" si="1"/>
        <v/>
      </c>
      <c r="C9" s="1714"/>
      <c r="D9" s="858">
        <f>SUMIF(项目基本情况!C$12:I$12,C9,项目基本情况!C$14:I$14)</f>
        <v>0</v>
      </c>
      <c r="E9" s="857" t="str">
        <f>IF(B9="","",SUMIF(项目基本情况!C$12:H$12,C9,项目基本情况!C$13:H$13))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30"/>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hidden="1">
      <c r="A10" s="1712">
        <f>'数据-汇总表'!C23</f>
        <v>0</v>
      </c>
      <c r="B10" s="1713" t="str">
        <f t="shared" si="1"/>
        <v/>
      </c>
      <c r="C10" s="1714"/>
      <c r="D10" s="858">
        <f>SUMIF(项目基本情况!C$12:I$12,C10,项目基本情况!C$14:I$14)</f>
        <v>0</v>
      </c>
      <c r="E10" s="857" t="str">
        <f>IF(B10="","",SUMIF(项目基本情况!C$12:H$12,C10,项目基本情况!C$13:H$13))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30"/>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hidden="1">
      <c r="A11" s="1712">
        <f>'数据-汇总表'!C24</f>
        <v>0</v>
      </c>
      <c r="B11" s="1713" t="str">
        <f t="shared" si="1"/>
        <v/>
      </c>
      <c r="C11" s="1714"/>
      <c r="D11" s="858">
        <f>SUMIF(项目基本情况!C$12:I$12,C11,项目基本情况!C$14:I$14)</f>
        <v>0</v>
      </c>
      <c r="E11" s="857" t="str">
        <f>IF(B11="","",SUMIF(项目基本情况!C$12:H$12,C11,项目基本情况!C$13:H$13))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30"/>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hidden="1">
      <c r="A12" s="1712">
        <f>'数据-汇总表'!C25</f>
        <v>0</v>
      </c>
      <c r="B12" s="1713" t="str">
        <f t="shared" si="1"/>
        <v/>
      </c>
      <c r="C12" s="1714"/>
      <c r="D12" s="858">
        <f>SUMIF(项目基本情况!C$12:I$12,C12,项目基本情况!C$14:I$14)</f>
        <v>0</v>
      </c>
      <c r="E12" s="857" t="str">
        <f>IF(B12="","",SUMIF(项目基本情况!C$12:H$12,C12,项目基本情况!C$13:H$13))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30"/>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hidden="1">
      <c r="A13" s="1712">
        <f>'数据-汇总表'!C26</f>
        <v>0</v>
      </c>
      <c r="B13" s="1713" t="str">
        <f t="shared" si="1"/>
        <v/>
      </c>
      <c r="C13" s="1714"/>
      <c r="D13" s="858">
        <f>SUMIF(项目基本情况!C$12:I$12,C13,项目基本情况!C$14:I$14)</f>
        <v>0</v>
      </c>
      <c r="E13" s="857" t="str">
        <f>IF(B13="","",SUMIF(项目基本情况!C$12:H$12,C13,项目基本情况!C$13:H$13))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2"/>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0.88700000000000001</v>
      </c>
      <c r="H16" s="90">
        <f>ROUND(SUMPRODUCT(H6:H13,K6:K13)/SUMPRODUCT((H6:H13&gt;0)*(K6:K13)),3)</f>
        <v>4.8000000000000001E-2</v>
      </c>
      <c r="I16" s="91"/>
      <c r="J16" s="91"/>
      <c r="K16" s="92">
        <f>SUM(K6:K15)</f>
        <v>25739.82</v>
      </c>
      <c r="L16" s="93">
        <f>ROUND(M16*10000/SUM(K6:K14),0)</f>
        <v>2200</v>
      </c>
      <c r="M16" s="93">
        <f>SUM(M6:M14)</f>
        <v>5663</v>
      </c>
      <c r="N16" s="94">
        <f>ROUND(SUMPRODUCT(M6:M14,N6:N14)/M16,3)</f>
        <v>0.89</v>
      </c>
      <c r="O16" s="93">
        <f>SUM(O6:O14)</f>
        <v>0</v>
      </c>
      <c r="P16" s="93">
        <f>SUM(P6:P14)</f>
        <v>0</v>
      </c>
      <c r="Q16" s="95">
        <f>ROUND(SUMPRODUCT(Q6:Q13,K6:K13)/SUMPRODUCT((Q6:Q13&gt;0)*(K6:K13)),2)</f>
        <v>0.1</v>
      </c>
      <c r="R16" s="1034">
        <f ca="1">SUM(R6:R13)</f>
        <v>74231.63</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2296</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1.5</v>
      </c>
      <c r="C20" s="2800" t="s">
        <v>2294</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1.5</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1.5</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1.5</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80</v>
      </c>
      <c r="C27" s="2801" t="s">
        <v>2298</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80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206</v>
      </c>
      <c r="C29" s="2802" t="s">
        <v>2285</v>
      </c>
      <c r="D29" s="2679"/>
      <c r="E29" s="2661"/>
      <c r="F29" s="2661"/>
      <c r="G29" s="2673"/>
      <c r="H29" s="2673"/>
      <c r="I29" s="2673"/>
      <c r="J29" s="2673"/>
      <c r="K29" s="2672"/>
      <c r="L29" s="2672">
        <v>11810</v>
      </c>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f ca="1">结果表!G19</f>
        <v>11855</v>
      </c>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2286</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2287</v>
      </c>
      <c r="D34" s="2684" t="s">
        <v>2295</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2288</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2289</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2290</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0.03</v>
      </c>
      <c r="C38" s="2803" t="s">
        <v>2290</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9.25" thickBot="1">
      <c r="A40" s="2815" t="s">
        <v>3405</v>
      </c>
      <c r="B40" s="1078">
        <f ca="1">IF(A40="利息：取LPR",存贷款利率!G1,存贷款利率!G1+C40)</f>
        <v>4.1499999999999995E-2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2299</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2291</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2292</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2300</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2291</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2293</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2297</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K17" sqref="K17"/>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625" style="2492" customWidth="1"/>
    <col min="10" max="10" width="2.625" style="2491" customWidth="1"/>
    <col min="11" max="11" width="11.875" style="2491" customWidth="1"/>
    <col min="12" max="12" width="16.625" style="2492" customWidth="1"/>
    <col min="13" max="13" width="2.625" style="2491" customWidth="1"/>
    <col min="14" max="14" width="11.875" style="2491" customWidth="1"/>
    <col min="15" max="15" width="16.625" style="2492" customWidth="1"/>
    <col min="16" max="16" width="2.625" style="2491" customWidth="1"/>
    <col min="17" max="17" width="11.875" style="2491" customWidth="1"/>
    <col min="18" max="18" width="16.625" style="2493" customWidth="1"/>
    <col min="19" max="29" width="9" style="799"/>
    <col min="30" max="16384" width="9" style="1686"/>
  </cols>
  <sheetData>
    <row r="1" spans="1:29" s="2457" customFormat="1" ht="18.75" thickBot="1">
      <c r="A1" s="3544" t="s">
        <v>2277</v>
      </c>
      <c r="B1" s="3545"/>
      <c r="C1" s="3545"/>
      <c r="D1" s="3545"/>
      <c r="E1" s="3545"/>
      <c r="F1" s="3545"/>
      <c r="G1" s="3545"/>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2274</v>
      </c>
      <c r="D2" s="2461"/>
      <c r="E2" s="2458"/>
      <c r="F2" s="2462"/>
      <c r="G2" s="2460" t="s">
        <v>2275</v>
      </c>
      <c r="H2" s="799"/>
      <c r="I2" s="799"/>
      <c r="J2" s="799"/>
      <c r="K2" s="799"/>
      <c r="L2" s="799"/>
      <c r="M2" s="799"/>
      <c r="N2" s="799"/>
      <c r="O2" s="799"/>
      <c r="P2" s="799"/>
      <c r="Q2" s="799"/>
      <c r="R2" s="799"/>
    </row>
    <row r="3" spans="1:29" ht="24">
      <c r="A3" s="2441" t="s">
        <v>2276</v>
      </c>
      <c r="B3" s="2463" t="s">
        <v>2252</v>
      </c>
      <c r="C3" s="2464"/>
      <c r="D3" s="2465"/>
      <c r="E3" s="2442" t="s">
        <v>2276</v>
      </c>
      <c r="F3" s="2466" t="s">
        <v>2253</v>
      </c>
      <c r="G3" s="2467"/>
      <c r="H3" s="799"/>
      <c r="I3" s="799"/>
      <c r="J3" s="799"/>
      <c r="K3" s="799"/>
      <c r="L3" s="799"/>
      <c r="M3" s="799"/>
      <c r="N3" s="799"/>
      <c r="O3" s="799"/>
      <c r="P3" s="799"/>
      <c r="Q3" s="799"/>
      <c r="R3" s="799"/>
    </row>
    <row r="4" spans="1:29">
      <c r="A4" s="2442"/>
      <c r="B4" s="323" t="s">
        <v>2254</v>
      </c>
      <c r="C4" s="2468"/>
      <c r="D4" s="2465"/>
      <c r="E4" s="2469"/>
      <c r="F4" s="1373" t="s">
        <v>2255</v>
      </c>
      <c r="G4" s="2470"/>
      <c r="H4" s="799"/>
      <c r="I4" s="799"/>
      <c r="J4" s="799"/>
      <c r="K4" s="799"/>
      <c r="L4" s="799"/>
      <c r="M4" s="799"/>
      <c r="N4" s="799"/>
      <c r="O4" s="799"/>
      <c r="P4" s="799"/>
      <c r="Q4" s="799"/>
      <c r="R4" s="799"/>
    </row>
    <row r="5" spans="1:29">
      <c r="A5" s="2442"/>
      <c r="B5" s="323" t="s">
        <v>2256</v>
      </c>
      <c r="C5" s="2468"/>
      <c r="D5" s="2465"/>
      <c r="E5" s="2469"/>
      <c r="F5" s="323" t="s">
        <v>2257</v>
      </c>
      <c r="G5" s="2470"/>
      <c r="H5" s="799"/>
      <c r="I5" s="799"/>
      <c r="J5" s="799"/>
      <c r="K5" s="799"/>
      <c r="L5" s="799"/>
      <c r="M5" s="799"/>
      <c r="N5" s="799"/>
      <c r="O5" s="799"/>
      <c r="P5" s="799"/>
      <c r="Q5" s="799"/>
      <c r="R5" s="799"/>
    </row>
    <row r="6" spans="1:29">
      <c r="A6" s="2442"/>
      <c r="B6" s="323" t="s">
        <v>2258</v>
      </c>
      <c r="C6" s="2470"/>
      <c r="D6" s="2465"/>
      <c r="E6" s="2469"/>
      <c r="F6" s="323" t="s">
        <v>2259</v>
      </c>
      <c r="G6" s="2470"/>
      <c r="H6" s="799"/>
      <c r="I6" s="799"/>
      <c r="J6" s="799"/>
      <c r="K6" s="799"/>
      <c r="L6" s="799"/>
      <c r="M6" s="799"/>
      <c r="N6" s="799"/>
      <c r="O6" s="799"/>
      <c r="P6" s="799"/>
      <c r="Q6" s="799"/>
      <c r="R6" s="799"/>
    </row>
    <row r="7" spans="1:29" ht="15" thickBot="1">
      <c r="A7" s="2442"/>
      <c r="B7" s="323" t="s">
        <v>2257</v>
      </c>
      <c r="C7" s="2470"/>
      <c r="D7" s="2471"/>
      <c r="E7" s="2472"/>
      <c r="F7" s="2473" t="s">
        <v>2260</v>
      </c>
      <c r="G7" s="2474"/>
      <c r="H7" s="799"/>
      <c r="I7" s="799"/>
      <c r="J7" s="799"/>
      <c r="K7" s="799"/>
      <c r="L7" s="799"/>
      <c r="M7" s="799"/>
      <c r="N7" s="799"/>
      <c r="O7" s="799"/>
      <c r="P7" s="799"/>
      <c r="Q7" s="799"/>
      <c r="R7" s="799"/>
    </row>
    <row r="8" spans="1:29">
      <c r="A8" s="2442"/>
      <c r="B8" s="323" t="s">
        <v>2259</v>
      </c>
      <c r="C8" s="2470"/>
      <c r="D8" s="2471"/>
      <c r="E8" s="2471"/>
      <c r="F8" s="2475"/>
      <c r="G8" s="2475"/>
      <c r="H8" s="799"/>
      <c r="I8" s="799"/>
      <c r="J8" s="799"/>
      <c r="K8" s="799"/>
      <c r="L8" s="799"/>
      <c r="M8" s="799"/>
      <c r="N8" s="799"/>
      <c r="O8" s="799"/>
      <c r="P8" s="799"/>
      <c r="Q8" s="799"/>
      <c r="R8" s="799"/>
    </row>
    <row r="9" spans="1:29">
      <c r="A9" s="2442"/>
      <c r="B9" s="323" t="s">
        <v>2261</v>
      </c>
      <c r="C9" s="2468"/>
      <c r="D9" s="2465"/>
      <c r="E9" s="2471"/>
      <c r="F9" s="2475"/>
      <c r="G9" s="2475"/>
      <c r="H9" s="799"/>
      <c r="I9" s="799"/>
      <c r="J9" s="799"/>
      <c r="K9" s="799"/>
      <c r="L9" s="799"/>
      <c r="M9" s="799"/>
      <c r="N9" s="799"/>
      <c r="O9" s="799"/>
      <c r="P9" s="799"/>
      <c r="Q9" s="799"/>
      <c r="R9" s="799"/>
    </row>
    <row r="10" spans="1:29" s="2481" customFormat="1" ht="15" thickBot="1">
      <c r="A10" s="2443"/>
      <c r="B10" s="2476" t="s">
        <v>2262</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2278</v>
      </c>
      <c r="B13" s="2484"/>
      <c r="C13" s="2484"/>
      <c r="D13" s="2482"/>
      <c r="E13" s="2484"/>
      <c r="F13" s="2484"/>
      <c r="G13" s="2484"/>
    </row>
    <row r="14" spans="1:29" ht="15" thickBot="1">
      <c r="A14" s="2494"/>
      <c r="B14" s="2494"/>
      <c r="C14" s="2495" t="s">
        <v>2263</v>
      </c>
      <c r="D14" s="2465"/>
      <c r="E14" s="2496"/>
      <c r="F14" s="2496"/>
      <c r="G14" s="2460" t="s">
        <v>2264</v>
      </c>
    </row>
    <row r="15" spans="1:29" ht="24">
      <c r="A15" s="2444" t="s">
        <v>2265</v>
      </c>
      <c r="B15" s="2497" t="s">
        <v>2252</v>
      </c>
      <c r="C15" s="2498">
        <f>C3</f>
        <v>0</v>
      </c>
      <c r="D15" s="2465"/>
      <c r="E15" s="2445" t="s">
        <v>2266</v>
      </c>
      <c r="F15" s="2497" t="s">
        <v>2267</v>
      </c>
      <c r="G15" s="2499">
        <f>G3</f>
        <v>0</v>
      </c>
    </row>
    <row r="16" spans="1:29">
      <c r="A16" s="2446"/>
      <c r="B16" s="2500" t="s">
        <v>2254</v>
      </c>
      <c r="C16" s="2501">
        <f>C4</f>
        <v>0</v>
      </c>
      <c r="D16" s="2465"/>
      <c r="E16" s="2447"/>
      <c r="F16" s="2502" t="s">
        <v>2255</v>
      </c>
      <c r="G16" s="2503">
        <f>G4</f>
        <v>0</v>
      </c>
    </row>
    <row r="17" spans="1:18">
      <c r="A17" s="2446"/>
      <c r="B17" s="2500" t="s">
        <v>2256</v>
      </c>
      <c r="C17" s="2501">
        <f>C5</f>
        <v>0</v>
      </c>
      <c r="D17" s="2471"/>
      <c r="E17" s="2447"/>
      <c r="F17" s="2502" t="s">
        <v>2268</v>
      </c>
      <c r="G17" s="2504"/>
    </row>
    <row r="18" spans="1:18">
      <c r="A18" s="2446"/>
      <c r="B18" s="2502" t="s">
        <v>2258</v>
      </c>
      <c r="C18" s="2503">
        <f>C6</f>
        <v>0</v>
      </c>
      <c r="D18" s="2471"/>
      <c r="E18" s="2447"/>
      <c r="F18" s="2502" t="s">
        <v>2260</v>
      </c>
      <c r="G18" s="2503">
        <f>G7</f>
        <v>0</v>
      </c>
    </row>
    <row r="19" spans="1:18">
      <c r="A19" s="2446"/>
      <c r="B19" s="2502" t="s">
        <v>2269</v>
      </c>
      <c r="C19" s="2504"/>
      <c r="D19" s="2465"/>
      <c r="E19" s="2447"/>
      <c r="F19" s="323" t="s">
        <v>2257</v>
      </c>
      <c r="G19" s="2503">
        <f>G5</f>
        <v>0</v>
      </c>
    </row>
    <row r="20" spans="1:18">
      <c r="A20" s="2446"/>
      <c r="B20" s="2502" t="s">
        <v>2270</v>
      </c>
      <c r="C20" s="2501">
        <f>C9</f>
        <v>0</v>
      </c>
      <c r="D20" s="2471"/>
      <c r="E20" s="2447"/>
      <c r="F20" s="323" t="s">
        <v>2259</v>
      </c>
      <c r="G20" s="2503">
        <f>G6</f>
        <v>0</v>
      </c>
    </row>
    <row r="21" spans="1:18">
      <c r="A21" s="2446"/>
      <c r="B21" s="323" t="s">
        <v>2257</v>
      </c>
      <c r="C21" s="2503">
        <f>C7</f>
        <v>0</v>
      </c>
      <c r="D21" s="2465"/>
      <c r="E21" s="2447"/>
      <c r="F21" s="2502" t="s">
        <v>2271</v>
      </c>
      <c r="G21" s="2505"/>
    </row>
    <row r="22" spans="1:18" ht="13.5" customHeight="1">
      <c r="A22" s="2446"/>
      <c r="B22" s="323" t="s">
        <v>2259</v>
      </c>
      <c r="C22" s="2503">
        <f>C8</f>
        <v>0</v>
      </c>
      <c r="D22" s="2465"/>
      <c r="E22" s="2447"/>
      <c r="F22" s="2502" t="s">
        <v>2262</v>
      </c>
      <c r="G22" s="2504"/>
    </row>
    <row r="23" spans="1:18" s="799" customFormat="1" ht="15" thickBot="1">
      <c r="A23" s="2446"/>
      <c r="B23" s="2502" t="s">
        <v>2271</v>
      </c>
      <c r="C23" s="2505"/>
      <c r="D23" s="1741"/>
      <c r="E23" s="2448"/>
      <c r="F23" s="2506" t="s">
        <v>2272</v>
      </c>
      <c r="G23" s="2507"/>
      <c r="H23" s="2491"/>
      <c r="I23" s="2492"/>
      <c r="J23" s="2491"/>
      <c r="K23" s="2491"/>
      <c r="L23" s="2492"/>
      <c r="M23" s="2491"/>
      <c r="N23" s="2491"/>
      <c r="O23" s="2492"/>
      <c r="P23" s="2491"/>
      <c r="Q23" s="2491"/>
      <c r="R23" s="2493"/>
    </row>
    <row r="24" spans="1:18" s="799" customFormat="1" ht="15" thickBot="1">
      <c r="A24" s="2449"/>
      <c r="B24" s="2506" t="s">
        <v>2273</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5" sqref="G15"/>
    </sheetView>
  </sheetViews>
  <sheetFormatPr defaultColWidth="9" defaultRowHeight="13.5"/>
  <cols>
    <col min="1" max="1" width="25" style="2513" customWidth="1"/>
    <col min="2" max="9" width="15.625" style="2513" customWidth="1"/>
    <col min="10" max="16384" width="9" style="2513"/>
  </cols>
  <sheetData>
    <row r="1" spans="1:11" ht="16.5">
      <c r="A1" s="2512" t="s">
        <v>665</v>
      </c>
      <c r="B1" s="2512">
        <f>SUM(B14:B23)</f>
        <v>25739.82</v>
      </c>
      <c r="C1" s="2686"/>
      <c r="D1" s="2686"/>
      <c r="E1" s="2686"/>
      <c r="F1" s="2686"/>
      <c r="G1" s="2687"/>
      <c r="H1" s="2688"/>
      <c r="I1" s="2688"/>
      <c r="J1" s="2688"/>
      <c r="K1" s="2688"/>
    </row>
    <row r="2" spans="1:11" ht="16.5">
      <c r="A2" s="2512" t="s">
        <v>653</v>
      </c>
      <c r="B2" s="2512">
        <f>SUM(C14:C23)</f>
        <v>74231.63</v>
      </c>
      <c r="C2" s="2686"/>
      <c r="D2" s="2686"/>
      <c r="E2" s="2686"/>
      <c r="F2" s="2686"/>
      <c r="G2" s="2687"/>
      <c r="H2" s="2688"/>
      <c r="I2" s="2688"/>
      <c r="J2" s="2688"/>
      <c r="K2" s="2688"/>
    </row>
    <row r="3" spans="1:11" ht="16.5">
      <c r="A3" s="2512" t="s">
        <v>662</v>
      </c>
      <c r="B3" s="2514">
        <f>项目基本情况!D3</f>
        <v>44916</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11855</v>
      </c>
      <c r="C5" s="2512">
        <f ca="1">ROUND(B5*10000/$B$1,0)</f>
        <v>4606</v>
      </c>
      <c r="D5" s="2512">
        <f ca="1">ROUND(B5*10000/$B$2,0)</f>
        <v>1597</v>
      </c>
      <c r="E5" s="2686"/>
      <c r="F5" s="2687"/>
      <c r="G5" s="2687"/>
      <c r="H5" s="2688"/>
      <c r="I5" s="2688"/>
      <c r="J5" s="2688"/>
      <c r="K5" s="2688"/>
    </row>
    <row r="6" spans="1:11" ht="16.5">
      <c r="A6" s="2512" t="s">
        <v>656</v>
      </c>
      <c r="B6" s="2512">
        <f ca="1">SUM(G14:G23)</f>
        <v>11855</v>
      </c>
      <c r="C6" s="2512">
        <f ca="1">ROUND(B6*10000/$B$1,0)</f>
        <v>4606</v>
      </c>
      <c r="D6" s="2512">
        <f ca="1">ROUND(B6*10000/$B$2,0)</f>
        <v>1597</v>
      </c>
      <c r="E6" s="2686"/>
      <c r="F6" s="2687"/>
      <c r="G6" s="2687"/>
      <c r="H6" s="2688"/>
      <c r="I6" s="2688"/>
      <c r="J6" s="2688"/>
      <c r="K6" s="2688"/>
    </row>
    <row r="7" spans="1:11" ht="16.5">
      <c r="A7" s="2512" t="s">
        <v>664</v>
      </c>
      <c r="B7" s="2512">
        <f>SUM(H14:H23)</f>
        <v>0</v>
      </c>
      <c r="C7" s="2512">
        <f>ROUND(B7*10000/$B$1,0)</f>
        <v>0</v>
      </c>
      <c r="D7" s="2512">
        <f>ROUND(B7*10000/$B$2,0)</f>
        <v>0</v>
      </c>
      <c r="E7" s="2686"/>
      <c r="F7" s="2687"/>
      <c r="G7" s="2687"/>
      <c r="H7" s="2688"/>
      <c r="I7" s="2688"/>
      <c r="J7" s="2688"/>
      <c r="K7" s="2688"/>
    </row>
    <row r="8" spans="1:11" ht="16.5">
      <c r="A8" s="2512" t="s">
        <v>587</v>
      </c>
      <c r="B8" s="2512">
        <f>SUM(I14:I23)</f>
        <v>0</v>
      </c>
      <c r="C8" s="2512">
        <f>ROUND(B8*10000/$B$1,0)</f>
        <v>0</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20">
        <f>ROUND(B1*(E10*365/G10)/10000,0)</f>
        <v>78292</v>
      </c>
      <c r="C10" s="3444" t="s">
        <v>3358</v>
      </c>
      <c r="D10" s="3444" t="s">
        <v>3359</v>
      </c>
      <c r="E10" s="3444">
        <v>5</v>
      </c>
      <c r="F10" s="3445" t="s">
        <v>3360</v>
      </c>
      <c r="G10" s="3446">
        <v>0.06</v>
      </c>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'数据-汇总表'!E3</f>
        <v>25739.82</v>
      </c>
      <c r="C14" s="2518">
        <f>'数据-汇总表'!D3</f>
        <v>74231.63</v>
      </c>
      <c r="D14" s="2518">
        <f ca="1">结果表!H101</f>
        <v>11855</v>
      </c>
      <c r="E14" s="2518">
        <f ca="1">ROUND(D14*10000/B14,0)</f>
        <v>4606</v>
      </c>
      <c r="F14" s="2518">
        <f ca="1">ROUND(D14*10000/C14,0)</f>
        <v>1597</v>
      </c>
      <c r="G14" s="2518">
        <f ca="1">D14</f>
        <v>11855</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100" zoomScale="85" zoomScaleNormal="100" zoomScaleSheetLayoutView="85" zoomScalePageLayoutView="80" workbookViewId="0">
      <selection activeCell="G26" sqref="G2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3</v>
      </c>
      <c r="D1" s="1747"/>
      <c r="E1" s="1747"/>
      <c r="F1" s="1749" t="s">
        <v>1263</v>
      </c>
      <c r="G1" s="1561" t="s">
        <v>3398</v>
      </c>
      <c r="H1" s="1750" t="str">
        <f>IF(G1="现房","——","估价对象范围")</f>
        <v>——</v>
      </c>
      <c r="I1" s="1751" t="s">
        <v>3399</v>
      </c>
    </row>
    <row r="2" spans="1:12" ht="21.75" customHeight="1" thickBot="1">
      <c r="A2" s="3613" t="str">
        <f>项目基本情况!S2</f>
        <v>北京市房地产</v>
      </c>
      <c r="B2" s="3614"/>
      <c r="C2" s="3614"/>
      <c r="D2" s="3614"/>
      <c r="E2" s="3614"/>
      <c r="F2" s="3614"/>
      <c r="G2" s="3614"/>
      <c r="H2" s="3614"/>
      <c r="I2" s="3615"/>
    </row>
    <row r="3" spans="1:12" ht="12.75">
      <c r="A3" s="3617" t="s">
        <v>1264</v>
      </c>
      <c r="B3" s="3618"/>
      <c r="C3" s="3618"/>
      <c r="D3" s="3618"/>
      <c r="E3" s="3618"/>
      <c r="F3" s="3618"/>
      <c r="G3" s="3618"/>
      <c r="H3" s="3618"/>
      <c r="I3" s="3618"/>
    </row>
    <row r="4" spans="1:12" ht="14.25">
      <c r="A4" s="1754" t="s">
        <v>1265</v>
      </c>
      <c r="B4" s="1755" t="s">
        <v>1266</v>
      </c>
      <c r="C4" s="1756" t="s">
        <v>3400</v>
      </c>
      <c r="D4" s="1756" t="s">
        <v>3377</v>
      </c>
      <c r="E4" s="3622" t="s">
        <v>1267</v>
      </c>
      <c r="F4" s="3623"/>
      <c r="G4" s="3623"/>
      <c r="H4" s="3623"/>
      <c r="I4" s="3624"/>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1" t="s">
        <v>1268</v>
      </c>
      <c r="B5" s="3616">
        <v>25</v>
      </c>
      <c r="C5" s="3619"/>
      <c r="D5" s="3607"/>
      <c r="E5" s="131" t="s">
        <v>1269</v>
      </c>
      <c r="F5" s="1757"/>
      <c r="G5" s="1757"/>
      <c r="H5" s="1757"/>
      <c r="I5" s="1373"/>
    </row>
    <row r="6" spans="1:12" ht="12.75">
      <c r="A6" s="3561"/>
      <c r="B6" s="3616"/>
      <c r="C6" s="3621"/>
      <c r="D6" s="3607"/>
      <c r="E6" s="131" t="s">
        <v>1270</v>
      </c>
      <c r="F6" s="1757"/>
      <c r="G6" s="1757"/>
      <c r="H6" s="1757"/>
      <c r="I6" s="1373"/>
    </row>
    <row r="7" spans="1:12" ht="12.75">
      <c r="A7" s="3561"/>
      <c r="B7" s="3616"/>
      <c r="C7" s="3620"/>
      <c r="D7" s="3607"/>
      <c r="E7" s="131" t="s">
        <v>1271</v>
      </c>
      <c r="F7" s="1757"/>
      <c r="G7" s="1757"/>
      <c r="H7" s="1757"/>
      <c r="I7" s="1373"/>
    </row>
    <row r="8" spans="1:12" ht="12.75">
      <c r="A8" s="3561" t="s">
        <v>1272</v>
      </c>
      <c r="B8" s="3616">
        <v>15</v>
      </c>
      <c r="C8" s="3619"/>
      <c r="D8" s="3607"/>
      <c r="E8" s="131" t="s">
        <v>1273</v>
      </c>
      <c r="F8" s="1757"/>
      <c r="G8" s="1757"/>
      <c r="H8" s="1757"/>
      <c r="I8" s="1373"/>
    </row>
    <row r="9" spans="1:12" ht="12.75">
      <c r="A9" s="3561"/>
      <c r="B9" s="3616"/>
      <c r="C9" s="3620"/>
      <c r="D9" s="3607"/>
      <c r="E9" s="131" t="s">
        <v>1274</v>
      </c>
      <c r="F9" s="1757"/>
      <c r="G9" s="1757"/>
      <c r="H9" s="1757"/>
      <c r="I9" s="1373"/>
    </row>
    <row r="10" spans="1:12" ht="12.75">
      <c r="A10" s="3561" t="s">
        <v>1275</v>
      </c>
      <c r="B10" s="3616">
        <v>15</v>
      </c>
      <c r="C10" s="3619"/>
      <c r="D10" s="3607"/>
      <c r="E10" s="131" t="s">
        <v>1276</v>
      </c>
      <c r="F10" s="1757"/>
      <c r="G10" s="1757"/>
      <c r="H10" s="1757"/>
      <c r="I10" s="1373"/>
    </row>
    <row r="11" spans="1:12" ht="12.75">
      <c r="A11" s="3561"/>
      <c r="B11" s="3616"/>
      <c r="C11" s="3620"/>
      <c r="D11" s="3607"/>
      <c r="E11" s="131" t="s">
        <v>1277</v>
      </c>
      <c r="F11" s="1757"/>
      <c r="G11" s="1757"/>
      <c r="H11" s="1757"/>
      <c r="I11" s="1373"/>
    </row>
    <row r="12" spans="1:12" ht="12.75">
      <c r="A12" s="3561" t="s">
        <v>1278</v>
      </c>
      <c r="B12" s="3616">
        <v>15</v>
      </c>
      <c r="C12" s="3619"/>
      <c r="D12" s="3607"/>
      <c r="E12" s="131" t="s">
        <v>1279</v>
      </c>
      <c r="F12" s="1757"/>
      <c r="G12" s="1757"/>
      <c r="H12" s="1757"/>
      <c r="I12" s="1373"/>
    </row>
    <row r="13" spans="1:12" ht="12.75">
      <c r="A13" s="3561"/>
      <c r="B13" s="3616"/>
      <c r="C13" s="3620"/>
      <c r="D13" s="3607"/>
      <c r="E13" s="131" t="s">
        <v>1280</v>
      </c>
      <c r="F13" s="1757"/>
      <c r="G13" s="1757"/>
      <c r="H13" s="1757"/>
      <c r="I13" s="1373"/>
    </row>
    <row r="14" spans="1:12" ht="12.75">
      <c r="A14" s="3561" t="s">
        <v>1281</v>
      </c>
      <c r="B14" s="3616">
        <v>30</v>
      </c>
      <c r="C14" s="3619">
        <v>45</v>
      </c>
      <c r="D14" s="3607">
        <v>55</v>
      </c>
      <c r="E14" s="131" t="s">
        <v>1282</v>
      </c>
      <c r="F14" s="1757"/>
      <c r="G14" s="1757"/>
      <c r="H14" s="1757"/>
      <c r="I14" s="1373"/>
    </row>
    <row r="15" spans="1:12" ht="12.75">
      <c r="A15" s="3561"/>
      <c r="B15" s="3616"/>
      <c r="C15" s="3621"/>
      <c r="D15" s="3607"/>
      <c r="E15" s="131" t="s">
        <v>1283</v>
      </c>
      <c r="F15" s="1757"/>
      <c r="G15" s="1757"/>
      <c r="H15" s="1757"/>
      <c r="I15" s="1373"/>
    </row>
    <row r="16" spans="1:12" ht="12.75">
      <c r="A16" s="3561"/>
      <c r="B16" s="3616"/>
      <c r="C16" s="3620"/>
      <c r="D16" s="3607"/>
      <c r="E16" s="131" t="s">
        <v>1284</v>
      </c>
      <c r="F16" s="1757"/>
      <c r="G16" s="1757"/>
      <c r="H16" s="1757"/>
      <c r="I16" s="1373"/>
    </row>
    <row r="17" spans="1:36" ht="15">
      <c r="A17" s="1758" t="s">
        <v>1285</v>
      </c>
      <c r="B17" s="56"/>
      <c r="C17" s="132">
        <f>SUM(C5:C16)</f>
        <v>45</v>
      </c>
      <c r="D17" s="132">
        <f>SUM(D5:D16)</f>
        <v>55</v>
      </c>
      <c r="E17" s="129"/>
      <c r="F17" s="129"/>
      <c r="G17" s="129"/>
      <c r="H17" s="129"/>
      <c r="I17" s="129"/>
      <c r="K17" s="302"/>
      <c r="L17" s="302" t="s">
        <v>1286</v>
      </c>
      <c r="M17" s="302" t="s">
        <v>1287</v>
      </c>
    </row>
    <row r="18" spans="1:36" ht="32.1" customHeight="1" thickBot="1">
      <c r="A18" s="1759" t="s">
        <v>1288</v>
      </c>
      <c r="B18" s="1760"/>
      <c r="C18" s="133">
        <f>ROUND(C17/SUM(C17:D17),2)</f>
        <v>0.45</v>
      </c>
      <c r="D18" s="133">
        <f>1-C18</f>
        <v>0.55000000000000004</v>
      </c>
      <c r="E18" s="3638" t="s">
        <v>2131</v>
      </c>
      <c r="F18" s="3639"/>
      <c r="G18" s="3639"/>
      <c r="H18" s="3639"/>
      <c r="I18" s="3639"/>
      <c r="K18" s="302" t="s">
        <v>1289</v>
      </c>
      <c r="L18" s="302">
        <f>IF(C1="",'数据-汇总表'!E3,SUMIF(项目类型,C1,'数据-汇总表'!E17:E26)+SUMIF(项目类型,C1,'数据-汇总表'!I17:I26))</f>
        <v>25739.82</v>
      </c>
      <c r="M18" s="302">
        <f>IF(C1="",'数据-汇总表'!E3,SUMIF(项目类型,C1,'数据-汇总表'!E17:E26))</f>
        <v>25739.82</v>
      </c>
    </row>
    <row r="19" spans="1:36" ht="15">
      <c r="A19" s="1761" t="s">
        <v>1290</v>
      </c>
      <c r="B19" s="1762" t="s">
        <v>1291</v>
      </c>
      <c r="C19" s="134">
        <f ca="1">SUMIF(INDIRECT("'"&amp;C4&amp;"'"&amp;"!A:A"),结果表!B19,INDIRECT("'"&amp;C4&amp;"'"&amp;"!B:B"))</f>
        <v>16527</v>
      </c>
      <c r="D19" s="135">
        <f ca="1">SUMIF(INDIRECT("'"&amp;D4&amp;"'"&amp;"!A:A"),结果表!B19,INDIRECT("'"&amp;D4&amp;"'"&amp;"!B:B"))</f>
        <v>8032</v>
      </c>
      <c r="E19" s="1761" t="s">
        <v>1292</v>
      </c>
      <c r="F19" s="1762" t="s">
        <v>1291</v>
      </c>
      <c r="G19" s="136">
        <f ca="1">ROUND(C19*$C$18+D19*$D$18,0)</f>
        <v>11855</v>
      </c>
      <c r="H19" s="1763" t="s">
        <v>1293</v>
      </c>
      <c r="I19" s="129"/>
      <c r="K19" s="302" t="s">
        <v>1294</v>
      </c>
      <c r="L19" s="302">
        <f>IF(C1="",'数据-汇总表'!D3,SUMIF(项目类型,C1,'数据-汇总表'!D17:D26)+SUMIF(项目类型,C1,'数据-汇总表'!H17:H27))</f>
        <v>74231.63</v>
      </c>
      <c r="M19" s="302">
        <f>IF(C1="",'数据-汇总表'!D3,SUMIF(项目类型,C1,'数据-汇总表'!D17:D26))</f>
        <v>74231.63</v>
      </c>
    </row>
    <row r="20" spans="1:36" ht="15">
      <c r="A20" s="1764"/>
      <c r="B20" s="1026" t="s">
        <v>1295</v>
      </c>
      <c r="C20" s="137">
        <f ca="1">SUMIF(INDIRECT("'"&amp;C4&amp;"'"&amp;"!A:A"),结果表!B20,INDIRECT("'"&amp;C4&amp;"'"&amp;"!B:B"))</f>
        <v>6421</v>
      </c>
      <c r="D20" s="138">
        <f ca="1">SUMIF(INDIRECT("'"&amp;D4&amp;"'"&amp;"!A:A"),结果表!B20,INDIRECT("'"&amp;D4&amp;"'"&amp;"!B:B"))</f>
        <v>3120</v>
      </c>
      <c r="E20" s="1764"/>
      <c r="F20" s="1026" t="s">
        <v>1295</v>
      </c>
      <c r="G20" s="139">
        <f ca="1">ROUND(C20*$C$18+D20*$D$18,0)</f>
        <v>4605</v>
      </c>
      <c r="H20" s="808" t="s">
        <v>1296</v>
      </c>
      <c r="I20" s="129"/>
    </row>
    <row r="21" spans="1:36" ht="15" customHeight="1" thickBot="1">
      <c r="A21" s="828"/>
      <c r="B21" s="1765" t="s">
        <v>1297</v>
      </c>
      <c r="C21" s="719">
        <f ca="1">ROUND(C19*10000/L19,0)</f>
        <v>2226</v>
      </c>
      <c r="D21" s="720">
        <f ca="1">ROUND(D19*10000/L19,0)</f>
        <v>1082</v>
      </c>
      <c r="E21" s="828"/>
      <c r="F21" s="1765" t="s">
        <v>1297</v>
      </c>
      <c r="G21" s="140">
        <f ca="1">ROUND(G19*10000/L19,0)</f>
        <v>1597</v>
      </c>
      <c r="H21" s="1766" t="s">
        <v>1296</v>
      </c>
      <c r="I21" s="129"/>
    </row>
    <row r="22" spans="1:36" ht="15" thickBot="1">
      <c r="A22" s="1688" t="s">
        <v>1298</v>
      </c>
      <c r="B22" s="1767"/>
      <c r="C22" s="1768"/>
      <c r="D22" s="721">
        <f ca="1">IF(C19&lt;D19,D19/C19-1,C19/D19-1)</f>
        <v>1.0576444223107568</v>
      </c>
      <c r="E22" s="129"/>
      <c r="F22" s="129"/>
      <c r="G22" s="129"/>
      <c r="H22" s="129"/>
      <c r="I22" s="129"/>
    </row>
    <row r="23" spans="1:36" ht="13.5" thickBot="1">
      <c r="A23" s="1747"/>
      <c r="B23" s="1747"/>
      <c r="C23" s="1747"/>
      <c r="D23" s="1747"/>
      <c r="E23" s="129"/>
      <c r="F23" s="129"/>
      <c r="G23" s="129"/>
      <c r="H23" s="129"/>
      <c r="I23" s="129"/>
    </row>
    <row r="24" spans="1:36" ht="14.25">
      <c r="A24" s="3631" t="s">
        <v>1299</v>
      </c>
      <c r="B24" s="1762" t="s">
        <v>1291</v>
      </c>
      <c r="C24" s="136">
        <f>IF(B30=0,0,D30)</f>
        <v>0</v>
      </c>
      <c r="D24" s="1769"/>
      <c r="E24" s="129"/>
      <c r="F24" s="129"/>
      <c r="G24" s="129"/>
      <c r="H24" s="129"/>
      <c r="I24" s="129"/>
    </row>
    <row r="25" spans="1:36" ht="14.25">
      <c r="A25" s="3632"/>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11855</v>
      </c>
      <c r="D32" s="1775" t="s">
        <v>3406</v>
      </c>
      <c r="E32" s="129"/>
      <c r="F32" s="129"/>
      <c r="G32" s="129"/>
      <c r="H32" s="129"/>
      <c r="I32" s="129"/>
    </row>
    <row r="33" spans="1:15" ht="15">
      <c r="A33" s="786" t="s">
        <v>1306</v>
      </c>
      <c r="B33" s="1776"/>
      <c r="C33" s="1777" t="s">
        <v>3407</v>
      </c>
      <c r="D33" s="1778" t="s">
        <v>3400</v>
      </c>
      <c r="E33" s="1779" t="s">
        <v>1307</v>
      </c>
      <c r="F33" s="1780" t="str">
        <f>IF(D32="楼面单价","取值（单价）","取值（总价）")</f>
        <v>取值（总价）</v>
      </c>
      <c r="G33" s="129"/>
      <c r="H33" s="129"/>
      <c r="I33" s="129"/>
    </row>
    <row r="34" spans="1:15" ht="15">
      <c r="A34" s="1781"/>
      <c r="B34" s="1782" t="s">
        <v>1308</v>
      </c>
      <c r="C34" s="148">
        <f ca="1">IF(C33="自定义",F34,C32-C35)</f>
        <v>6674</v>
      </c>
      <c r="D34" s="861">
        <f ca="1">IF(C33="自定义",ROUND(C34/C32,3),IF(C33="收益比率",SUMIF(INDIRECT("'"&amp;D33&amp;"'"&amp;"!b:b"),"土地收益比率",INDIRECT("'"&amp;D33&amp;"'"&amp;"!c:c")),SUMIF(INDIRECT("'"&amp;D33&amp;"'"&amp;"!b:b"),"土地成本比率",INDIRECT("'"&amp;D33&amp;"'"&amp;"!c:c"))))</f>
        <v>0.56299999999999994</v>
      </c>
      <c r="E34" s="1783" t="s">
        <v>1309</v>
      </c>
      <c r="F34" s="1330"/>
      <c r="G34" s="129"/>
      <c r="H34" s="129"/>
      <c r="I34" s="129"/>
    </row>
    <row r="35" spans="1:15" ht="15.75" thickBot="1">
      <c r="A35" s="1784"/>
      <c r="B35" s="1785" t="s">
        <v>1310</v>
      </c>
      <c r="C35" s="1170">
        <f ca="1">IF(C33="自定义",F35,ROUND(C32*D35,0))</f>
        <v>5181</v>
      </c>
      <c r="D35" s="1171">
        <f ca="1">IF(C33="自定义",ROUND(C35/C32,3),IF(C33="收益比率",SUMIF(INDIRECT("'"&amp;D33&amp;"'"&amp;"!b:b"),"建筑物收益比率",INDIRECT("'"&amp;D33&amp;"'"&amp;"!c:c")),SUMIF(INDIRECT("'"&amp;D33&amp;"'"&amp;"!b:b"),"建筑物成本比率",INDIRECT("'"&amp;D33&amp;"'"&amp;"!c:c"))))</f>
        <v>0.437</v>
      </c>
      <c r="E35" s="1786" t="s">
        <v>1311</v>
      </c>
      <c r="F35" s="154"/>
      <c r="G35" s="129"/>
      <c r="H35" s="129"/>
      <c r="I35" s="129"/>
    </row>
    <row r="36" spans="1:15" ht="15.75" thickBot="1">
      <c r="A36" s="3608" t="s">
        <v>1312</v>
      </c>
      <c r="B36" s="1787" t="s">
        <v>1313</v>
      </c>
      <c r="C36" s="145"/>
      <c r="D36" s="1788"/>
      <c r="E36" s="1789"/>
      <c r="F36" s="1790"/>
      <c r="G36" s="129"/>
      <c r="H36" s="129"/>
      <c r="I36" s="129"/>
    </row>
    <row r="37" spans="1:15" ht="15.75" thickBot="1">
      <c r="A37" s="3609"/>
      <c r="B37" s="1674" t="s">
        <v>1314</v>
      </c>
      <c r="C37" s="147"/>
      <c r="D37" s="1139"/>
      <c r="E37" s="1139"/>
      <c r="F37" s="1790"/>
      <c r="G37" s="129"/>
      <c r="H37" s="129"/>
      <c r="I37" s="129"/>
    </row>
    <row r="38" spans="1:15" ht="15.75" thickBot="1">
      <c r="A38" s="3610"/>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28" t="s">
        <v>1326</v>
      </c>
      <c r="B45" s="3629"/>
      <c r="C45" s="3630"/>
      <c r="D45" s="155">
        <f ca="1">ROUND(H101*F45,0)</f>
        <v>11855</v>
      </c>
      <c r="E45" s="156" t="s">
        <v>1327</v>
      </c>
      <c r="F45" s="157">
        <v>1</v>
      </c>
      <c r="G45" s="158" t="s">
        <v>1328</v>
      </c>
      <c r="H45" s="129"/>
      <c r="I45" s="129"/>
      <c r="J45" s="3548" t="s">
        <v>1329</v>
      </c>
      <c r="K45" s="3548"/>
      <c r="L45" s="3548"/>
      <c r="M45" s="3548"/>
      <c r="N45" s="3548"/>
      <c r="O45" s="3548"/>
    </row>
    <row r="46" spans="1:15" ht="14.25" customHeight="1">
      <c r="A46" s="3625" t="s">
        <v>1330</v>
      </c>
      <c r="B46" s="3626"/>
      <c r="C46" s="3626"/>
      <c r="D46" s="3626"/>
      <c r="E46" s="3626"/>
      <c r="F46" s="3626"/>
      <c r="G46" s="3627"/>
      <c r="H46" s="1806"/>
      <c r="I46" s="159"/>
      <c r="J46" s="2523">
        <v>1</v>
      </c>
      <c r="K46" s="3549" t="s">
        <v>1331</v>
      </c>
      <c r="L46" s="3549"/>
      <c r="M46" s="3550"/>
      <c r="N46" s="3550"/>
      <c r="O46" s="3550"/>
    </row>
    <row r="47" spans="1:15" ht="12" customHeight="1">
      <c r="A47" s="160" t="s">
        <v>1332</v>
      </c>
      <c r="B47" s="161"/>
      <c r="C47" s="162"/>
      <c r="D47" s="1087" t="s">
        <v>1333</v>
      </c>
      <c r="E47" s="302" t="s">
        <v>1334</v>
      </c>
      <c r="F47" s="163" t="s">
        <v>1335</v>
      </c>
      <c r="G47" s="2546" t="s">
        <v>1336</v>
      </c>
      <c r="H47" s="2547"/>
      <c r="I47" s="159"/>
      <c r="J47" s="2523">
        <v>2</v>
      </c>
      <c r="K47" s="3549" t="s">
        <v>1337</v>
      </c>
      <c r="L47" s="3549"/>
      <c r="M47" s="3551">
        <f>'数据-取费表'!B2</f>
        <v>44916</v>
      </c>
      <c r="N47" s="3551"/>
      <c r="O47" s="3551"/>
    </row>
    <row r="48" spans="1:15" ht="25.5">
      <c r="A48" s="3611" t="s">
        <v>1338</v>
      </c>
      <c r="B48" s="3612"/>
      <c r="C48" s="3612"/>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549" t="s">
        <v>1340</v>
      </c>
      <c r="L48" s="3549"/>
      <c r="M48" s="3552">
        <f ca="1">H101</f>
        <v>11855</v>
      </c>
      <c r="N48" s="3552"/>
      <c r="O48" s="3552"/>
    </row>
    <row r="49" spans="1:35" ht="25.5" customHeight="1">
      <c r="A49" s="2333" t="s">
        <v>1341</v>
      </c>
      <c r="B49" s="3597" t="s">
        <v>1342</v>
      </c>
      <c r="C49" s="3597"/>
      <c r="D49" s="1590">
        <v>0</v>
      </c>
      <c r="E49" s="324" t="s">
        <v>1343</v>
      </c>
      <c r="F49" s="2424" t="s">
        <v>28</v>
      </c>
      <c r="G49" s="3580"/>
      <c r="H49" s="2310" t="s">
        <v>2134</v>
      </c>
      <c r="I49" s="2311"/>
      <c r="J49" s="2523">
        <v>4</v>
      </c>
      <c r="K49" s="3549" t="str">
        <f>IF(项目基本情况!E8="房地产抵押价值","房地产抵押价值","抵押担保权已注销时的房地产抵押价值")</f>
        <v>房地产抵押价值</v>
      </c>
      <c r="L49" s="3549"/>
      <c r="M49" s="3552">
        <f ca="1">IF(项目基本情况!E8="房地产抵押价值",H107,H109)</f>
        <v>11855</v>
      </c>
      <c r="N49" s="3552"/>
      <c r="O49" s="3552"/>
    </row>
    <row r="50" spans="1:35" ht="25.5" customHeight="1">
      <c r="A50" s="2551"/>
      <c r="B50" s="3597" t="s">
        <v>1344</v>
      </c>
      <c r="C50" s="3597"/>
      <c r="D50" s="2552"/>
      <c r="E50" s="332"/>
      <c r="F50" s="2424"/>
      <c r="G50" s="3581"/>
      <c r="H50" s="2312" t="s">
        <v>2135</v>
      </c>
      <c r="I50" s="2311"/>
      <c r="J50" s="3548" t="s">
        <v>1345</v>
      </c>
      <c r="K50" s="3548"/>
      <c r="L50" s="3548"/>
      <c r="M50" s="3548"/>
      <c r="N50" s="3548"/>
      <c r="O50" s="3548"/>
    </row>
    <row r="51" spans="1:35" ht="20.45" customHeight="1">
      <c r="A51" s="2553"/>
      <c r="B51" s="3597" t="s">
        <v>1346</v>
      </c>
      <c r="C51" s="3597"/>
      <c r="D51" s="1087"/>
      <c r="E51" s="327"/>
      <c r="F51" s="2424"/>
      <c r="G51" s="3582"/>
      <c r="H51" s="2312" t="s">
        <v>2136</v>
      </c>
      <c r="I51" s="2311"/>
      <c r="J51" s="2524" t="s">
        <v>1347</v>
      </c>
      <c r="K51" s="3549" t="s">
        <v>1348</v>
      </c>
      <c r="L51" s="3549"/>
      <c r="M51" s="2524" t="s">
        <v>1349</v>
      </c>
      <c r="N51" s="2524" t="s">
        <v>1350</v>
      </c>
      <c r="O51" s="2524" t="s">
        <v>1351</v>
      </c>
    </row>
    <row r="52" spans="1:35" ht="24" customHeight="1">
      <c r="A52" s="2335" t="s">
        <v>1352</v>
      </c>
      <c r="B52" s="3597" t="s">
        <v>1353</v>
      </c>
      <c r="C52" s="3597"/>
      <c r="D52" s="1087">
        <f ca="1">ROUND(D45*'数据-取费表'!B41/(1+'数据-取费表'!C42),0)</f>
        <v>621</v>
      </c>
      <c r="E52" s="2334" t="s">
        <v>1354</v>
      </c>
      <c r="F52" s="2554">
        <f>'数据-取费表'!B41</f>
        <v>5.5000000000000007E-2</v>
      </c>
      <c r="G52" s="2555"/>
      <c r="H52" s="2544"/>
      <c r="I52" s="1807"/>
      <c r="J52" s="2523">
        <v>1</v>
      </c>
      <c r="K52" s="3574" t="s">
        <v>1355</v>
      </c>
      <c r="L52" s="3574"/>
      <c r="M52" s="2525" t="b">
        <f>D48</f>
        <v>0</v>
      </c>
      <c r="N52" s="2523" t="str">
        <f>E48</f>
        <v>销售额×税（费）率</v>
      </c>
      <c r="O52" s="2526">
        <f>F48</f>
        <v>5.5000000000000007E-2</v>
      </c>
    </row>
    <row r="53" spans="1:35" ht="12" customHeight="1">
      <c r="A53" s="2335" t="s">
        <v>1356</v>
      </c>
      <c r="B53" s="3598" t="s">
        <v>2282</v>
      </c>
      <c r="C53" s="3599"/>
      <c r="D53" s="1087">
        <f ca="1">ROUND(D45*'数据-取费表'!B41/(1+'数据-取费表'!C42),0)</f>
        <v>621</v>
      </c>
      <c r="E53" s="2334" t="s">
        <v>1354</v>
      </c>
      <c r="F53" s="2554">
        <f>'数据-取费表'!B41</f>
        <v>5.5000000000000007E-2</v>
      </c>
      <c r="G53" s="2555"/>
      <c r="H53" s="2544"/>
      <c r="I53" s="1807"/>
      <c r="J53" s="2523">
        <v>2</v>
      </c>
      <c r="K53" s="3574" t="s">
        <v>1357</v>
      </c>
      <c r="L53" s="3574"/>
      <c r="M53" s="2525">
        <f t="shared" ref="M53:O54" ca="1" si="0">D55</f>
        <v>6</v>
      </c>
      <c r="N53" s="2523" t="str">
        <f t="shared" si="0"/>
        <v>销售额×税（费）率</v>
      </c>
      <c r="O53" s="2526" t="str">
        <f t="shared" si="0"/>
        <v>免征</v>
      </c>
    </row>
    <row r="54" spans="1:35" ht="12" customHeight="1">
      <c r="A54" s="2335" t="s">
        <v>1358</v>
      </c>
      <c r="B54" s="3598" t="s">
        <v>2283</v>
      </c>
      <c r="C54" s="3599"/>
      <c r="D54" s="1087">
        <f ca="1">C68</f>
        <v>621</v>
      </c>
      <c r="E54" s="327" t="s">
        <v>1359</v>
      </c>
      <c r="F54" s="2554">
        <f>'数据-取费表'!B41</f>
        <v>5.5000000000000007E-2</v>
      </c>
      <c r="G54" s="2555"/>
      <c r="H54" s="2556"/>
      <c r="I54" s="1807"/>
      <c r="J54" s="2523">
        <v>3</v>
      </c>
      <c r="K54" s="3574" t="s">
        <v>1360</v>
      </c>
      <c r="L54" s="3574"/>
      <c r="M54" s="2525">
        <f t="shared" ca="1" si="0"/>
        <v>6721</v>
      </c>
      <c r="N54" s="2523" t="str">
        <f t="shared" si="0"/>
        <v>增值额×税（费）率</v>
      </c>
      <c r="O54" s="2527" t="str">
        <f t="shared" si="0"/>
        <v>免征</v>
      </c>
    </row>
    <row r="55" spans="1:35" ht="24" customHeight="1">
      <c r="A55" s="3634" t="s">
        <v>1361</v>
      </c>
      <c r="B55" s="3612"/>
      <c r="C55" s="3612"/>
      <c r="D55" s="2324">
        <f ca="1">IF(H55="个人住宅",0,ROUND(D45*I55,0))</f>
        <v>6</v>
      </c>
      <c r="E55" s="2334" t="s">
        <v>1362</v>
      </c>
      <c r="F55" s="2554" t="str">
        <f>IF(H55="正常",I55,"免征")</f>
        <v>免征</v>
      </c>
      <c r="G55" s="2555"/>
      <c r="H55" s="2550"/>
      <c r="I55" s="165">
        <f>'数据-取费表'!B49</f>
        <v>5.0000000000000001E-4</v>
      </c>
      <c r="J55" s="2523">
        <f>IF(H59="非个人房产","",4)</f>
        <v>4</v>
      </c>
      <c r="K55" s="3574" t="str">
        <f>IF(H59="非个人房产","——","个人所得税")</f>
        <v>个人所得税</v>
      </c>
      <c r="L55" s="3574"/>
      <c r="M55" s="2528">
        <f ca="1">D59</f>
        <v>113</v>
      </c>
      <c r="N55" s="2040" t="str">
        <f>E59</f>
        <v>差额计税</v>
      </c>
      <c r="O55" s="2529">
        <f>F59</f>
        <v>0.01</v>
      </c>
    </row>
    <row r="56" spans="1:35" ht="24.75">
      <c r="A56" s="3634" t="s">
        <v>1363</v>
      </c>
      <c r="B56" s="3612"/>
      <c r="C56" s="3612"/>
      <c r="D56" s="2324">
        <f ca="1">IF(H56="个人住宅",D57,D58)</f>
        <v>6721</v>
      </c>
      <c r="E56" s="2334" t="s">
        <v>1364</v>
      </c>
      <c r="F56" s="2554" t="str">
        <f>IF(H56="正常",F58,"免征")</f>
        <v>免征</v>
      </c>
      <c r="G56" s="2557" t="s">
        <v>1365</v>
      </c>
      <c r="H56" s="2558"/>
      <c r="I56" s="1808"/>
      <c r="J56" s="2523" t="str">
        <f>IF(项目基本情况!K6="上海银行",IF(J55="",4,J55+1),"")</f>
        <v/>
      </c>
      <c r="K56" s="3555" t="str">
        <f>IF(项目基本情况!K6="上海银行","其他处置费用","")</f>
        <v/>
      </c>
      <c r="L56" s="3556"/>
      <c r="M56" s="2525" t="str">
        <f>IF(项目基本情况!K6="上海银行",M69,"")</f>
        <v/>
      </c>
      <c r="N56" s="3555" t="str">
        <f>IF(项目基本情况!K6="上海银行","包含处置中涉及的律师、诉讼、拍卖、评估等费用","")</f>
        <v/>
      </c>
      <c r="O56" s="3558"/>
    </row>
    <row r="57" spans="1:35" ht="12.75">
      <c r="A57" s="2335" t="s">
        <v>1341</v>
      </c>
      <c r="B57" s="3598" t="s">
        <v>1366</v>
      </c>
      <c r="C57" s="3599"/>
      <c r="D57" s="1590">
        <v>0</v>
      </c>
      <c r="E57" s="324" t="s">
        <v>1343</v>
      </c>
      <c r="F57" s="302"/>
      <c r="G57" s="2555"/>
      <c r="H57" s="2559"/>
      <c r="I57" s="1808"/>
      <c r="J57" s="3574">
        <f>IF(AND(J55="",J56=""),4,IF(项目基本情况!K6="上海银行",结果表!J56+1,结果表!J55+1))</f>
        <v>5</v>
      </c>
      <c r="K57" s="3574" t="s">
        <v>1367</v>
      </c>
      <c r="L57" s="2530" t="s">
        <v>1368</v>
      </c>
      <c r="M57" s="2531"/>
      <c r="N57" s="2532">
        <f ca="1">SUMIF(M52:M56,"&lt;9e307")</f>
        <v>6840</v>
      </c>
      <c r="O57" s="2533"/>
      <c r="P57" s="2690">
        <f ca="1">N57/M49</f>
        <v>0.57697174188106282</v>
      </c>
    </row>
    <row r="58" spans="1:35" ht="24.75">
      <c r="A58" s="2335" t="s">
        <v>1352</v>
      </c>
      <c r="B58" s="3598" t="s">
        <v>1369</v>
      </c>
      <c r="C58" s="3597"/>
      <c r="D58" s="2324">
        <f ca="1">IF(H58="转让取得",C81,C97)</f>
        <v>6721</v>
      </c>
      <c r="E58" s="2334" t="s">
        <v>1364</v>
      </c>
      <c r="F58" s="302" t="s">
        <v>28</v>
      </c>
      <c r="G58" s="2555"/>
      <c r="H58" s="2558"/>
      <c r="I58" s="1808"/>
      <c r="J58" s="3574"/>
      <c r="K58" s="3574"/>
      <c r="L58" s="2530" t="s">
        <v>1370</v>
      </c>
      <c r="M58" s="2534"/>
      <c r="N58" s="2535" t="str">
        <f ca="1">NUMBERSTRING(INT(N57*10000),2)&amp;"元整"</f>
        <v>陆仟捌佰肆拾万元整</v>
      </c>
      <c r="O58" s="2536"/>
    </row>
    <row r="59" spans="1:35" ht="24.75" thickBot="1">
      <c r="A59" s="3578" t="s">
        <v>1371</v>
      </c>
      <c r="B59" s="3579"/>
      <c r="C59" s="3579"/>
      <c r="D59" s="2560">
        <f ca="1">IF(H59="非个人房产","——",IF(H59="个人住宅（满五唯一有凭证）",0,IF(H59="个人其他（无凭证）",ROUND(D45*F59,0),ROUND(C67*F59,0))))</f>
        <v>113</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76">
        <f>J57+1</f>
        <v>6</v>
      </c>
      <c r="K59" s="3574" t="s">
        <v>1372</v>
      </c>
      <c r="L59" s="2523" t="s">
        <v>1368</v>
      </c>
      <c r="M59" s="2537"/>
      <c r="N59" s="2538">
        <f ca="1">M49-N57</f>
        <v>5015</v>
      </c>
      <c r="O59" s="2539"/>
    </row>
    <row r="60" spans="1:35" ht="12" customHeight="1">
      <c r="A60" s="1809"/>
      <c r="B60" s="1747"/>
      <c r="C60" s="1747"/>
      <c r="D60" s="1747"/>
      <c r="E60" s="1578"/>
      <c r="F60" s="1808"/>
      <c r="G60" s="1808"/>
      <c r="H60" s="1810"/>
      <c r="I60" s="129"/>
      <c r="J60" s="3577"/>
      <c r="K60" s="3574"/>
      <c r="L60" s="2530" t="s">
        <v>1370</v>
      </c>
      <c r="M60" s="2534"/>
      <c r="N60" s="2535" t="str">
        <f ca="1">NUMBERSTRING(INT(N59*10000),2)&amp;"元整"</f>
        <v>伍仟零壹拾伍万元整</v>
      </c>
      <c r="O60" s="2536"/>
    </row>
    <row r="61" spans="1:35" ht="13.5" thickBot="1">
      <c r="A61" s="3633" t="s">
        <v>1373</v>
      </c>
      <c r="B61" s="3633"/>
      <c r="C61" s="3633"/>
      <c r="D61" s="3633"/>
      <c r="E61" s="3633"/>
      <c r="F61" s="1808"/>
      <c r="G61" s="1808"/>
      <c r="H61" s="1810"/>
      <c r="I61" s="129"/>
      <c r="J61" s="2523">
        <f>J59+1</f>
        <v>7</v>
      </c>
      <c r="K61" s="3574" t="s">
        <v>1374</v>
      </c>
      <c r="L61" s="3574"/>
      <c r="M61" s="2540"/>
      <c r="N61" s="2541">
        <f ca="1">ROUND(N59*10000/'数据-汇总表'!E3,0)</f>
        <v>1948</v>
      </c>
      <c r="O61" s="2542"/>
    </row>
    <row r="62" spans="1:35" ht="12.75">
      <c r="A62" s="3593" t="s">
        <v>1375</v>
      </c>
      <c r="B62" s="3594"/>
      <c r="C62" s="2021"/>
      <c r="D62" s="2021" t="s">
        <v>1376</v>
      </c>
      <c r="E62" s="166" t="s">
        <v>1377</v>
      </c>
      <c r="F62" s="1808"/>
      <c r="G62" s="1808"/>
      <c r="H62" s="1810"/>
      <c r="I62" s="129"/>
    </row>
    <row r="63" spans="1:35" ht="12.75">
      <c r="A63" s="173" t="s">
        <v>330</v>
      </c>
      <c r="B63" s="167" t="s">
        <v>1378</v>
      </c>
      <c r="C63" s="2564">
        <f ca="1">ROUND((C64+C65)/(1+'数据-取费表'!C42),0)</f>
        <v>11290</v>
      </c>
      <c r="D63" s="167"/>
      <c r="E63" s="168"/>
      <c r="F63" s="1808"/>
      <c r="G63" s="1808"/>
      <c r="H63" s="1810"/>
      <c r="I63" s="129"/>
      <c r="J63" s="3557" t="s">
        <v>1379</v>
      </c>
      <c r="K63" s="1332" t="s">
        <v>1380</v>
      </c>
      <c r="L63" s="1332">
        <f ca="1">IF(M49&gt;10000,M49*0.5%,IF(AND(M49&gt;1000,M49&lt;=10000),M49*1%,IF(AND(M49&gt;100,M49&lt;=1000),M49*3%,IF(AND(M49&gt;10,M49&lt;=100),M49*5%,M49*8%))))</f>
        <v>59.274999999999999</v>
      </c>
      <c r="M63" s="302">
        <f ca="1">ROUND(L63,1)</f>
        <v>59.3</v>
      </c>
      <c r="N63" s="2543"/>
      <c r="Z63" s="1752"/>
      <c r="AI63" s="1753"/>
    </row>
    <row r="64" spans="1:35" ht="14.25" customHeight="1">
      <c r="A64" s="169" t="s">
        <v>325</v>
      </c>
      <c r="B64" s="170" t="s">
        <v>1381</v>
      </c>
      <c r="C64" s="2565">
        <f ca="1">D45</f>
        <v>11855</v>
      </c>
      <c r="D64" s="170" t="s">
        <v>26</v>
      </c>
      <c r="E64" s="172"/>
      <c r="F64" s="1808"/>
      <c r="G64" s="1808"/>
      <c r="H64" s="1810"/>
      <c r="I64" s="129"/>
      <c r="J64" s="3557"/>
      <c r="K64" s="1332" t="s">
        <v>1382</v>
      </c>
      <c r="L64" s="1332">
        <f ca="1">IF(M49&gt;2000,M49*0.5%,IF(AND(M49&gt;1000,M49&lt;=2000),M49*0.6%,IF(AND(M49&gt;500,M49&lt;=1000),M49*0.7%,IF(AND(M49&gt;200,M49&lt;=500),M49*0.8%,IF(AND(M49&gt;100,M49&lt;=200),M49*0.9%,IF(AND(M49&gt;50,M49&lt;=100),M49*1%,IF(AND(M49&gt;20,M49&lt;=50),M49*1.5%,IF(AND(M49&gt;10,M49&lt;=20),M49*2%,IF(AND(M49&gt;1,M49&lt;=10),M49*2.5%)))))))))</f>
        <v>59.274999999999999</v>
      </c>
      <c r="M64" s="302">
        <f t="shared" ref="M64:M65" ca="1" si="1">ROUND(L64,1)</f>
        <v>59.3</v>
      </c>
      <c r="N64" s="2544" t="s">
        <v>1383</v>
      </c>
      <c r="Z64" s="1752"/>
      <c r="AI64" s="1753"/>
    </row>
    <row r="65" spans="1:35" ht="14.25" customHeight="1">
      <c r="A65" s="169" t="s">
        <v>326</v>
      </c>
      <c r="B65" s="170" t="s">
        <v>1384</v>
      </c>
      <c r="C65" s="2566"/>
      <c r="D65" s="170"/>
      <c r="E65" s="172"/>
      <c r="F65" s="1808"/>
      <c r="G65" s="1808"/>
      <c r="H65" s="1810"/>
      <c r="I65" s="129"/>
      <c r="J65" s="3557"/>
      <c r="K65" s="1332" t="s">
        <v>1385</v>
      </c>
      <c r="L65" s="1332">
        <f ca="1">IF(M49&gt;1000,M49*0.1%,IF(AND(M49&gt;500,M49&lt;=1000),M49*0.5%,IF(AND(M49&gt;50,M49&lt;=500),M49*1%,IF(AND(M49&gt;1,M49&lt;=50),M49*1.5%))))</f>
        <v>11.855</v>
      </c>
      <c r="M65" s="302">
        <f t="shared" ca="1" si="1"/>
        <v>11.9</v>
      </c>
      <c r="N65" s="2544" t="s">
        <v>1383</v>
      </c>
      <c r="Z65" s="1752"/>
      <c r="AI65" s="1753"/>
    </row>
    <row r="66" spans="1:35" ht="14.25" customHeight="1">
      <c r="A66" s="173" t="s">
        <v>327</v>
      </c>
      <c r="B66" s="174" t="s">
        <v>1386</v>
      </c>
      <c r="C66" s="2567"/>
      <c r="D66" s="174" t="s">
        <v>26</v>
      </c>
      <c r="E66" s="1338" t="s">
        <v>671</v>
      </c>
      <c r="F66" s="1808"/>
      <c r="G66" s="1808"/>
      <c r="H66" s="1810"/>
      <c r="I66" s="129"/>
      <c r="J66" s="3557"/>
      <c r="K66" s="1332" t="s">
        <v>1387</v>
      </c>
      <c r="L66" s="1332">
        <f ca="1">M49*0.5%</f>
        <v>59.274999999999999</v>
      </c>
      <c r="M66" s="302">
        <f ca="1">IF(L66&gt;0.5,0.5,ROUND(L66,0))</f>
        <v>0.5</v>
      </c>
      <c r="N66" s="2544" t="s">
        <v>1388</v>
      </c>
      <c r="Z66" s="1752"/>
      <c r="AI66" s="1753"/>
    </row>
    <row r="67" spans="1:35" ht="14.25" customHeight="1">
      <c r="A67" s="173" t="s">
        <v>328</v>
      </c>
      <c r="B67" s="174" t="s">
        <v>1389</v>
      </c>
      <c r="C67" s="2568">
        <f ca="1">C63-C66</f>
        <v>11290</v>
      </c>
      <c r="D67" s="170" t="s">
        <v>26</v>
      </c>
      <c r="E67" s="172"/>
      <c r="F67" s="1808"/>
      <c r="G67" s="1808"/>
      <c r="H67" s="1810"/>
      <c r="I67" s="129"/>
      <c r="J67" s="3557"/>
      <c r="K67" s="1332" t="s">
        <v>1390</v>
      </c>
      <c r="L67" s="1332">
        <f ca="1">IF(M49&gt;=10000,(8.25+(M49-10000)*0.01%),IF(AND(M49&gt;=8000,M49&lt;10000),(7.85+(M49-8000)*0.02%),IF(AND(M49&gt;=5000,M49&lt;8000),(6.65+(M49-5000)*0.04%),IF(AND(M49&gt;=2000,M49&lt;5000),(4.25+(PM49-2000)*0.08%),IF(AND(M49&gt;=1000,M49&lt;2000),(2.75+(M49-1000)*0.15%),IF(AND(M49&gt;=100,M49&lt;1000),(0.5+(M49-100)*0.25%),IF(AND(M49&gt;0,M49&lt;100),M49*0.5%)))))))</f>
        <v>8.4354999999999993</v>
      </c>
      <c r="M67" s="302">
        <f ca="1">ROUND(L67*0.9,1)</f>
        <v>7.6</v>
      </c>
      <c r="N67" s="2543"/>
      <c r="Z67" s="1752"/>
      <c r="AI67" s="1753"/>
    </row>
    <row r="68" spans="1:35" ht="14.25" customHeight="1" thickBot="1">
      <c r="A68" s="176" t="s">
        <v>329</v>
      </c>
      <c r="B68" s="177" t="s">
        <v>1391</v>
      </c>
      <c r="C68" s="2569">
        <f ca="1">IF(C67&lt;=0,0,ROUND(C67*D68,0))</f>
        <v>621</v>
      </c>
      <c r="D68" s="2570">
        <f>'数据-取费表'!B41</f>
        <v>5.5000000000000007E-2</v>
      </c>
      <c r="E68" s="178"/>
      <c r="F68" s="1808"/>
      <c r="G68" s="1808"/>
      <c r="H68" s="1810"/>
      <c r="I68" s="129"/>
      <c r="J68" s="3557"/>
      <c r="K68" s="1332" t="s">
        <v>1392</v>
      </c>
      <c r="L68" s="1332">
        <f ca="1">IF(M49&gt;10000,M49*0.5%,IF(AND(M49&gt;5000,M49&lt;=10000),M49*1%,IF(AND(M49&gt;1000,M49&lt;=5000),M49*2%,IF(AND(M49&gt;200,M49&lt;=1000),M49*3%,M49*5%))))</f>
        <v>59.274999999999999</v>
      </c>
      <c r="M68" s="302">
        <f ca="1">ROUND(L68,1)</f>
        <v>59.3</v>
      </c>
      <c r="N68" s="2543"/>
      <c r="Z68" s="1752"/>
      <c r="AI68" s="1753"/>
    </row>
    <row r="69" spans="1:35" s="1772" customFormat="1" ht="16.5" customHeight="1">
      <c r="A69" s="1811"/>
      <c r="B69" s="1812"/>
      <c r="C69" s="1813"/>
      <c r="D69" s="1814"/>
      <c r="E69" s="1815"/>
      <c r="F69" s="1578"/>
      <c r="G69" s="1578"/>
      <c r="H69" s="1577"/>
      <c r="I69" s="1747"/>
      <c r="J69" s="3557"/>
      <c r="K69" s="1332" t="s">
        <v>1393</v>
      </c>
      <c r="L69" s="1332"/>
      <c r="M69" s="302">
        <f ca="1">ROUND(SUM(M63:M68),0)</f>
        <v>198</v>
      </c>
      <c r="N69" s="2545">
        <f ca="1">M69/M49</f>
        <v>1.6701813580767607E-2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1" t="s">
        <v>1394</v>
      </c>
      <c r="B70" s="3602"/>
      <c r="C70" s="3602"/>
      <c r="D70" s="3602"/>
      <c r="E70" s="3602"/>
      <c r="F70" s="3602"/>
      <c r="G70" s="3602"/>
      <c r="H70" s="3602"/>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3" t="s">
        <v>1375</v>
      </c>
      <c r="B71" s="3594"/>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11290</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56</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8" t="s">
        <v>1402</v>
      </c>
      <c r="F76" s="3597"/>
      <c r="G76" s="3597"/>
      <c r="H76" s="360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56</v>
      </c>
      <c r="D78" s="2577">
        <f>'数据-取费表'!B43</f>
        <v>5.000000000000001E-3</v>
      </c>
      <c r="E78" s="3590" t="s">
        <v>1406</v>
      </c>
      <c r="F78" s="3591"/>
      <c r="G78" s="3591"/>
      <c r="H78" s="3592"/>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11234</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200.60714285714286</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6721</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1" t="s">
        <v>1410</v>
      </c>
      <c r="B83" s="3602"/>
      <c r="C83" s="3602"/>
      <c r="D83" s="3602"/>
      <c r="E83" s="3602"/>
      <c r="F83" s="3602"/>
      <c r="G83" s="3602"/>
      <c r="H83" s="360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3" t="s">
        <v>1375</v>
      </c>
      <c r="B84" s="3594"/>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11290</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56</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2279</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59" t="s">
        <v>2129</v>
      </c>
      <c r="H90" s="3560"/>
      <c r="I90" s="1821"/>
      <c r="J90" s="2521" t="s">
        <v>2280</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90" t="s">
        <v>1419</v>
      </c>
      <c r="F91" s="3591"/>
      <c r="G91" s="359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90" t="s">
        <v>1422</v>
      </c>
      <c r="F92" s="3591"/>
      <c r="G92" s="3591"/>
      <c r="H92" s="3592"/>
      <c r="I92" s="1821"/>
      <c r="J92" s="2522" t="s">
        <v>2281</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56</v>
      </c>
      <c r="D93" s="2577">
        <f>'数据-取费表'!B43</f>
        <v>5.000000000000001E-3</v>
      </c>
      <c r="E93" s="3590" t="s">
        <v>1406</v>
      </c>
      <c r="F93" s="3591"/>
      <c r="G93" s="3591"/>
      <c r="H93" s="3592"/>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35" t="s">
        <v>1426</v>
      </c>
      <c r="F94" s="3636"/>
      <c r="G94" s="3636"/>
      <c r="H94" s="3637"/>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11234</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200.60714285714286</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6721</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0" t="s">
        <v>1428</v>
      </c>
      <c r="B100" s="3541"/>
      <c r="C100" s="3541"/>
      <c r="D100" s="3575"/>
      <c r="E100" s="3541" t="s">
        <v>1429</v>
      </c>
      <c r="F100" s="3541"/>
      <c r="G100" s="3541"/>
      <c r="H100" s="3575"/>
      <c r="I100" s="129"/>
    </row>
    <row r="101" spans="1:35" ht="18.75" customHeight="1">
      <c r="A101" s="3583" t="s">
        <v>1430</v>
      </c>
      <c r="B101" s="3584"/>
      <c r="C101" s="2585" t="str">
        <f>C4</f>
        <v>成本法</v>
      </c>
      <c r="D101" s="2586" t="str">
        <f>D4</f>
        <v>收益法</v>
      </c>
      <c r="E101" s="3553" t="s">
        <v>1431</v>
      </c>
      <c r="F101" s="3554"/>
      <c r="G101" s="1827" t="s">
        <v>1432</v>
      </c>
      <c r="H101" s="2595">
        <f ca="1">H118</f>
        <v>11855</v>
      </c>
      <c r="I101" s="129"/>
    </row>
    <row r="102" spans="1:35" ht="18.75" customHeight="1">
      <c r="A102" s="3585" t="s">
        <v>1433</v>
      </c>
      <c r="B102" s="2584" t="s">
        <v>1432</v>
      </c>
      <c r="C102" s="2585">
        <f ca="1">C19</f>
        <v>16527</v>
      </c>
      <c r="D102" s="2586">
        <f ca="1">D19</f>
        <v>8032</v>
      </c>
      <c r="E102" s="3553"/>
      <c r="F102" s="3554"/>
      <c r="G102" s="1827" t="s">
        <v>1434</v>
      </c>
      <c r="H102" s="2555">
        <f ca="1">I118</f>
        <v>4606</v>
      </c>
      <c r="I102" s="129"/>
    </row>
    <row r="103" spans="1:35" ht="42.75" customHeight="1">
      <c r="A103" s="3585"/>
      <c r="B103" s="2584" t="s">
        <v>1434</v>
      </c>
      <c r="C103" s="2587">
        <f ca="1">C20</f>
        <v>6421</v>
      </c>
      <c r="D103" s="2588">
        <f ca="1">D20</f>
        <v>3120</v>
      </c>
      <c r="E103" s="3546" t="s">
        <v>1435</v>
      </c>
      <c r="F103" s="3547"/>
      <c r="G103" s="1828" t="s">
        <v>1436</v>
      </c>
      <c r="H103" s="2595">
        <f>IF(D36="正常操作",H104+H105+H106,H105+H106)</f>
        <v>0</v>
      </c>
      <c r="I103" s="129"/>
    </row>
    <row r="104" spans="1:35" ht="18.75" customHeight="1">
      <c r="A104" s="3585" t="s">
        <v>1437</v>
      </c>
      <c r="B104" s="2589" t="s">
        <v>1432</v>
      </c>
      <c r="C104" s="2590">
        <f ca="1">H118</f>
        <v>11855</v>
      </c>
      <c r="D104" s="2591"/>
      <c r="E104" s="1674" t="s">
        <v>1438</v>
      </c>
      <c r="F104" s="1666"/>
      <c r="G104" s="1828" t="s">
        <v>1436</v>
      </c>
      <c r="H104" s="2596">
        <f>IF(D36="同一抵押权人同一抵押物续贷",C36&amp;"（续贷，未扣减，详见特别提示）",C36)</f>
        <v>0</v>
      </c>
      <c r="I104" s="129"/>
    </row>
    <row r="105" spans="1:35" ht="18.75" customHeight="1" thickBot="1">
      <c r="A105" s="3595"/>
      <c r="B105" s="2592" t="s">
        <v>1434</v>
      </c>
      <c r="C105" s="2593">
        <f ca="1">I118</f>
        <v>4606</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6" t="str">
        <f>IF(项目基本情况!E8="已注销","——","3.房地产抵押价值")</f>
        <v>3.房地产抵押价值</v>
      </c>
      <c r="F107" s="3554"/>
      <c r="G107" s="1827" t="s">
        <v>1432</v>
      </c>
      <c r="H107" s="2595">
        <f ca="1">IF(E107="——","——",H101-H103)</f>
        <v>11855</v>
      </c>
      <c r="I107" s="129"/>
    </row>
    <row r="108" spans="1:35" ht="18.75" customHeight="1">
      <c r="A108" s="129"/>
      <c r="B108" s="129"/>
      <c r="C108" s="129"/>
      <c r="D108" s="129"/>
      <c r="E108" s="3586"/>
      <c r="F108" s="3554"/>
      <c r="G108" s="1827" t="s">
        <v>1434</v>
      </c>
      <c r="H108" s="2555">
        <f ca="1">ROUND(H107*10000/'数据-汇总表'!E3,0)</f>
        <v>4606</v>
      </c>
      <c r="I108" s="129"/>
    </row>
    <row r="109" spans="1:35" ht="18.75" customHeight="1">
      <c r="A109" s="129"/>
      <c r="B109" s="129"/>
      <c r="C109" s="129"/>
      <c r="D109" s="129"/>
      <c r="E109" s="3586" t="str">
        <f>IF(项目基本情况!E8="已注销及未注销","4.抵押担保权已注销时的房地产抵押价值",IF(项目基本情况!E8="已注销","3.抵押担保权已注销时的房地产抵押价值","——"))</f>
        <v>——</v>
      </c>
      <c r="F109" s="3554"/>
      <c r="G109" s="1827" t="s">
        <v>1432</v>
      </c>
      <c r="H109" s="2598" t="str">
        <f>IF(E109="——","——",H101-H105-H106)</f>
        <v>——</v>
      </c>
      <c r="I109" s="129"/>
    </row>
    <row r="110" spans="1:35" ht="18.75" customHeight="1">
      <c r="A110" s="129"/>
      <c r="B110" s="129"/>
      <c r="C110" s="129"/>
      <c r="D110" s="129"/>
      <c r="E110" s="3586"/>
      <c r="F110" s="3554"/>
      <c r="G110" s="1827" t="s">
        <v>1434</v>
      </c>
      <c r="H110" s="2555" t="str">
        <f>IF(H109="——","——",ROUND(H109*10000/'数据-汇总表'!E3,0))</f>
        <v>——</v>
      </c>
      <c r="I110" s="129"/>
    </row>
    <row r="111" spans="1:35" ht="18.75" customHeight="1">
      <c r="A111" s="129"/>
      <c r="B111" s="129"/>
      <c r="C111" s="129"/>
      <c r="D111" s="129"/>
      <c r="E111" s="3587" t="str">
        <f>IF(项目基本情况!E9="抵押净值",IF(OR(项目基本情况!E8="已注销",项目基本情况!E8="房地产抵押价值"),"4.抵押净值","5.抵押净值"),"——")</f>
        <v>——</v>
      </c>
      <c r="F111" s="3573"/>
      <c r="G111" s="1827" t="s">
        <v>1432</v>
      </c>
      <c r="H111" s="2595" t="str">
        <f>IF(E111="——","——",N59)</f>
        <v>——</v>
      </c>
      <c r="I111" s="129"/>
    </row>
    <row r="112" spans="1:35" ht="18.75" customHeight="1" thickBot="1">
      <c r="A112" s="129"/>
      <c r="B112" s="129"/>
      <c r="C112" s="129"/>
      <c r="D112" s="129"/>
      <c r="E112" s="3588"/>
      <c r="F112" s="3589"/>
      <c r="G112" s="1830" t="s">
        <v>1434</v>
      </c>
      <c r="H112" s="2599" t="str">
        <f>IF(E111="——","——",N61)</f>
        <v>——</v>
      </c>
      <c r="I112" s="129"/>
    </row>
    <row r="113" spans="1:27" ht="18.75" customHeight="1">
      <c r="A113" s="129"/>
      <c r="B113" s="129"/>
      <c r="C113" s="129"/>
      <c r="D113" s="129"/>
      <c r="E113" s="3596" t="s">
        <v>1440</v>
      </c>
      <c r="F113" s="3596"/>
      <c r="G113" s="3596"/>
      <c r="H113" s="3596"/>
      <c r="I113" s="129"/>
    </row>
    <row r="114" spans="1:27" ht="3.75" customHeight="1">
      <c r="A114" s="1747"/>
      <c r="B114" s="1747"/>
      <c r="C114" s="1747"/>
      <c r="D114" s="1747"/>
      <c r="E114" s="1809"/>
      <c r="F114" s="1809"/>
      <c r="G114" s="1809"/>
      <c r="H114" s="1809"/>
      <c r="I114" s="1747"/>
    </row>
    <row r="115" spans="1:27" ht="18.75" customHeight="1">
      <c r="A115" s="3604" t="s">
        <v>1442</v>
      </c>
      <c r="B115" s="3605"/>
      <c r="C115" s="3605"/>
      <c r="D115" s="3605"/>
      <c r="E115" s="3605"/>
      <c r="F115" s="3605"/>
      <c r="G115" s="3605"/>
      <c r="H115" s="3605"/>
      <c r="I115" s="3606"/>
    </row>
    <row r="116" spans="1:27" ht="27" customHeight="1">
      <c r="A116" s="3561" t="s">
        <v>1443</v>
      </c>
      <c r="B116" s="3565" t="s">
        <v>1444</v>
      </c>
      <c r="C116" s="3565" t="s">
        <v>1445</v>
      </c>
      <c r="D116" s="3571" t="s">
        <v>1446</v>
      </c>
      <c r="E116" s="3572"/>
      <c r="F116" s="3603" t="s">
        <v>1447</v>
      </c>
      <c r="G116" s="3603"/>
      <c r="H116" s="3561" t="s">
        <v>1448</v>
      </c>
      <c r="I116" s="3561"/>
    </row>
    <row r="117" spans="1:27" ht="18.75" customHeight="1">
      <c r="A117" s="3561"/>
      <c r="B117" s="3566"/>
      <c r="C117" s="3566"/>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25739.82</v>
      </c>
      <c r="C118" s="2329">
        <f>M19</f>
        <v>74231.63</v>
      </c>
      <c r="D118" s="2329">
        <f ca="1">ROUND(IF(D32="总价",C34,E118*B118/10000),0)</f>
        <v>6674</v>
      </c>
      <c r="E118" s="2329">
        <f ca="1">ROUND(IF(C33="自定义",IF(D32="楼面单价",C34,D118*10000/B118),I118-G118),0)</f>
        <v>2593</v>
      </c>
      <c r="F118" s="2329">
        <f ca="1">ROUND(IF(D32="总价",C35,G118*B118/10000),0)</f>
        <v>5181</v>
      </c>
      <c r="G118" s="2329">
        <f ca="1">ROUND(IF(D32="楼面单价",C35,F118*10000/B118),0)</f>
        <v>2013</v>
      </c>
      <c r="H118" s="2329">
        <f ca="1">ROUND(IF(D32="总价",C32,I118*B118/10000),0)</f>
        <v>11855</v>
      </c>
      <c r="I118" s="2329">
        <f ca="1">ROUND(IF(D32="楼面单价",C32,H118*10000/B118),0)</f>
        <v>4606</v>
      </c>
    </row>
    <row r="119" spans="1:27" ht="18.75" customHeight="1">
      <c r="A119" s="3561" t="s">
        <v>1452</v>
      </c>
      <c r="B119" s="3561"/>
      <c r="C119" s="3561"/>
      <c r="D119" s="3567" t="str">
        <f ca="1">NUMBERSTRING(INT(D118*10000),2)&amp;"元整"</f>
        <v>陆仟陆佰柒拾肆万元整</v>
      </c>
      <c r="E119" s="3568"/>
      <c r="F119" s="3567" t="str">
        <f ca="1">NUMBERSTRING(INT(F118*10000),2)&amp;"元整"</f>
        <v>伍仟壹佰捌拾壹万元整</v>
      </c>
      <c r="G119" s="3568"/>
      <c r="H119" s="3567" t="str">
        <f ca="1">NUMBERSTRING(INT(H118*10000),2)&amp;"元整"</f>
        <v>壹亿壹仟捌佰伍拾伍万元整</v>
      </c>
      <c r="I119" s="3568"/>
    </row>
    <row r="120" spans="1:27" ht="18.75" customHeight="1">
      <c r="A120" s="3562" t="str">
        <f>IF(项目基本情况!B9="房地产市场价值","",MID(E103,3,LEN(E103)-2))</f>
        <v>估价师知悉的法定优先受偿款</v>
      </c>
      <c r="B120" s="3563"/>
      <c r="C120" s="3564"/>
      <c r="D120" s="3562">
        <f>H103</f>
        <v>0</v>
      </c>
      <c r="E120" s="3563"/>
      <c r="F120" s="3563"/>
      <c r="G120" s="3563"/>
      <c r="H120" s="3563"/>
      <c r="I120" s="3564"/>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67" t="s">
        <v>1452</v>
      </c>
      <c r="B121" s="3569"/>
      <c r="C121" s="3568"/>
      <c r="D121" s="3567" t="str">
        <f>IF(D120=0,"零元整",NUMBERSTRING(INT(D120*10000),2)&amp;"元整")</f>
        <v>零元整</v>
      </c>
      <c r="E121" s="3569"/>
      <c r="F121" s="3569"/>
      <c r="G121" s="3569"/>
      <c r="H121" s="3569"/>
      <c r="I121" s="3568"/>
      <c r="AA121" s="725"/>
    </row>
    <row r="122" spans="1:27" ht="18.75" customHeight="1">
      <c r="A122" s="3573" t="str">
        <f>IF(项目基本情况!B9="房地产市场价值","",MID(E107,3,LEN(E107)-2))</f>
        <v>房地产抵押价值</v>
      </c>
      <c r="B122" s="3573"/>
      <c r="C122" s="3573"/>
      <c r="D122" s="3562">
        <f ca="1">H107</f>
        <v>11855</v>
      </c>
      <c r="E122" s="3563"/>
      <c r="F122" s="3563"/>
      <c r="G122" s="3563"/>
      <c r="H122" s="3563"/>
      <c r="I122" s="3564"/>
      <c r="AA122" s="725"/>
    </row>
    <row r="123" spans="1:27" ht="18.75" customHeight="1">
      <c r="A123" s="3561" t="s">
        <v>1452</v>
      </c>
      <c r="B123" s="3561"/>
      <c r="C123" s="3561"/>
      <c r="D123" s="3567" t="str">
        <f ca="1">NUMBERSTRING(INT(D122*10000),2)&amp;"元整"</f>
        <v>壹亿壹仟捌佰伍拾伍万元整</v>
      </c>
      <c r="E123" s="3569"/>
      <c r="F123" s="3569"/>
      <c r="G123" s="3569"/>
      <c r="H123" s="3569"/>
      <c r="I123" s="3568"/>
      <c r="AA123" s="725"/>
    </row>
    <row r="124" spans="1:27" ht="18.75" customHeight="1">
      <c r="A124" s="3573" t="str">
        <f>IF(项目基本情况!B9="房地产市场价值","",MID(E109,3,LEN(E109)-2))</f>
        <v/>
      </c>
      <c r="B124" s="3573"/>
      <c r="C124" s="3573"/>
      <c r="D124" s="3562" t="str">
        <f>H109</f>
        <v>——</v>
      </c>
      <c r="E124" s="3563"/>
      <c r="F124" s="3563"/>
      <c r="G124" s="3563"/>
      <c r="H124" s="3563"/>
      <c r="I124" s="3564"/>
      <c r="AA124" s="725"/>
    </row>
    <row r="125" spans="1:27" ht="18.75" customHeight="1">
      <c r="A125" s="3561" t="s">
        <v>1452</v>
      </c>
      <c r="B125" s="3561"/>
      <c r="C125" s="3561"/>
      <c r="D125" s="3567" t="e">
        <f>NUMBERSTRING(INT(D124*10000),2)&amp;"元整"</f>
        <v>#VALUE!</v>
      </c>
      <c r="E125" s="3569"/>
      <c r="F125" s="3569"/>
      <c r="G125" s="3569"/>
      <c r="H125" s="3569"/>
      <c r="I125" s="3568"/>
      <c r="AA125" s="725"/>
    </row>
    <row r="126" spans="1:27" ht="18.75" customHeight="1">
      <c r="A126" s="3573" t="str">
        <f>IF(项目基本情况!B9="房地产市场价值","",MID(E111,3,LEN(E111)-2))</f>
        <v/>
      </c>
      <c r="B126" s="3573"/>
      <c r="C126" s="3573"/>
      <c r="D126" s="3562" t="str">
        <f>H111</f>
        <v>——</v>
      </c>
      <c r="E126" s="3563"/>
      <c r="F126" s="3563"/>
      <c r="G126" s="3563"/>
      <c r="H126" s="3563"/>
      <c r="I126" s="3564"/>
      <c r="AA126" s="725"/>
    </row>
    <row r="127" spans="1:27" ht="18.75" customHeight="1">
      <c r="A127" s="3561" t="s">
        <v>1452</v>
      </c>
      <c r="B127" s="3561"/>
      <c r="C127" s="3561"/>
      <c r="D127" s="3567" t="e">
        <f>NUMBERSTRING(INT(D126*10000),2)&amp;"元整"</f>
        <v>#VALUE!</v>
      </c>
      <c r="E127" s="3569"/>
      <c r="F127" s="3569"/>
      <c r="G127" s="3569"/>
      <c r="H127" s="3569"/>
      <c r="I127" s="3568"/>
      <c r="AA127" s="725"/>
    </row>
    <row r="128" spans="1:27" ht="21.75" customHeight="1">
      <c r="A128" s="3570" t="s">
        <v>1453</v>
      </c>
      <c r="B128" s="3570"/>
      <c r="C128" s="3570"/>
      <c r="D128" s="3570"/>
      <c r="E128" s="3570"/>
      <c r="F128" s="3570"/>
      <c r="G128" s="3570"/>
      <c r="H128" s="3570"/>
      <c r="I128" s="3570"/>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view="pageBreakPreview" topLeftCell="A19" zoomScale="85" zoomScaleNormal="70" zoomScaleSheetLayoutView="85" workbookViewId="0">
      <selection activeCell="I32" sqref="I32"/>
    </sheetView>
  </sheetViews>
  <sheetFormatPr defaultColWidth="8.375" defaultRowHeight="12.75"/>
  <cols>
    <col min="1" max="1" width="10.375" style="269" customWidth="1"/>
    <col min="2" max="2" width="29.125" style="251" customWidth="1"/>
    <col min="3" max="3" width="12.125" style="251" customWidth="1"/>
    <col min="4" max="5" width="1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16527</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6421</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7167</v>
      </c>
      <c r="D5" s="211" t="s">
        <v>1469</v>
      </c>
      <c r="E5" s="212" t="s">
        <v>1470</v>
      </c>
      <c r="F5" s="212" t="s">
        <v>1471</v>
      </c>
      <c r="G5" s="213"/>
    </row>
    <row r="6" spans="1:9" s="214" customFormat="1" ht="13.5" customHeight="1">
      <c r="A6" s="778" t="s">
        <v>1472</v>
      </c>
      <c r="B6" s="215" t="s">
        <v>1473</v>
      </c>
      <c r="C6" s="216">
        <f>基准地价修正!B2</f>
        <v>6755</v>
      </c>
      <c r="D6" s="217"/>
      <c r="E6" s="218"/>
      <c r="F6" s="218"/>
      <c r="G6" s="219"/>
    </row>
    <row r="7" spans="1:9" s="214" customFormat="1" ht="13.5" customHeight="1">
      <c r="A7" s="778" t="s">
        <v>1474</v>
      </c>
      <c r="B7" s="215" t="s">
        <v>1475</v>
      </c>
      <c r="C7" s="220">
        <f>ROUND(C6*F7,0)</f>
        <v>206</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206</v>
      </c>
      <c r="D8" s="222"/>
      <c r="E8" s="220"/>
      <c r="F8" s="221"/>
      <c r="G8" s="1856" t="s">
        <v>3393</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80</v>
      </c>
      <c r="F9" s="221"/>
      <c r="G9" s="1857" t="s">
        <v>3394</v>
      </c>
      <c r="H9" s="1137"/>
      <c r="I9" s="1858" t="s">
        <v>1479</v>
      </c>
    </row>
    <row r="10" spans="1:9" s="214" customFormat="1" ht="13.5" customHeight="1">
      <c r="A10" s="779" t="s">
        <v>356</v>
      </c>
      <c r="B10" s="224" t="s">
        <v>1480</v>
      </c>
      <c r="C10" s="225">
        <f ca="1">ROUND(D10*E10/10000,0)</f>
        <v>206</v>
      </c>
      <c r="D10" s="845">
        <f ca="1">IF(B1="",'数据-汇总表'!E6,IF(INDIRECT("'数据-取费表'!c"&amp;$G$1)="住宅",INDIRECT("'数据-取费表'!s"&amp;$G$1),INDIRECT("'数据-取费表'!k"&amp;$G$1)+INDIRECT("'数据-取费表'!s"&amp;$G$1)))</f>
        <v>25739.82</v>
      </c>
      <c r="E10" s="225">
        <f>'数据-取费表'!B28</f>
        <v>80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25739.82</v>
      </c>
      <c r="E19" s="211">
        <f>'数据-取费表'!B31</f>
        <v>200</v>
      </c>
      <c r="F19" s="231"/>
      <c r="G19" s="1856" t="s">
        <v>3395</v>
      </c>
    </row>
    <row r="20" spans="1:7" s="214" customFormat="1" ht="13.5" customHeight="1">
      <c r="A20" s="255" t="s">
        <v>1493</v>
      </c>
      <c r="B20" s="210" t="s">
        <v>1494</v>
      </c>
      <c r="C20" s="232">
        <f ca="1">ROUND((C5+C19)*F20,0)</f>
        <v>143</v>
      </c>
      <c r="D20" s="232"/>
      <c r="E20" s="232"/>
      <c r="F20" s="233">
        <f>'数据-取费表'!B37</f>
        <v>0.02</v>
      </c>
      <c r="G20" s="234" t="s">
        <v>1495</v>
      </c>
    </row>
    <row r="21" spans="1:7" s="214" customFormat="1" ht="13.5" customHeight="1">
      <c r="A21" s="255" t="s">
        <v>1496</v>
      </c>
      <c r="B21" s="210" t="s">
        <v>1497</v>
      </c>
      <c r="C21" s="235">
        <f>F21</f>
        <v>0.03</v>
      </c>
      <c r="D21" s="236" t="s">
        <v>1498</v>
      </c>
      <c r="E21" s="232"/>
      <c r="F21" s="233">
        <f>'数据-取费表'!B38</f>
        <v>0.03</v>
      </c>
      <c r="G21" s="234" t="s">
        <v>1499</v>
      </c>
    </row>
    <row r="22" spans="1:7" s="214" customFormat="1" ht="13.5" customHeight="1">
      <c r="A22" s="255" t="s">
        <v>1500</v>
      </c>
      <c r="B22" s="210" t="s">
        <v>1501</v>
      </c>
      <c r="C22" s="1104">
        <f ca="1">ROUND(SUM(C23:C25),0)</f>
        <v>455</v>
      </c>
      <c r="D22" s="235">
        <f ca="1">C26</f>
        <v>8.9999999999999998E-4</v>
      </c>
      <c r="E22" s="236" t="s">
        <v>1498</v>
      </c>
      <c r="F22" s="237">
        <f ca="1">'数据-取费表'!B40</f>
        <v>4.1499999999999995E-2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451</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4</v>
      </c>
      <c r="D25" s="238"/>
      <c r="E25" s="241"/>
      <c r="F25" s="239"/>
      <c r="G25" s="242" t="s">
        <v>1510</v>
      </c>
    </row>
    <row r="26" spans="1:7" s="214" customFormat="1">
      <c r="A26" s="780" t="s">
        <v>350</v>
      </c>
      <c r="B26" s="215" t="s">
        <v>1511</v>
      </c>
      <c r="C26" s="238">
        <f ca="1">ROUND(IF('数据-取费表'!B22&lt;=1,F21*F22*'数据-取费表'!B23/2,F21*(POWER((1+F22),'数据-取费表'!B23/2)-1)),4)</f>
        <v>8.9999999999999998E-4</v>
      </c>
      <c r="D26" s="238"/>
      <c r="E26" s="241"/>
      <c r="F26" s="239"/>
      <c r="G26" s="243"/>
    </row>
    <row r="27" spans="1:7" s="214" customFormat="1" ht="24.75">
      <c r="A27" s="255" t="s">
        <v>1512</v>
      </c>
      <c r="B27" s="244" t="s">
        <v>1513</v>
      </c>
      <c r="C27" s="245">
        <f ca="1">C28</f>
        <v>731</v>
      </c>
      <c r="D27" s="235">
        <f ca="1">C29</f>
        <v>3.0000000000000001E-3</v>
      </c>
      <c r="E27" s="236" t="s">
        <v>1514</v>
      </c>
      <c r="F27" s="246">
        <f ca="1">IF(B1="",'数据-取费表'!Q16,INDIRECT("'数据-取费表'!q"&amp;$G$1))</f>
        <v>0.1</v>
      </c>
      <c r="G27" s="247" t="s">
        <v>1515</v>
      </c>
    </row>
    <row r="28" spans="1:7" s="214" customFormat="1" ht="13.5" customHeight="1">
      <c r="A28" s="780" t="s">
        <v>346</v>
      </c>
      <c r="B28" s="248" t="s">
        <v>1516</v>
      </c>
      <c r="C28" s="249">
        <f ca="1">ROUND((C5+C19+C20)*F27*'数据-取费表'!B21/'数据-取费表'!B20,0)</f>
        <v>731</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9298</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6433</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5663</v>
      </c>
      <c r="D34" s="217"/>
      <c r="E34" s="220"/>
      <c r="F34" s="257">
        <f ca="1">IF('数据-取费表'!B24=0,1,IF(B1="",'数据-取费表'!N16,INDIRECT("'数据-取费表'!n"&amp;$G$1)))</f>
        <v>1</v>
      </c>
      <c r="G34" s="219" t="s">
        <v>1526</v>
      </c>
    </row>
    <row r="35" spans="1:7" ht="13.5" customHeight="1">
      <c r="A35" s="780" t="s">
        <v>351</v>
      </c>
      <c r="B35" s="215" t="s">
        <v>1527</v>
      </c>
      <c r="C35" s="220">
        <f ca="1">ROUND(C34*F35,0)</f>
        <v>170</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515</v>
      </c>
      <c r="D37" s="217">
        <f ca="1">D19</f>
        <v>25739.82</v>
      </c>
      <c r="E37" s="249">
        <f>'数据-取费表'!B35</f>
        <v>200</v>
      </c>
      <c r="F37" s="259"/>
      <c r="G37" s="261" t="s">
        <v>1532</v>
      </c>
    </row>
    <row r="38" spans="1:7" ht="13.5" customHeight="1">
      <c r="A38" s="780" t="s">
        <v>354</v>
      </c>
      <c r="B38" s="215" t="s">
        <v>1533</v>
      </c>
      <c r="C38" s="220">
        <f ca="1">ROUND(C34*F38,0)</f>
        <v>85</v>
      </c>
      <c r="D38" s="220"/>
      <c r="E38" s="220"/>
      <c r="F38" s="259">
        <f>'数据-取费表'!B36</f>
        <v>1.4999999999999999E-2</v>
      </c>
      <c r="G38" s="219" t="s">
        <v>1528</v>
      </c>
    </row>
    <row r="39" spans="1:7" s="214" customFormat="1" ht="13.5" customHeight="1">
      <c r="A39" s="255" t="s">
        <v>1534</v>
      </c>
      <c r="B39" s="210" t="s">
        <v>1535</v>
      </c>
      <c r="C39" s="232">
        <f ca="1">ROUND(C33*F20,0)</f>
        <v>129</v>
      </c>
      <c r="D39" s="232"/>
      <c r="E39" s="232"/>
      <c r="F39" s="233">
        <f>F20</f>
        <v>0.02</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203</v>
      </c>
      <c r="D41" s="235">
        <f ca="1">C44</f>
        <v>8.9999999999999998E-4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199</v>
      </c>
      <c r="D42" s="238"/>
      <c r="E42" s="238"/>
      <c r="F42" s="239"/>
      <c r="G42" s="3640" t="s">
        <v>1544</v>
      </c>
    </row>
    <row r="43" spans="1:7" ht="13.5" customHeight="1">
      <c r="A43" s="780" t="s">
        <v>347</v>
      </c>
      <c r="B43" s="215" t="s">
        <v>1545</v>
      </c>
      <c r="C43" s="238">
        <f ca="1">ROUND(IF('数据-取费表'!B22&lt;=1,C39*F22*'数据-取费表'!B21/2,C39*(POWER((1+F22),'数据-取费表'!B21/2)-1)),0)</f>
        <v>4</v>
      </c>
      <c r="D43" s="238"/>
      <c r="E43" s="238"/>
      <c r="F43" s="239"/>
      <c r="G43" s="3641"/>
    </row>
    <row r="44" spans="1:7" ht="13.5" customHeight="1">
      <c r="A44" s="780" t="s">
        <v>348</v>
      </c>
      <c r="B44" s="215" t="s">
        <v>1546</v>
      </c>
      <c r="C44" s="238">
        <f ca="1">ROUND(IF('数据-取费表'!B22&lt;=1,C40*F22*'数据-取费表'!B21/2,C40*(POWER((1+F22),'数据-取费表'!B21/2)-1)),4)</f>
        <v>8.9999999999999998E-4</v>
      </c>
      <c r="D44" s="238"/>
      <c r="E44" s="238"/>
      <c r="F44" s="239"/>
      <c r="G44" s="3642"/>
    </row>
    <row r="45" spans="1:7" s="214" customFormat="1" ht="13.5" customHeight="1">
      <c r="A45" s="255" t="s">
        <v>1547</v>
      </c>
      <c r="B45" s="244" t="s">
        <v>1513</v>
      </c>
      <c r="C45" s="245">
        <f ca="1">C46</f>
        <v>656</v>
      </c>
      <c r="D45" s="235">
        <f ca="1">C47</f>
        <v>3.0000000000000001E-3</v>
      </c>
      <c r="E45" s="236" t="s">
        <v>1539</v>
      </c>
      <c r="F45" s="246">
        <f ca="1">F27</f>
        <v>0.1</v>
      </c>
      <c r="G45" s="247" t="s">
        <v>1548</v>
      </c>
    </row>
    <row r="46" spans="1:7" s="214" customFormat="1" ht="13.5" customHeight="1">
      <c r="A46" s="780" t="s">
        <v>346</v>
      </c>
      <c r="B46" s="248" t="s">
        <v>1549</v>
      </c>
      <c r="C46" s="249">
        <f ca="1">ROUND((C33+C39)*F27,0)</f>
        <v>656</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8122</v>
      </c>
      <c r="D49" s="232"/>
      <c r="E49" s="232"/>
      <c r="F49" s="264"/>
      <c r="G49" s="234" t="s">
        <v>1554</v>
      </c>
    </row>
    <row r="50" spans="1:7" s="258" customFormat="1" ht="24">
      <c r="A50" s="255" t="s">
        <v>1555</v>
      </c>
      <c r="B50" s="210" t="s">
        <v>1556</v>
      </c>
      <c r="C50" s="232"/>
      <c r="D50" s="232"/>
      <c r="E50" s="232"/>
      <c r="F50" s="264">
        <f>IF('数据-取费表'!B24=0,'数据-取费表'!N16,1)</f>
        <v>0.89</v>
      </c>
      <c r="G50" s="247" t="s">
        <v>1557</v>
      </c>
    </row>
    <row r="51" spans="1:7" ht="16.5" customHeight="1">
      <c r="A51" s="255" t="s">
        <v>1558</v>
      </c>
      <c r="B51" s="210" t="s">
        <v>1559</v>
      </c>
      <c r="C51" s="232">
        <f ca="1">ROUND(C49*F50,0)</f>
        <v>7229</v>
      </c>
      <c r="D51" s="232"/>
      <c r="E51" s="232"/>
      <c r="F51" s="264"/>
      <c r="G51" s="234" t="s">
        <v>1560</v>
      </c>
    </row>
    <row r="52" spans="1:7" s="208" customFormat="1" ht="16.5" thickBot="1">
      <c r="A52" s="265" t="s">
        <v>1561</v>
      </c>
      <c r="B52" s="266"/>
      <c r="C52" s="267">
        <f ca="1">C31+C51</f>
        <v>16527</v>
      </c>
      <c r="D52" s="266"/>
      <c r="E52" s="266"/>
      <c r="F52" s="266"/>
      <c r="G52" s="268"/>
    </row>
    <row r="55" spans="1:7" ht="15">
      <c r="B55" s="270" t="s">
        <v>1562</v>
      </c>
      <c r="C55" s="271"/>
    </row>
    <row r="56" spans="1:7">
      <c r="B56" s="273" t="s">
        <v>802</v>
      </c>
      <c r="C56" s="275">
        <f ca="1">1-C57</f>
        <v>0.56299999999999994</v>
      </c>
    </row>
    <row r="57" spans="1:7">
      <c r="B57" s="273" t="s">
        <v>803</v>
      </c>
      <c r="C57" s="274">
        <f ca="1">ROUND(C51/C52,3)</f>
        <v>0.437</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7" t="str">
        <f>项目基本情况!B1</f>
        <v>北京市房地产抵押价值预评估</v>
      </c>
      <c r="C37" s="3457"/>
      <c r="D37" s="3457"/>
      <c r="E37" s="3457"/>
      <c r="F37" s="3457"/>
      <c r="G37" s="3457"/>
      <c r="H37" s="3457"/>
      <c r="I37" s="3457"/>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125" style="251" customWidth="1"/>
    <col min="3" max="3" width="12.125" style="251" customWidth="1"/>
    <col min="4" max="5" width="11.125" style="272" customWidth="1"/>
    <col min="6" max="6" width="9.5" style="251" customWidth="1"/>
    <col min="7" max="7" width="31.875" style="251" customWidth="1"/>
    <col min="8" max="8" width="10.62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6">
        <f ca="1">ROUND(IF(D2="——",C52/10000,C52/10000-E2),4)</f>
        <v>8162.9463999999998</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3171</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2059186</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2059186</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80</v>
      </c>
      <c r="F9" s="221"/>
      <c r="G9" s="226"/>
    </row>
    <row r="10" spans="1:8" s="214" customFormat="1" ht="13.5" customHeight="1">
      <c r="A10" s="779" t="s">
        <v>356</v>
      </c>
      <c r="B10" s="224" t="s">
        <v>1480</v>
      </c>
      <c r="C10" s="225">
        <f ca="1">ROUND(D10*E10,0)</f>
        <v>2059186</v>
      </c>
      <c r="D10" s="845">
        <f ca="1">IF(B1="",'数据-汇总表'!E6,IF(INDIRECT("'数据-取费表'!c"&amp;$G$1)="住宅",INDIRECT("'数据-取费表'!s"&amp;$G$1),INDIRECT("'数据-取费表'!k"&amp;$G$1)+INDIRECT("'数据-取费表'!s"&amp;$G$1)))</f>
        <v>25739.82</v>
      </c>
      <c r="E10" s="225">
        <f>'数据-取费表'!B28</f>
        <v>80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5147964</v>
      </c>
      <c r="D19" s="849">
        <f ca="1">D9+D10</f>
        <v>25739.82</v>
      </c>
      <c r="E19" s="211">
        <f>'数据-取费表'!B31</f>
        <v>200</v>
      </c>
      <c r="F19" s="231"/>
      <c r="G19" s="1856"/>
    </row>
    <row r="20" spans="1:7" s="214" customFormat="1" ht="13.5" customHeight="1">
      <c r="A20" s="255" t="s">
        <v>1574</v>
      </c>
      <c r="B20" s="210" t="s">
        <v>1575</v>
      </c>
      <c r="C20" s="232">
        <f ca="1">ROUND((C5+C19)*F20,0)</f>
        <v>144143</v>
      </c>
      <c r="D20" s="232"/>
      <c r="E20" s="232"/>
      <c r="F20" s="233">
        <f>'数据-取费表'!B37</f>
        <v>0.02</v>
      </c>
      <c r="G20" s="234" t="s">
        <v>1576</v>
      </c>
    </row>
    <row r="21" spans="1:7" s="214" customFormat="1" ht="13.5" customHeight="1">
      <c r="A21" s="255" t="s">
        <v>1577</v>
      </c>
      <c r="B21" s="210" t="s">
        <v>1578</v>
      </c>
      <c r="C21" s="235">
        <f>F21</f>
        <v>0.03</v>
      </c>
      <c r="D21" s="236" t="s">
        <v>1579</v>
      </c>
      <c r="E21" s="232"/>
      <c r="F21" s="233">
        <f>'数据-取费表'!B38</f>
        <v>0.03</v>
      </c>
      <c r="G21" s="234" t="s">
        <v>1580</v>
      </c>
    </row>
    <row r="22" spans="1:7" s="214" customFormat="1" ht="13.5" customHeight="1">
      <c r="A22" s="255" t="s">
        <v>1581</v>
      </c>
      <c r="B22" s="210" t="s">
        <v>1582</v>
      </c>
      <c r="C22" s="1127">
        <f ca="1">ROUND(SUM(C23:C25),0)</f>
        <v>457732</v>
      </c>
      <c r="D22" s="235">
        <f ca="1">C26</f>
        <v>8.9999999999999998E-4</v>
      </c>
      <c r="E22" s="236" t="s">
        <v>1579</v>
      </c>
      <c r="F22" s="237">
        <f ca="1">'数据-取费表'!B40</f>
        <v>4.1499999999999995E-2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129505</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323763</v>
      </c>
      <c r="D24" s="238"/>
      <c r="E24" s="238"/>
      <c r="F24" s="239"/>
      <c r="G24" s="240" t="s">
        <v>1586</v>
      </c>
    </row>
    <row r="25" spans="1:7" s="214" customFormat="1" ht="24">
      <c r="A25" s="780" t="s">
        <v>1476</v>
      </c>
      <c r="B25" s="215" t="s">
        <v>1587</v>
      </c>
      <c r="C25" s="1128">
        <f ca="1">ROUND(IF('数据-取费表'!B22&lt;=1,C20*F22*'数据-取费表'!B22/2,C20*(POWER((1+F22),'数据-取费表'!B22/2)-1)),0)</f>
        <v>4464</v>
      </c>
      <c r="D25" s="238"/>
      <c r="E25" s="241"/>
      <c r="F25" s="239"/>
      <c r="G25" s="242" t="s">
        <v>1588</v>
      </c>
    </row>
    <row r="26" spans="1:7" s="214" customFormat="1">
      <c r="A26" s="780" t="s">
        <v>350</v>
      </c>
      <c r="B26" s="215" t="s">
        <v>1511</v>
      </c>
      <c r="C26" s="238">
        <f ca="1">ROUND(IF('数据-取费表'!B22&lt;=1,F21*F22*'数据-取费表'!B22/2,F21*(POWER((1+F22),'数据-取费表'!B22/2)-1)),4)</f>
        <v>8.9999999999999998E-4</v>
      </c>
      <c r="D26" s="238"/>
      <c r="E26" s="241"/>
      <c r="F26" s="239"/>
      <c r="G26" s="243"/>
    </row>
    <row r="27" spans="1:7" s="214" customFormat="1" ht="24.75">
      <c r="A27" s="255" t="s">
        <v>1512</v>
      </c>
      <c r="B27" s="244" t="s">
        <v>1513</v>
      </c>
      <c r="C27" s="245">
        <f ca="1">C28</f>
        <v>735129</v>
      </c>
      <c r="D27" s="235">
        <f ca="1">C29</f>
        <v>3.0000000000000001E-3</v>
      </c>
      <c r="E27" s="236" t="s">
        <v>1514</v>
      </c>
      <c r="F27" s="246">
        <f ca="1">IF(B1="",'数据-取费表'!Q16,INDIRECT("'数据-取费表'!q"&amp;$G$1))</f>
        <v>0.1</v>
      </c>
      <c r="G27" s="247" t="s">
        <v>1515</v>
      </c>
    </row>
    <row r="28" spans="1:7" s="214" customFormat="1" ht="13.5" customHeight="1">
      <c r="A28" s="780" t="s">
        <v>346</v>
      </c>
      <c r="B28" s="248" t="s">
        <v>1516</v>
      </c>
      <c r="C28" s="249">
        <f ca="1">ROUND((C5+C19+C20)*F27,0)</f>
        <v>735129</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9351159</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64323810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56627604</v>
      </c>
      <c r="D34" s="217"/>
      <c r="E34" s="220"/>
      <c r="F34" s="257"/>
      <c r="G34" s="219"/>
    </row>
    <row r="35" spans="1:7" ht="13.5" customHeight="1">
      <c r="A35" s="780" t="s">
        <v>351</v>
      </c>
      <c r="B35" s="215" t="s">
        <v>1527</v>
      </c>
      <c r="C35" s="220">
        <f ca="1">ROUND(C34*F35,0)</f>
        <v>1698828</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5147964</v>
      </c>
      <c r="D37" s="217">
        <f ca="1">D19</f>
        <v>25739.82</v>
      </c>
      <c r="E37" s="249">
        <f>'数据-取费表'!B35</f>
        <v>200</v>
      </c>
      <c r="F37" s="259"/>
      <c r="G37" s="261"/>
    </row>
    <row r="38" spans="1:7" ht="13.5" customHeight="1">
      <c r="A38" s="780" t="s">
        <v>354</v>
      </c>
      <c r="B38" s="215" t="s">
        <v>1533</v>
      </c>
      <c r="C38" s="220">
        <f ca="1">ROUND(C34*F38,0)</f>
        <v>849414</v>
      </c>
      <c r="D38" s="220"/>
      <c r="E38" s="220"/>
      <c r="F38" s="259">
        <f>'数据-取费表'!B36</f>
        <v>1.4999999999999999E-2</v>
      </c>
      <c r="G38" s="219" t="s">
        <v>1528</v>
      </c>
    </row>
    <row r="39" spans="1:7" s="214" customFormat="1" ht="13.5" customHeight="1">
      <c r="A39" s="255" t="s">
        <v>1534</v>
      </c>
      <c r="B39" s="210" t="s">
        <v>1535</v>
      </c>
      <c r="C39" s="232">
        <f ca="1">ROUND(C33*F20,0)</f>
        <v>1286476</v>
      </c>
      <c r="D39" s="232"/>
      <c r="E39" s="232"/>
      <c r="F39" s="233">
        <f>F20</f>
        <v>0.02</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2031705</v>
      </c>
      <c r="D41" s="235">
        <f ca="1">C44</f>
        <v>8.9999999999999998E-4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1991868</v>
      </c>
      <c r="D42" s="238"/>
      <c r="E42" s="238"/>
      <c r="F42" s="239"/>
      <c r="G42" s="3640" t="s">
        <v>1591</v>
      </c>
    </row>
    <row r="43" spans="1:7" ht="13.5" customHeight="1">
      <c r="A43" s="780" t="s">
        <v>347</v>
      </c>
      <c r="B43" s="215" t="s">
        <v>1545</v>
      </c>
      <c r="C43" s="238">
        <f ca="1">ROUND(IF('数据-取费表'!B22&lt;=1,C39*F22*'数据-取费表'!B20/2,C39*(POWER((1+F22),'数据-取费表'!B20/2)-1)),0)</f>
        <v>39837</v>
      </c>
      <c r="D43" s="238"/>
      <c r="E43" s="238"/>
      <c r="F43" s="239"/>
      <c r="G43" s="3641"/>
    </row>
    <row r="44" spans="1:7" ht="13.5" customHeight="1">
      <c r="A44" s="780" t="s">
        <v>348</v>
      </c>
      <c r="B44" s="215" t="s">
        <v>1546</v>
      </c>
      <c r="C44" s="238">
        <f ca="1">ROUND(IF('数据-取费表'!B22&lt;=1,C40*F22*'数据-取费表'!B20/2,C40*(POWER((1+F22),'数据-取费表'!B20/2)-1)),4)</f>
        <v>8.9999999999999998E-4</v>
      </c>
      <c r="D44" s="238"/>
      <c r="E44" s="238"/>
      <c r="F44" s="239"/>
      <c r="G44" s="3642"/>
    </row>
    <row r="45" spans="1:7" s="214" customFormat="1" ht="13.5" customHeight="1">
      <c r="A45" s="255" t="s">
        <v>1547</v>
      </c>
      <c r="B45" s="244" t="s">
        <v>1513</v>
      </c>
      <c r="C45" s="245">
        <f ca="1">C46</f>
        <v>6561029</v>
      </c>
      <c r="D45" s="235">
        <f ca="1">C47</f>
        <v>3.0000000000000001E-3</v>
      </c>
      <c r="E45" s="236" t="s">
        <v>1539</v>
      </c>
      <c r="F45" s="246">
        <f ca="1">F27</f>
        <v>0.1</v>
      </c>
      <c r="G45" s="247" t="s">
        <v>1548</v>
      </c>
    </row>
    <row r="46" spans="1:7" s="214" customFormat="1" ht="13.5" customHeight="1">
      <c r="A46" s="780" t="s">
        <v>346</v>
      </c>
      <c r="B46" s="248" t="s">
        <v>1549</v>
      </c>
      <c r="C46" s="249">
        <f ca="1">ROUND((C33+C39)*F27,0)</f>
        <v>6561029</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81211579</v>
      </c>
      <c r="D49" s="232"/>
      <c r="E49" s="232"/>
      <c r="F49" s="264"/>
      <c r="G49" s="234" t="s">
        <v>1554</v>
      </c>
    </row>
    <row r="50" spans="1:7" s="258" customFormat="1">
      <c r="A50" s="255" t="s">
        <v>1555</v>
      </c>
      <c r="B50" s="210" t="s">
        <v>1556</v>
      </c>
      <c r="C50" s="232"/>
      <c r="D50" s="232"/>
      <c r="E50" s="232"/>
      <c r="F50" s="264">
        <f>IF('数据-取费表'!B24=0,'数据-取费表'!N16,1)</f>
        <v>0.89</v>
      </c>
      <c r="G50" s="247"/>
    </row>
    <row r="51" spans="1:7" ht="16.5" customHeight="1">
      <c r="A51" s="255" t="s">
        <v>1558</v>
      </c>
      <c r="B51" s="210" t="s">
        <v>1593</v>
      </c>
      <c r="C51" s="232">
        <f ca="1">ROUND(C49*F50,0)</f>
        <v>72278305</v>
      </c>
      <c r="D51" s="232"/>
      <c r="E51" s="232"/>
      <c r="F51" s="264"/>
      <c r="G51" s="234" t="s">
        <v>1560</v>
      </c>
    </row>
    <row r="52" spans="1:7" s="208" customFormat="1" ht="16.5" thickBot="1">
      <c r="A52" s="265" t="s">
        <v>1561</v>
      </c>
      <c r="B52" s="266"/>
      <c r="C52" s="267">
        <f ca="1">C31+C51</f>
        <v>81629464</v>
      </c>
      <c r="D52" s="266"/>
      <c r="E52" s="266"/>
      <c r="F52" s="266"/>
      <c r="G52" s="268"/>
    </row>
    <row r="55" spans="1:7" ht="15">
      <c r="B55" s="270" t="s">
        <v>1562</v>
      </c>
      <c r="C55" s="271"/>
    </row>
    <row r="56" spans="1:7">
      <c r="B56" s="273" t="s">
        <v>802</v>
      </c>
      <c r="C56" s="275">
        <f ca="1">1-C57</f>
        <v>0.11499999999999999</v>
      </c>
    </row>
    <row r="57" spans="1:7">
      <c r="B57" s="273" t="s">
        <v>803</v>
      </c>
      <c r="C57" s="274">
        <f ca="1">ROUND(C51/C52,3)</f>
        <v>0.88500000000000001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625" style="728" customWidth="1"/>
    <col min="2" max="2" width="25.625" style="781" customWidth="1"/>
    <col min="3" max="3" width="10.375" style="823" customWidth="1"/>
    <col min="4" max="4" width="9.875" style="781" customWidth="1"/>
    <col min="5" max="5" width="9.5" style="728" customWidth="1"/>
    <col min="6" max="6" width="10.125" style="781" customWidth="1"/>
    <col min="7" max="7" width="10.62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25739.82</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25739.82</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80</v>
      </c>
      <c r="F19" s="804"/>
      <c r="G19" s="12"/>
      <c r="H19" s="1189"/>
      <c r="I19" s="809"/>
      <c r="J19" s="809"/>
      <c r="K19" s="810"/>
    </row>
    <row r="20" spans="1:33" s="803" customFormat="1" ht="13.5" customHeight="1">
      <c r="A20" s="800" t="s">
        <v>361</v>
      </c>
      <c r="B20" s="801" t="s">
        <v>1627</v>
      </c>
      <c r="C20" s="21">
        <f ca="1">ROUND(D20*E20/10000,0)</f>
        <v>206</v>
      </c>
      <c r="D20" s="846">
        <f ca="1">IF(C1="",'数据-汇总表'!E6,IF(INDIRECT("'数据-取费表'!c"&amp;$K$1)="住宅",INDIRECT("'数据-取费表'!s"&amp;$K$1),INDIRECT("'数据-取费表'!k"&amp;$K$1)+INDIRECT("'数据-取费表'!s"&amp;$K$1)))</f>
        <v>25739.82</v>
      </c>
      <c r="E20" s="21">
        <f>'数据-取费表'!B28</f>
        <v>80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0.03</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zoomScaleSheetLayoutView="85" workbookViewId="0">
      <selection activeCell="F34" sqref="F34"/>
    </sheetView>
  </sheetViews>
  <sheetFormatPr defaultColWidth="12" defaultRowHeight="12.75"/>
  <cols>
    <col min="1" max="1" width="9.625" style="2053" customWidth="1"/>
    <col min="2" max="2" width="22.5" style="2144" customWidth="1"/>
    <col min="3" max="3" width="12" style="1998"/>
    <col min="4" max="4" width="14.875" style="1998" customWidth="1"/>
    <col min="5" max="5" width="14.625" style="1998" customWidth="1"/>
    <col min="6" max="8" width="12" style="1998"/>
    <col min="9" max="9" width="12.125" style="1998" bestFit="1" customWidth="1"/>
    <col min="10" max="10" width="12" style="1998"/>
    <col min="11" max="11" width="8.125" style="2049" customWidth="1"/>
    <col min="12" max="12" width="19.5" style="1998" customWidth="1"/>
    <col min="13" max="13" width="8.5" style="1998" customWidth="1"/>
    <col min="14" max="14" width="9.62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74231.63</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6755</v>
      </c>
      <c r="C2" s="1999" t="s">
        <v>1935</v>
      </c>
      <c r="D2" s="2000" t="s">
        <v>1936</v>
      </c>
      <c r="E2" s="3424" t="s">
        <v>3</v>
      </c>
      <c r="F2" s="2000" t="s">
        <v>1937</v>
      </c>
      <c r="G2" s="2001" t="str">
        <f>IF(E2="商业",项目基本情况!B37,IF(E2="办公",项目基本情况!C37,IF(E2="住宅",项目基本情况!D37,IF(E2="工业",项目基本情况!E37,项目基本情况!F37))))</f>
        <v>九级</v>
      </c>
      <c r="H2" s="2000" t="s">
        <v>1938</v>
      </c>
      <c r="I2" s="2001" t="str">
        <f>IF(E2="商业",项目基本情况!B38,IF(E2="办公",项目基本情况!C38,IF(E2="住宅",项目基本情况!D38,IF(E2="工业",项目基本情况!E38,项目基本情况!F38))))</f>
        <v>Ⅸ-平1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3">
        <f>ROUND(SUMPRODUCT((B106:B110=R2)*(C105:N105=G2)*(C106:N110)),4)</f>
        <v>1.5418000000000001</v>
      </c>
      <c r="T2" s="3363">
        <f t="shared" ref="T2:T16" si="0">ROUND($C$5*$C$22*$C$23*$C$24*S2*$C$28,0)</f>
        <v>1403</v>
      </c>
      <c r="U2" s="1213"/>
      <c r="V2" s="3363">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910</v>
      </c>
      <c r="C3" s="1999" t="s">
        <v>1941</v>
      </c>
      <c r="D3" s="2000" t="s">
        <v>1942</v>
      </c>
      <c r="E3" s="3422" t="s">
        <v>2473</v>
      </c>
      <c r="F3" s="2004" t="s">
        <v>3397</v>
      </c>
      <c r="G3" s="752">
        <f>IF(F3="宗地容积率",'数据-汇总表'!I4,IF(F3="估价对象容积率",'数据-汇总表'!I6,'数据-汇总表'!I7))</f>
        <v>1</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3">
        <f>ROUND(SUMPRODUCT((B106:B110=R3)*(C105:N105=G2)*(C106:N110)),4)</f>
        <v>1.1883999999999999</v>
      </c>
      <c r="T3" s="3363">
        <f t="shared" si="0"/>
        <v>1082</v>
      </c>
      <c r="U3" s="1213"/>
      <c r="V3" s="3363">
        <f t="shared" ref="V3:V16" si="1">ROUND(T3*U3/10000,0)</f>
        <v>0</v>
      </c>
      <c r="W3" s="1216"/>
      <c r="X3" s="1216"/>
      <c r="Y3" s="1216"/>
      <c r="Z3" s="1216"/>
      <c r="AA3" s="1216"/>
      <c r="AB3" s="1216"/>
      <c r="AC3" s="1217"/>
      <c r="AD3" s="1218"/>
      <c r="AE3" s="1218"/>
      <c r="AF3" s="1218"/>
      <c r="AG3" s="1218"/>
      <c r="AH3" s="1218"/>
      <c r="AI3" s="1218"/>
      <c r="AJ3" s="1219"/>
    </row>
    <row r="4" spans="1:36" ht="15.75">
      <c r="A4" s="3650"/>
      <c r="B4" s="3651"/>
      <c r="C4" s="3651"/>
      <c r="D4" s="3652"/>
      <c r="E4" s="3652"/>
      <c r="F4" s="3652"/>
      <c r="G4" s="3652"/>
      <c r="H4" s="3652"/>
      <c r="I4" s="3652"/>
      <c r="J4" s="3653"/>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3">
        <f>ROUND(SUMPRODUCT((B106:B110=R4)*(C105:N105=G2)*(C106:N110)),4)</f>
        <v>0.96940000000000004</v>
      </c>
      <c r="T4" s="3363">
        <f t="shared" si="0"/>
        <v>882</v>
      </c>
      <c r="U4" s="1213"/>
      <c r="V4" s="3363">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930</v>
      </c>
      <c r="D5" s="1339">
        <f>ROUND(C6*C17+C20,0)</f>
        <v>930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3">
        <f>ROUND(SUMPRODUCT((B106:B110=R5)*(C105:N105=G2)*(C106:N110)),4)</f>
        <v>0.82299999999999995</v>
      </c>
      <c r="T5" s="3363">
        <f t="shared" si="0"/>
        <v>749</v>
      </c>
      <c r="U5" s="1213"/>
      <c r="V5" s="3363">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900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3">
        <f>ROUND(SUMPRODUCT((B106:B110=R6)*(C105:N105=G2)*(C106:N110)),4)</f>
        <v>0.74980000000000002</v>
      </c>
      <c r="T6" s="3363">
        <f t="shared" si="0"/>
        <v>683</v>
      </c>
      <c r="U6" s="1213"/>
      <c r="V6" s="3363">
        <f t="shared" si="1"/>
        <v>0</v>
      </c>
      <c r="W6" s="1216"/>
      <c r="X6" s="1216"/>
      <c r="Y6" s="1216"/>
      <c r="Z6" s="1216"/>
      <c r="AA6" s="1216"/>
      <c r="AB6" s="1216"/>
      <c r="AC6" s="2011"/>
      <c r="AD6" s="2012"/>
      <c r="AE6" s="2012"/>
      <c r="AF6" s="2012"/>
      <c r="AG6" s="2012"/>
      <c r="AH6" s="2012"/>
      <c r="AI6" s="2012"/>
      <c r="AJ6" s="2013"/>
    </row>
    <row r="7" spans="1:36" ht="24.75" thickBot="1">
      <c r="A7" s="3305" t="s">
        <v>3237</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21"/>
      <c r="T7" s="3363">
        <f t="shared" si="0"/>
        <v>0</v>
      </c>
      <c r="U7" s="1213"/>
      <c r="V7" s="3363">
        <f t="shared" si="1"/>
        <v>0</v>
      </c>
      <c r="W7" s="1358" t="s">
        <v>1955</v>
      </c>
      <c r="X7" s="1214" t="str">
        <f>G2</f>
        <v>九级</v>
      </c>
      <c r="Y7" s="1214" t="s">
        <v>1956</v>
      </c>
      <c r="Z7" s="1215">
        <f>G3</f>
        <v>1</v>
      </c>
      <c r="AA7" s="1216"/>
      <c r="AB7" s="1216"/>
      <c r="AC7" s="1217"/>
      <c r="AD7" s="1218"/>
      <c r="AE7" s="1218"/>
      <c r="AF7" s="1218"/>
      <c r="AG7" s="1218"/>
      <c r="AH7" s="1218"/>
      <c r="AI7" s="1218"/>
      <c r="AJ7" s="1219"/>
    </row>
    <row r="8" spans="1:36" ht="25.5">
      <c r="A8" s="3300"/>
      <c r="B8" s="170" t="s">
        <v>1957</v>
      </c>
      <c r="C8" s="2026" t="s">
        <v>3378</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3">
        <f t="shared" si="0"/>
        <v>0</v>
      </c>
      <c r="U8" s="1213"/>
      <c r="V8" s="3363">
        <f t="shared" si="1"/>
        <v>0</v>
      </c>
      <c r="W8" s="3647" t="s">
        <v>1960</v>
      </c>
      <c r="X8" s="3648"/>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300"/>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900</v>
      </c>
      <c r="N9" s="866">
        <f>SUMPRODUCT((因素修正幅度!B277:B326=I2)*(因素修正幅度!C3:G3=E2)*(因素修正幅度!C277:G326))</f>
        <v>0.126</v>
      </c>
      <c r="O9" s="1119"/>
      <c r="P9" s="1119"/>
      <c r="Q9" s="1119"/>
      <c r="R9" s="1212">
        <v>8</v>
      </c>
      <c r="S9" s="1213"/>
      <c r="T9" s="3363">
        <f t="shared" si="0"/>
        <v>0</v>
      </c>
      <c r="U9" s="1213"/>
      <c r="V9" s="3363">
        <f t="shared" si="1"/>
        <v>0</v>
      </c>
      <c r="W9" s="3649"/>
      <c r="X9" s="3364" t="s">
        <v>3268</v>
      </c>
      <c r="Y9" s="3365">
        <v>6</v>
      </c>
      <c r="Z9" s="3366">
        <f>$Y$9</f>
        <v>6</v>
      </c>
      <c r="AA9" s="3366">
        <f t="shared" ref="AA9:AJ9" si="2">$Y$9</f>
        <v>6</v>
      </c>
      <c r="AB9" s="3366">
        <f t="shared" si="2"/>
        <v>6</v>
      </c>
      <c r="AC9" s="3366">
        <f t="shared" si="2"/>
        <v>6</v>
      </c>
      <c r="AD9" s="3366">
        <f t="shared" si="2"/>
        <v>6</v>
      </c>
      <c r="AE9" s="3366">
        <f t="shared" si="2"/>
        <v>6</v>
      </c>
      <c r="AF9" s="3366">
        <f t="shared" si="2"/>
        <v>6</v>
      </c>
      <c r="AG9" s="3366">
        <f t="shared" si="2"/>
        <v>6</v>
      </c>
      <c r="AH9" s="3366">
        <f t="shared" si="2"/>
        <v>6</v>
      </c>
      <c r="AI9" s="3366">
        <f t="shared" si="2"/>
        <v>6</v>
      </c>
      <c r="AJ9" s="3366">
        <f t="shared" si="2"/>
        <v>6</v>
      </c>
    </row>
    <row r="10" spans="1:36" ht="15">
      <c r="A10" s="3300"/>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3">
        <f t="shared" si="0"/>
        <v>0</v>
      </c>
      <c r="U10" s="1213"/>
      <c r="V10" s="3363">
        <f t="shared" si="1"/>
        <v>0</v>
      </c>
      <c r="W10" s="3649"/>
      <c r="X10" s="3364">
        <v>6</v>
      </c>
      <c r="Y10" s="3367">
        <f>ROUND((-0.5556*(Y9^2)-0.2719*Y9+8944)*(10^(-4)),4)</f>
        <v>0.89219999999999999</v>
      </c>
      <c r="Z10" s="3367">
        <f>ROUND((-0.5556*(Z9^2)-0.2719*Z9+8944)*(10^(-4)),4)</f>
        <v>0.89219999999999999</v>
      </c>
      <c r="AA10" s="3367">
        <f>ROUND((-0.7912*(AA9^2)-11.3794*AA9+8482)*(10^(-4)),4)</f>
        <v>0.83850000000000002</v>
      </c>
      <c r="AB10" s="3367">
        <f>ROUND((-0.7912*(AB9^2)-11.3794*AB9+8482)*(10^(-4)),4)</f>
        <v>0.83850000000000002</v>
      </c>
      <c r="AC10" s="3367">
        <f>ROUND((-0.7912*(AC9^2)-11.3794*AC9+8482)*(10^(-4)),4)</f>
        <v>0.83850000000000002</v>
      </c>
      <c r="AD10" s="3367">
        <f>ROUND((-0.7912*(AD9^2)-11.3794*AD9+8482)*(10^(-4)),4)</f>
        <v>0.83850000000000002</v>
      </c>
      <c r="AE10" s="3367">
        <f>ROUND((-0.7912*(AE9^2)-11.3794*AE9+8482)*(10^(-4)),4)</f>
        <v>0.83850000000000002</v>
      </c>
      <c r="AF10" s="3367">
        <f>ROUND((-0.989*(AF9^2)-63.78*AF9+7771)*(10^(-4)),4)</f>
        <v>0.73529999999999995</v>
      </c>
      <c r="AG10" s="3367">
        <f>ROUND((-0.989*(AG9^2)-63.78*AG9+7771)*(10^(-4)),4)</f>
        <v>0.73529999999999995</v>
      </c>
      <c r="AH10" s="3367">
        <f>ROUND((-0.989*(AH9^2)-63.78*AH9+7771)*(10^(-4)),4)</f>
        <v>0.73529999999999995</v>
      </c>
      <c r="AI10" s="3367">
        <f>ROUND((-0.989*(AI9^2)-63.78*AI9+7771)*(10^(-4)),4)</f>
        <v>0.73529999999999995</v>
      </c>
      <c r="AJ10" s="3367">
        <f>ROUND((-0.989*(AJ9^2)-63.78*AJ9+7771)*(10^(-4)),4)</f>
        <v>0.73529999999999995</v>
      </c>
    </row>
    <row r="11" spans="1:36" ht="15.75" thickBot="1">
      <c r="A11" s="3304"/>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3">
        <f t="shared" si="0"/>
        <v>0</v>
      </c>
      <c r="U11" s="1213"/>
      <c r="V11" s="3363">
        <f t="shared" si="1"/>
        <v>0</v>
      </c>
      <c r="W11" s="1216"/>
      <c r="X11" s="1216"/>
      <c r="Y11" s="1216"/>
      <c r="Z11" s="1216"/>
      <c r="AA11" s="1216"/>
      <c r="AB11" s="1216"/>
      <c r="AC11" s="1217"/>
      <c r="AD11" s="2789"/>
      <c r="AE11" s="2789"/>
      <c r="AF11" s="2789"/>
      <c r="AG11" s="2789"/>
      <c r="AH11" s="2789"/>
      <c r="AI11" s="2789"/>
      <c r="AJ11" s="2790"/>
    </row>
    <row r="12" spans="1:36" ht="25.5" thickBot="1">
      <c r="A12" s="3305" t="s">
        <v>3238</v>
      </c>
      <c r="B12" s="3306" t="s">
        <v>3239</v>
      </c>
      <c r="C12" s="3307">
        <v>1</v>
      </c>
      <c r="D12" s="3308" t="s">
        <v>3240</v>
      </c>
      <c r="E12" s="3309" t="s">
        <v>3241</v>
      </c>
      <c r="F12" s="3310"/>
      <c r="G12" s="3311"/>
      <c r="H12" s="3311"/>
      <c r="I12" s="3311"/>
      <c r="J12" s="3312"/>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3">
        <f t="shared" si="0"/>
        <v>0</v>
      </c>
      <c r="U12" s="1213"/>
      <c r="V12" s="3363">
        <f t="shared" si="1"/>
        <v>0</v>
      </c>
      <c r="W12" s="1216"/>
      <c r="X12" s="1216"/>
      <c r="Y12" s="1216"/>
      <c r="Z12" s="1216"/>
      <c r="AA12" s="1216"/>
      <c r="AB12" s="1216"/>
      <c r="AC12" s="1217"/>
      <c r="AD12" s="2789"/>
      <c r="AE12" s="2789"/>
      <c r="AF12" s="2789"/>
      <c r="AG12" s="2789"/>
      <c r="AH12" s="2789"/>
      <c r="AI12" s="2789"/>
      <c r="AJ12" s="2790"/>
    </row>
    <row r="13" spans="1:36" ht="15.75" thickBot="1">
      <c r="A13" s="3305" t="s">
        <v>3242</v>
      </c>
      <c r="B13" s="2034" t="s">
        <v>1982</v>
      </c>
      <c r="C13" s="755">
        <f>ROUND(C16*D16*E16*F16*G16*H16*I16*J16,4)</f>
        <v>1</v>
      </c>
      <c r="D13" s="2035" t="s">
        <v>1983</v>
      </c>
      <c r="E13" s="2036"/>
      <c r="F13" s="2036"/>
      <c r="G13" s="2037"/>
      <c r="H13" s="2037"/>
      <c r="I13" s="2037"/>
      <c r="J13" s="2038"/>
      <c r="K13" s="1119"/>
      <c r="L13" s="3301"/>
      <c r="M13" s="3302"/>
      <c r="N13" s="3303"/>
      <c r="O13" s="1119"/>
      <c r="P13" s="1119"/>
      <c r="Q13" s="1119"/>
      <c r="R13" s="1212">
        <v>12</v>
      </c>
      <c r="S13" s="1213"/>
      <c r="T13" s="3363">
        <f t="shared" si="0"/>
        <v>0</v>
      </c>
      <c r="U13" s="1213"/>
      <c r="V13" s="3363">
        <f t="shared" si="1"/>
        <v>0</v>
      </c>
      <c r="W13" s="1216"/>
      <c r="X13" s="1216"/>
      <c r="Y13" s="1216"/>
      <c r="Z13" s="1216"/>
      <c r="AA13" s="1216"/>
      <c r="AB13" s="1216"/>
      <c r="AC13" s="1217"/>
      <c r="AD13" s="2789"/>
      <c r="AE13" s="2789"/>
      <c r="AF13" s="2789"/>
      <c r="AG13" s="2789"/>
      <c r="AH13" s="2789"/>
      <c r="AI13" s="2789"/>
      <c r="AJ13" s="2790"/>
    </row>
    <row r="14" spans="1:36" ht="15">
      <c r="A14" s="3299"/>
      <c r="B14" s="2040" t="s">
        <v>1985</v>
      </c>
      <c r="C14" s="2041" t="s">
        <v>1986</v>
      </c>
      <c r="D14" s="1350" t="s">
        <v>1987</v>
      </c>
      <c r="E14" s="27" t="s">
        <v>1988</v>
      </c>
      <c r="F14" s="3313" t="s">
        <v>3243</v>
      </c>
      <c r="G14" s="3313" t="s">
        <v>3243</v>
      </c>
      <c r="H14" s="3313" t="s">
        <v>3243</v>
      </c>
      <c r="I14" s="3313" t="s">
        <v>3243</v>
      </c>
      <c r="J14" s="3313" t="s">
        <v>3243</v>
      </c>
      <c r="K14" s="1119"/>
      <c r="L14" s="1119"/>
      <c r="M14" s="1119"/>
      <c r="N14" s="1119"/>
      <c r="O14" s="1119"/>
      <c r="P14" s="1119"/>
      <c r="Q14" s="1119"/>
      <c r="R14" s="1212">
        <v>13</v>
      </c>
      <c r="S14" s="1213"/>
      <c r="T14" s="3363">
        <f t="shared" si="0"/>
        <v>0</v>
      </c>
      <c r="U14" s="1213"/>
      <c r="V14" s="3363">
        <f t="shared" si="1"/>
        <v>0</v>
      </c>
      <c r="W14" s="1216"/>
      <c r="X14" s="1216"/>
      <c r="Y14" s="1216"/>
      <c r="Z14" s="1216"/>
      <c r="AA14" s="1216"/>
      <c r="AB14" s="1216"/>
      <c r="AC14" s="1217"/>
      <c r="AD14" s="2789"/>
      <c r="AE14" s="2789"/>
      <c r="AF14" s="2789"/>
      <c r="AG14" s="2789"/>
      <c r="AH14" s="2789"/>
      <c r="AI14" s="2789"/>
      <c r="AJ14" s="2790"/>
    </row>
    <row r="15" spans="1:36" ht="15">
      <c r="A15" s="3299"/>
      <c r="B15" s="2042"/>
      <c r="C15" s="2043" t="s">
        <v>3379</v>
      </c>
      <c r="D15" s="2044" t="s">
        <v>3379</v>
      </c>
      <c r="E15" s="2045" t="s">
        <v>3380</v>
      </c>
      <c r="F15" s="3314" t="s">
        <v>3244</v>
      </c>
      <c r="G15" s="3315"/>
      <c r="H15" s="3316"/>
      <c r="I15" s="3317"/>
      <c r="J15" s="3318"/>
      <c r="K15" s="1119"/>
      <c r="L15" s="1119"/>
      <c r="M15" s="1119"/>
      <c r="N15" s="1119"/>
      <c r="O15" s="1119"/>
      <c r="P15" s="1119"/>
      <c r="Q15" s="1119"/>
      <c r="R15" s="1212">
        <v>14</v>
      </c>
      <c r="S15" s="1213"/>
      <c r="T15" s="3363">
        <f t="shared" si="0"/>
        <v>0</v>
      </c>
      <c r="U15" s="1213"/>
      <c r="V15" s="3363">
        <f t="shared" si="1"/>
        <v>0</v>
      </c>
      <c r="W15" s="1216"/>
      <c r="X15" s="1216"/>
      <c r="Y15" s="1216"/>
      <c r="Z15" s="1216"/>
      <c r="AA15" s="1216"/>
      <c r="AB15" s="1216"/>
      <c r="AC15" s="1217"/>
      <c r="AD15" s="2789"/>
      <c r="AE15" s="2789"/>
      <c r="AF15" s="2789"/>
      <c r="AG15" s="2789"/>
      <c r="AH15" s="2789"/>
      <c r="AI15" s="2789"/>
      <c r="AJ15" s="2790"/>
    </row>
    <row r="16" spans="1:36" ht="15.75" thickBot="1">
      <c r="A16" s="3299"/>
      <c r="B16" s="3321" t="s">
        <v>1989</v>
      </c>
      <c r="C16" s="3319">
        <v>1</v>
      </c>
      <c r="D16" s="3319">
        <v>1</v>
      </c>
      <c r="E16" s="3319">
        <v>1</v>
      </c>
      <c r="F16" s="3319">
        <v>1</v>
      </c>
      <c r="G16" s="3319">
        <v>1</v>
      </c>
      <c r="H16" s="3319">
        <v>1</v>
      </c>
      <c r="I16" s="3319">
        <v>1</v>
      </c>
      <c r="J16" s="3320">
        <v>1</v>
      </c>
      <c r="K16" s="1119"/>
      <c r="L16" s="1997"/>
      <c r="M16" s="1997"/>
      <c r="N16" s="1997"/>
      <c r="O16" s="1997"/>
      <c r="P16" s="1997"/>
      <c r="Q16" s="1119"/>
      <c r="R16" s="1212">
        <v>15</v>
      </c>
      <c r="S16" s="1213"/>
      <c r="T16" s="3363">
        <f t="shared" si="0"/>
        <v>0</v>
      </c>
      <c r="U16" s="1213"/>
      <c r="V16" s="3363">
        <f t="shared" si="1"/>
        <v>0</v>
      </c>
      <c r="W16" s="1216"/>
      <c r="X16" s="1216"/>
      <c r="Y16" s="1216"/>
      <c r="Z16" s="1216"/>
      <c r="AA16" s="1216"/>
      <c r="AB16" s="1216"/>
      <c r="AC16" s="1217"/>
      <c r="AD16" s="2789"/>
      <c r="AE16" s="2789"/>
      <c r="AF16" s="2789"/>
      <c r="AG16" s="2789"/>
      <c r="AH16" s="2789"/>
      <c r="AI16" s="2789"/>
      <c r="AJ16" s="2790"/>
    </row>
    <row r="17" spans="1:37">
      <c r="A17" s="3331" t="s">
        <v>3245</v>
      </c>
      <c r="B17" s="3322" t="s">
        <v>3246</v>
      </c>
      <c r="C17" s="3332">
        <f>ROUND(IF(OR(E2="工业",E2="公共服务"),1,IF(AND(E18=0,E19=0),1,IF(AND(E18=J24,E19=G19),0.8,IF(E19=0,1+E17*(-0.2),1+E17*G17*(-0.2))))),4)</f>
        <v>1</v>
      </c>
      <c r="D17" s="3323" t="s">
        <v>3247</v>
      </c>
      <c r="E17" s="3332">
        <f>ROUND(G18/I18,2)</f>
        <v>0</v>
      </c>
      <c r="F17" s="3323" t="s">
        <v>3250</v>
      </c>
      <c r="G17" s="3332" t="e">
        <f>ROUND(E19/G19,2)</f>
        <v>#DIV/0!</v>
      </c>
      <c r="H17" s="3332"/>
      <c r="I17" s="3332"/>
      <c r="J17" s="3333"/>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4"/>
      <c r="B18" s="3010"/>
      <c r="C18" s="3329"/>
      <c r="D18" s="3324" t="s">
        <v>3248</v>
      </c>
      <c r="E18" s="3330"/>
      <c r="F18" s="3325" t="s">
        <v>3251</v>
      </c>
      <c r="G18" s="3329">
        <f>ROUND(1-(1/(POWER(1+G24,E18))),4)</f>
        <v>0</v>
      </c>
      <c r="H18" s="3325" t="s">
        <v>3253</v>
      </c>
      <c r="I18" s="3329">
        <f>ROUND(1-(1/(POWER(1+G24,J24))),4)</f>
        <v>0.91279999999999994</v>
      </c>
      <c r="J18" s="3335"/>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6"/>
      <c r="B19" s="3337"/>
      <c r="C19" s="3338"/>
      <c r="D19" s="3338" t="s">
        <v>3249</v>
      </c>
      <c r="E19" s="3339"/>
      <c r="F19" s="3340" t="s">
        <v>3252</v>
      </c>
      <c r="G19" s="3339"/>
      <c r="H19" s="3338"/>
      <c r="I19" s="3338"/>
      <c r="J19" s="3341"/>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654" t="s">
        <v>3254</v>
      </c>
      <c r="B20" s="167" t="s">
        <v>1994</v>
      </c>
      <c r="C20" s="3326">
        <f>ROUND(IF(F21="与级别开发程度一致",0,(G21-E21)/C21),0)</f>
        <v>30</v>
      </c>
      <c r="D20" s="3342" t="s">
        <v>1998</v>
      </c>
      <c r="E20" s="3343"/>
      <c r="F20" s="3660" t="s">
        <v>1995</v>
      </c>
      <c r="G20" s="3661"/>
      <c r="H20" s="3327" t="s">
        <v>3381</v>
      </c>
      <c r="I20" s="3327" t="s">
        <v>3382</v>
      </c>
      <c r="J20" s="3328" t="s">
        <v>3383</v>
      </c>
      <c r="K20" s="2047" t="s">
        <v>3384</v>
      </c>
      <c r="L20" s="2047" t="s">
        <v>3385</v>
      </c>
      <c r="M20" s="2047" t="s">
        <v>3386</v>
      </c>
      <c r="N20" s="2047" t="s">
        <v>3387</v>
      </c>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655"/>
      <c r="B21" s="2164" t="s">
        <v>1997</v>
      </c>
      <c r="C21" s="2165">
        <f>IF(E3="M4科研用地",SUMPRODUCT((修正!A2:A7=E3)*(修正!B1:M1=G2)*(修正!B2:M7)),SUMPRODUCT((修正!A2:A7=E2)*(修正!B1:M1=G2)*(修正!B2:M7)))</f>
        <v>1</v>
      </c>
      <c r="D21" s="187" t="str">
        <f>IF(OR(G2="八级",G2="九级",G2="十级",G2="十一级",G2="十二级"),"五通一平","七通一平")</f>
        <v>五通一平</v>
      </c>
      <c r="E21" s="2155">
        <f>SUMPRODUCT((修正!B1:M1=G2)*(修正!B17:M17))</f>
        <v>185</v>
      </c>
      <c r="F21" s="2156" t="s">
        <v>3388</v>
      </c>
      <c r="G21" s="2157">
        <f>SUM(H21:O21)</f>
        <v>215</v>
      </c>
      <c r="H21" s="2165">
        <f>SUMPRODUCT((七通一平=H20)*(修正!B1:M1=G2)*(修正!B8:M16))</f>
        <v>60</v>
      </c>
      <c r="I21" s="2165">
        <f>SUMPRODUCT((七通一平=I20)*(修正!B1:M1=G2)*(修正!B8:M16))</f>
        <v>50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30</v>
      </c>
      <c r="N21" s="2165">
        <f>SUMPRODUCT((七通一平=N20)*(修正!B1:M1=G2)*(修正!B8:M16))</f>
        <v>10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1.0447</v>
      </c>
      <c r="D23" s="2054" t="s">
        <v>2002</v>
      </c>
      <c r="E23" s="761">
        <v>44197</v>
      </c>
      <c r="F23" s="2054" t="s">
        <v>2003</v>
      </c>
      <c r="G23" s="762">
        <f>'数据-取费表'!B2</f>
        <v>44916</v>
      </c>
      <c r="H23" s="3344" t="s">
        <v>3256</v>
      </c>
      <c r="I23" s="3345" t="str">
        <f>IF(H23="季度增幅（自定义）",SUMIF(N25:N28,E2,O25:O28),"")</f>
        <v/>
      </c>
      <c r="J23" s="3346" t="s">
        <v>3255</v>
      </c>
      <c r="K23" s="1125"/>
      <c r="L23" s="2055" t="s">
        <v>2004</v>
      </c>
      <c r="M23" s="1328">
        <f>ROUND(SUMIF(地价!B2:G2,E2,地价!B16:G16),0)</f>
        <v>318</v>
      </c>
      <c r="N23" s="2056" t="s">
        <v>2005</v>
      </c>
      <c r="O23" s="763">
        <f>ROUNDDOWN(DATEDIF(E23,G23,"M")/3,0)</f>
        <v>7</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0.89229999999999998</v>
      </c>
      <c r="D24" s="2060" t="s">
        <v>2007</v>
      </c>
      <c r="E24" s="1335">
        <f>存贷款利率!E22/100</f>
        <v>4.3499999999999997E-2</v>
      </c>
      <c r="F24" s="2060" t="s">
        <v>1999</v>
      </c>
      <c r="G24" s="768">
        <f>SUMIF(M30:Q30,E2,M33:Q33)</f>
        <v>0.05</v>
      </c>
      <c r="H24" s="2060" t="s">
        <v>2008</v>
      </c>
      <c r="I24" s="769">
        <f>SUMIF('数据-取费表'!C6:C15,E2,'数据-取费表'!F6:F15)/COUNTIF('数据-取费表'!C6:C15,E2)</f>
        <v>34.53</v>
      </c>
      <c r="J24" s="770">
        <f>IF(E2="住宅",70,IF(E2="商业",40,50))</f>
        <v>50</v>
      </c>
      <c r="K24" s="1125"/>
      <c r="L24" s="2061" t="s">
        <v>2009</v>
      </c>
      <c r="M24" s="1329">
        <f>ROUND(SUMPRODUCT((地价!A4:A16=YEAR(G23)&amp;"-"&amp;ROUNDUP(MONTH(G23)/3,0))*(地价!B2:G2=E2)*(地价!B4:G16)),0)</f>
        <v>336</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3335</v>
      </c>
      <c r="C25" s="771">
        <f>IF(B25="容积率修正",IF(G3&lt;10,D26,J26),C27)</f>
        <v>1</v>
      </c>
      <c r="D25" s="2067"/>
      <c r="E25" s="2067"/>
      <c r="F25" s="2067"/>
      <c r="G25" s="2067"/>
      <c r="H25" s="2067"/>
      <c r="I25" s="2067"/>
      <c r="J25" s="2068"/>
      <c r="K25" s="1125"/>
      <c r="L25" s="2788"/>
      <c r="M25" s="2788"/>
      <c r="N25" s="2069" t="s">
        <v>2013</v>
      </c>
      <c r="O25" s="1173"/>
      <c r="P25" s="1174">
        <f>SUMPRODUCT((地价!A3:A40=YEAR(G23)&amp;"-"&amp;ROUNDUP(MONTH(G23)/3,0))*(地价!AD2:AH2=N25)*(地价!AD3:AH40))</f>
        <v>9.7000000000000003E-3</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7" t="s">
        <v>3257</v>
      </c>
      <c r="D26" s="1352">
        <f>IF(E26=G26,F26,IF(G3&lt;10,ROUND(F26+(H26-F26)*(G3-E26)/(G26-E26),4),"——"))</f>
        <v>1</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7" t="s">
        <v>3258</v>
      </c>
      <c r="J26" s="772" t="str">
        <f>IF(G3&gt;=10,D115,"——")</f>
        <v>——</v>
      </c>
      <c r="K26" s="1125"/>
      <c r="L26" s="2788"/>
      <c r="M26" s="2788"/>
      <c r="N26" s="2069" t="s">
        <v>2016</v>
      </c>
      <c r="O26" s="1173"/>
      <c r="P26" s="1174">
        <f>SUMPRODUCT((地价!A3:A40=YEAR(G23)&amp;"-"&amp;ROUNDUP(MONTH(G23)/3,0))*(地价!AD2:AH2=N26)*(地价!AD3:AH40))</f>
        <v>9.7000000000000003E-3</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1.66E-2</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1.05</v>
      </c>
      <c r="D28" s="2052"/>
      <c r="E28" s="2077"/>
      <c r="F28" s="2077"/>
      <c r="G28" s="2077"/>
      <c r="H28" s="2077"/>
      <c r="I28" s="2077"/>
      <c r="J28" s="2078"/>
      <c r="K28" s="1125"/>
      <c r="L28" s="2788"/>
      <c r="M28" s="2788"/>
      <c r="N28" s="2079" t="s">
        <v>2021</v>
      </c>
      <c r="O28" s="1175"/>
      <c r="P28" s="1176">
        <f>SUMPRODUCT((地价!A3:A40=YEAR(G23)&amp;"-"&amp;ROUNDUP(MONTH(G23)/3,0))*(地价!AD2:AH2=N28)*(地价!AD3:AH40))</f>
        <v>1.0999999999999999E-2</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1.55E-2</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6755</v>
      </c>
      <c r="D30" s="2083"/>
      <c r="E30" s="2046"/>
      <c r="F30" s="2084"/>
      <c r="G30" s="2046"/>
      <c r="H30" s="2046"/>
      <c r="I30" s="2046"/>
      <c r="J30" s="2085"/>
      <c r="K30" s="1119"/>
      <c r="L30" s="3353" t="s">
        <v>1936</v>
      </c>
      <c r="M30" s="3354" t="s">
        <v>1990</v>
      </c>
      <c r="N30" s="3354" t="s">
        <v>1991</v>
      </c>
      <c r="O30" s="3354" t="s">
        <v>1992</v>
      </c>
      <c r="P30" s="3354" t="s">
        <v>1993</v>
      </c>
      <c r="Q30" s="3357"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5" t="s">
        <v>1996</v>
      </c>
      <c r="M31" s="2000">
        <v>0.25</v>
      </c>
      <c r="N31" s="2000">
        <v>0.2</v>
      </c>
      <c r="O31" s="2000">
        <v>0.15</v>
      </c>
      <c r="P31" s="2000">
        <v>0.1</v>
      </c>
      <c r="Q31" s="3350">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6" t="s">
        <v>1999</v>
      </c>
      <c r="M32" s="2570">
        <f>ROUND($E$24*(1+M31),3)</f>
        <v>5.3999999999999999E-2</v>
      </c>
      <c r="N32" s="2570">
        <f>ROUND($E$24*(1+N31),3)</f>
        <v>5.1999999999999998E-2</v>
      </c>
      <c r="O32" s="2570">
        <f>ROUND($E$24*(1+O31),3)</f>
        <v>0.05</v>
      </c>
      <c r="P32" s="2570">
        <f>ROUND($E$24*(1+P31),3)</f>
        <v>4.8000000000000001E-2</v>
      </c>
      <c r="Q32" s="3358">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910</v>
      </c>
      <c r="D33" s="3456">
        <f>'数据-汇总表'!D3</f>
        <v>74231.63</v>
      </c>
      <c r="E33" s="773">
        <f>ROUND(C33*D33/10000,0)</f>
        <v>6755</v>
      </c>
      <c r="F33" s="3348" t="s">
        <v>3260</v>
      </c>
      <c r="G33" s="2099"/>
      <c r="H33" s="2099"/>
      <c r="I33" s="2099"/>
      <c r="J33" s="2100"/>
      <c r="K33" s="1119"/>
      <c r="L33" s="3351" t="s">
        <v>3263</v>
      </c>
      <c r="M33" s="3352">
        <v>5.5E-2</v>
      </c>
      <c r="N33" s="3352">
        <v>5.5E-2</v>
      </c>
      <c r="O33" s="3352">
        <v>0.05</v>
      </c>
      <c r="P33" s="3352">
        <v>0.05</v>
      </c>
      <c r="Q33" s="3352">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137</v>
      </c>
      <c r="D34" s="2103"/>
      <c r="E34" s="773">
        <f>ROUND(IF(B25="楼层修正",SUM(V2:V16)*M40,C34*D34/10000),0)</f>
        <v>0</v>
      </c>
      <c r="F34" s="2104" t="s">
        <v>2032</v>
      </c>
      <c r="G34" s="2105"/>
      <c r="H34" s="2105"/>
      <c r="I34" s="2105"/>
      <c r="J34" s="2106"/>
      <c r="K34" s="1119"/>
      <c r="L34" s="3351" t="s">
        <v>3264</v>
      </c>
      <c r="M34" s="3352">
        <v>6.5000000000000002E-2</v>
      </c>
      <c r="N34" s="3352">
        <v>6.5000000000000002E-2</v>
      </c>
      <c r="O34" s="3352">
        <v>0.06</v>
      </c>
      <c r="P34" s="3352">
        <v>0.06</v>
      </c>
      <c r="Q34" s="3352">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9"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9" t="s">
        <v>3265</v>
      </c>
      <c r="L36" s="3359">
        <v>3.6999999999999998E-2</v>
      </c>
      <c r="M36" s="3360">
        <f>ROUND($L$36*(1+M31),3)</f>
        <v>4.5999999999999999E-2</v>
      </c>
      <c r="N36" s="3360">
        <f>ROUND($L$36*(1+N31),3)</f>
        <v>4.3999999999999997E-2</v>
      </c>
      <c r="O36" s="3360">
        <f>ROUND($L$36*(1+O31),3)</f>
        <v>4.2999999999999997E-2</v>
      </c>
      <c r="P36" s="3360">
        <f>ROUND($L$36*(1+P31),3)</f>
        <v>4.1000000000000002E-2</v>
      </c>
      <c r="Q36" s="3360">
        <f>ROUND($L$36*(1+Q31),3)</f>
        <v>4.2999999999999997E-2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658"/>
      <c r="B37" s="2113" t="s">
        <v>2036</v>
      </c>
      <c r="C37" s="175">
        <f>ROUND(D5*C22*C23*C24*C28*F37,0)</f>
        <v>455</v>
      </c>
      <c r="D37" s="2098"/>
      <c r="E37" s="171">
        <f>ROUND(C37*D37/10000,0)</f>
        <v>0</v>
      </c>
      <c r="F37" s="171">
        <f>SUMIF(修正!A57:A68,G2,修正!B57:B68)</f>
        <v>0.5</v>
      </c>
      <c r="G37" s="171">
        <f>ROUND(IF(E2="工业",C37*$M$42,C37*$M$41),0)</f>
        <v>68</v>
      </c>
      <c r="H37" s="171">
        <f>D37</f>
        <v>0</v>
      </c>
      <c r="I37" s="171">
        <f>ROUND(G37*H37/10000,0)</f>
        <v>0</v>
      </c>
      <c r="J37" s="3012"/>
      <c r="K37" s="3361" t="s">
        <v>3266</v>
      </c>
      <c r="L37" s="3359">
        <f>L36+K38</f>
        <v>4.1999999999999996E-2</v>
      </c>
      <c r="M37" s="3360">
        <f>ROUND($L$37*(1+M31),3)</f>
        <v>5.2999999999999999E-2</v>
      </c>
      <c r="N37" s="3360">
        <f t="shared" ref="N37:Q37" si="3">ROUND($L$37*(1+N31),3)</f>
        <v>0.05</v>
      </c>
      <c r="O37" s="3360">
        <f t="shared" si="3"/>
        <v>4.8000000000000001E-2</v>
      </c>
      <c r="P37" s="3360">
        <f t="shared" si="3"/>
        <v>4.5999999999999999E-2</v>
      </c>
      <c r="Q37" s="3360">
        <f t="shared" si="3"/>
        <v>4.8000000000000001E-2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659"/>
      <c r="B38" s="2041" t="s">
        <v>2037</v>
      </c>
      <c r="C38" s="175">
        <f>ROUND(D5*C22*C23*C24*C28*F38,0)</f>
        <v>182</v>
      </c>
      <c r="D38" s="2098"/>
      <c r="E38" s="171">
        <f t="shared" ref="E38:E42" si="4">ROUND(C38*D38/10000,0)</f>
        <v>0</v>
      </c>
      <c r="F38" s="171">
        <f>SUMIF(修正!A57:A68,G2,修正!C57:C68)</f>
        <v>0.2</v>
      </c>
      <c r="G38" s="171">
        <f>ROUND(IF(E2="工业",C38*$M$42,C38*$M$41),0)</f>
        <v>27</v>
      </c>
      <c r="H38" s="171">
        <f t="shared" ref="H38:H42" si="5">D38</f>
        <v>0</v>
      </c>
      <c r="I38" s="171">
        <f t="shared" ref="I38:I42" si="6">ROUND(G38*H38/10000,0)</f>
        <v>0</v>
      </c>
      <c r="J38" s="3011"/>
      <c r="K38" s="3359">
        <v>5.0000000000000001E-3</v>
      </c>
      <c r="L38" s="3359"/>
      <c r="M38" s="3359"/>
      <c r="N38" s="3359"/>
      <c r="O38" s="3359"/>
      <c r="P38" s="3359"/>
      <c r="Q38" s="3359"/>
      <c r="R38" s="1119"/>
      <c r="S38" s="1119"/>
      <c r="T38" s="1119"/>
      <c r="U38" s="1119"/>
      <c r="V38" s="1119"/>
      <c r="W38" s="1119"/>
      <c r="X38" s="1119"/>
      <c r="Y38" s="1119"/>
      <c r="Z38" s="1120"/>
      <c r="AA38" s="1120"/>
      <c r="AB38" s="1120"/>
      <c r="AC38" s="1120"/>
      <c r="AD38" s="1120"/>
    </row>
    <row r="39" spans="1:37" ht="13.5" thickBot="1">
      <c r="A39" s="3659"/>
      <c r="B39" s="2041" t="s">
        <v>3259</v>
      </c>
      <c r="C39" s="175">
        <f>ROUND(D5*C22*C23*C24*C28*F39,0)</f>
        <v>182</v>
      </c>
      <c r="D39" s="2098"/>
      <c r="E39" s="171">
        <f t="shared" si="4"/>
        <v>0</v>
      </c>
      <c r="F39" s="171">
        <f>SUMIF(修正!A57:A68,G2,修正!D57:D68)</f>
        <v>0.2</v>
      </c>
      <c r="G39" s="171">
        <f>ROUND(IF(E2="工业",C39*$M$42,C39*$M$41),0)</f>
        <v>27</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182</v>
      </c>
      <c r="D40" s="2098"/>
      <c r="E40" s="171">
        <f t="shared" si="4"/>
        <v>0</v>
      </c>
      <c r="F40" s="175">
        <f>SUMIF(修正!A57:A68,G2,修正!E57:E68)</f>
        <v>0.2</v>
      </c>
      <c r="G40" s="171">
        <f>ROUND(IF(E2="工业",C40*$M$42,C40*$M$41),0)</f>
        <v>27</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182</v>
      </c>
      <c r="D41" s="2098"/>
      <c r="E41" s="171">
        <f t="shared" si="4"/>
        <v>0</v>
      </c>
      <c r="F41" s="175">
        <f>SUMIF(修正!A57:A68,G2,修正!F57:F68)</f>
        <v>0.2</v>
      </c>
      <c r="G41" s="171">
        <f>ROUND(IF(E2="工业",C41*$M$42,C41*$M$41),0)</f>
        <v>27</v>
      </c>
      <c r="H41" s="171">
        <f t="shared" si="5"/>
        <v>0</v>
      </c>
      <c r="I41" s="171">
        <f t="shared" si="6"/>
        <v>0</v>
      </c>
      <c r="J41" s="2114"/>
      <c r="L41" s="3362" t="s">
        <v>3267</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91</v>
      </c>
      <c r="D42" s="2103"/>
      <c r="E42" s="187">
        <f t="shared" si="4"/>
        <v>0</v>
      </c>
      <c r="F42" s="767">
        <f>SUMIF(修正!A57:A68,G2,修正!G57:G68)</f>
        <v>0.1</v>
      </c>
      <c r="G42" s="187">
        <f>ROUND(IF(E2="工业",C42*$M$42,C42*$M$41),0)</f>
        <v>14</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0.89229999999999998</v>
      </c>
      <c r="D44" s="171" t="s">
        <v>1999</v>
      </c>
      <c r="E44" s="2153">
        <f>G24</f>
        <v>0.05</v>
      </c>
      <c r="F44" s="171" t="s">
        <v>2008</v>
      </c>
      <c r="G44" s="183">
        <f>项目基本情况!H15</f>
        <v>34.53</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24.75">
      <c r="A50" s="2130" t="s">
        <v>2052</v>
      </c>
      <c r="B50" s="2133">
        <f>估价对象房地状况!C4</f>
        <v>0</v>
      </c>
      <c r="C50" s="2044"/>
      <c r="D50" s="1065">
        <f t="shared" ref="D50:D58" si="7">SUMIF($J$49:$N$49,C50,J50:N50)</f>
        <v>0</v>
      </c>
      <c r="E50" s="744">
        <f>ROUND(SUM(D50:D58),4)</f>
        <v>0</v>
      </c>
      <c r="F50" s="1814" t="str">
        <f>IF(E2="商业",SUMIF(L1:L12,G2,N1:N12),"——")</f>
        <v>——</v>
      </c>
      <c r="G50" s="1063"/>
      <c r="H50" s="1066" t="str">
        <f t="shared" ref="H50:H58" si="8">IFERROR(ROUNDDOWN($F$50*I50/2,4),"——")</f>
        <v>——</v>
      </c>
      <c r="I50" s="3369">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14.25">
      <c r="A51" s="2130" t="s">
        <v>2053</v>
      </c>
      <c r="B51" s="2134">
        <f>估价对象房地状况!C18</f>
        <v>0</v>
      </c>
      <c r="C51" s="2044"/>
      <c r="D51" s="1065">
        <f t="shared" si="7"/>
        <v>0</v>
      </c>
      <c r="E51" s="745"/>
      <c r="F51" s="1814"/>
      <c r="G51" s="1063"/>
      <c r="H51" s="1066" t="str">
        <f t="shared" si="8"/>
        <v>——</v>
      </c>
      <c r="I51" s="3369">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71" t="s">
        <v>3269</v>
      </c>
      <c r="B52" s="2134">
        <f>估价对象房地状况!C19</f>
        <v>0</v>
      </c>
      <c r="C52" s="2044"/>
      <c r="D52" s="1065">
        <f t="shared" si="7"/>
        <v>0</v>
      </c>
      <c r="E52" s="745"/>
      <c r="F52" s="1814"/>
      <c r="G52" s="1063"/>
      <c r="H52" s="1066" t="str">
        <f t="shared" si="8"/>
        <v>——</v>
      </c>
      <c r="I52" s="3369">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9">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9">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9">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4">
      <c r="A56" s="2137" t="s">
        <v>2059</v>
      </c>
      <c r="B56" s="1326">
        <f>估价对象房地状况!C21</f>
        <v>0</v>
      </c>
      <c r="C56" s="2044"/>
      <c r="D56" s="1065">
        <f t="shared" si="7"/>
        <v>0</v>
      </c>
      <c r="E56" s="745"/>
      <c r="F56" s="1814"/>
      <c r="G56" s="1063"/>
      <c r="H56" s="1066" t="str">
        <f t="shared" si="8"/>
        <v>——</v>
      </c>
      <c r="I56" s="3369">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4">
      <c r="A57" s="2137" t="s">
        <v>2060</v>
      </c>
      <c r="B57" s="2134">
        <f>估价对象房地状况!C22</f>
        <v>0</v>
      </c>
      <c r="C57" s="2044"/>
      <c r="D57" s="1065">
        <f t="shared" si="7"/>
        <v>0</v>
      </c>
      <c r="E57" s="745"/>
      <c r="F57" s="1814"/>
      <c r="G57" s="1063"/>
      <c r="H57" s="1066" t="str">
        <f t="shared" si="8"/>
        <v>——</v>
      </c>
      <c r="I57" s="3369">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4.75" thickBot="1">
      <c r="A58" s="2138" t="s">
        <v>2061</v>
      </c>
      <c r="B58" s="2139">
        <f>估价对象房地状况!C20</f>
        <v>0</v>
      </c>
      <c r="C58" s="2044"/>
      <c r="D58" s="1065">
        <f t="shared" si="7"/>
        <v>0</v>
      </c>
      <c r="E58" s="746"/>
      <c r="F58" s="1814"/>
      <c r="G58" s="1063"/>
      <c r="H58" s="1066" t="str">
        <f t="shared" si="8"/>
        <v>——</v>
      </c>
      <c r="I58" s="3370">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24">
      <c r="A61" s="2130" t="s">
        <v>2064</v>
      </c>
      <c r="B61" s="2133">
        <f>估价对象房地状况!C17</f>
        <v>0</v>
      </c>
      <c r="C61" s="2044"/>
      <c r="D61" s="1065">
        <f t="shared" ref="D61:D69" si="12">SUMIF($J$60:$N$60,C61,J61:N61)</f>
        <v>0</v>
      </c>
      <c r="E61" s="744">
        <f>ROUND(SUM(D61:D69),4)</f>
        <v>0</v>
      </c>
      <c r="F61" s="1814" t="str">
        <f>IF(E2="办公",SUMIF(L1:L12,G2,N1:N12),"——")</f>
        <v>——</v>
      </c>
      <c r="G61" s="1063"/>
      <c r="H61" s="1066" t="str">
        <f t="shared" ref="H61:H69" si="13">IFERROR(ROUNDDOWN($F$61*I61/2,4),"——")</f>
        <v>——</v>
      </c>
      <c r="I61" s="3369">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30" t="s">
        <v>2053</v>
      </c>
      <c r="B62" s="2134">
        <f>估价对象房地状况!C18</f>
        <v>0</v>
      </c>
      <c r="C62" s="2044"/>
      <c r="D62" s="1065">
        <f t="shared" si="12"/>
        <v>0</v>
      </c>
      <c r="E62" s="745"/>
      <c r="F62" s="1814"/>
      <c r="G62" s="1063"/>
      <c r="H62" s="1066" t="str">
        <f t="shared" si="13"/>
        <v>——</v>
      </c>
      <c r="I62" s="3369">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71" t="s">
        <v>3269</v>
      </c>
      <c r="B63" s="2134">
        <f>估价对象房地状况!C19</f>
        <v>0</v>
      </c>
      <c r="C63" s="2044"/>
      <c r="D63" s="1065">
        <f t="shared" si="12"/>
        <v>0</v>
      </c>
      <c r="E63" s="745"/>
      <c r="F63" s="1814"/>
      <c r="G63" s="1063"/>
      <c r="H63" s="1066" t="str">
        <f t="shared" si="13"/>
        <v>——</v>
      </c>
      <c r="I63" s="3369">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9">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9">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9">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2059</v>
      </c>
      <c r="B67" s="1326">
        <f>估价对象房地状况!C21</f>
        <v>0</v>
      </c>
      <c r="C67" s="2044"/>
      <c r="D67" s="1065">
        <f t="shared" si="12"/>
        <v>0</v>
      </c>
      <c r="E67" s="745"/>
      <c r="F67" s="1814"/>
      <c r="G67" s="1063"/>
      <c r="H67" s="1066" t="str">
        <f t="shared" si="13"/>
        <v>——</v>
      </c>
      <c r="I67" s="3369">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2060</v>
      </c>
      <c r="B68" s="1326">
        <f>估价对象房地状况!C22</f>
        <v>0</v>
      </c>
      <c r="C68" s="2044"/>
      <c r="D68" s="1065">
        <f t="shared" si="12"/>
        <v>0</v>
      </c>
      <c r="E68" s="745"/>
      <c r="F68" s="1814"/>
      <c r="G68" s="1063"/>
      <c r="H68" s="1066" t="str">
        <f t="shared" si="13"/>
        <v>——</v>
      </c>
      <c r="I68" s="3369">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8" t="s">
        <v>2061</v>
      </c>
      <c r="B69" s="2140">
        <f>估价对象房地状况!C20</f>
        <v>0</v>
      </c>
      <c r="C69" s="2044"/>
      <c r="D69" s="1065">
        <f t="shared" si="12"/>
        <v>0</v>
      </c>
      <c r="E69" s="746"/>
      <c r="F69" s="1814"/>
      <c r="G69" s="1063"/>
      <c r="H69" s="1066" t="str">
        <f t="shared" si="13"/>
        <v>——</v>
      </c>
      <c r="I69" s="3370">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24">
      <c r="A72" s="2130" t="s">
        <v>2066</v>
      </c>
      <c r="B72" s="2133">
        <f>估价对象房地状况!C15</f>
        <v>0</v>
      </c>
      <c r="C72" s="2044"/>
      <c r="D72" s="1065">
        <f t="shared" ref="D72:D80" si="17">SUMIF($J$71:$N$71,C72,J72:N72)</f>
        <v>0</v>
      </c>
      <c r="E72" s="744">
        <f>ROUND(SUM(D72:D80),4)</f>
        <v>0</v>
      </c>
      <c r="F72" s="1814" t="str">
        <f>IF(E2="住宅",SUMIF(L1:L12,G2,N1:N12),"——")</f>
        <v>——</v>
      </c>
      <c r="G72" s="1063"/>
      <c r="H72" s="1066" t="str">
        <f t="shared" ref="H72:H80" si="18">IFERROR(ROUNDDOWN($F$72*I72/2,4),"——")</f>
        <v>——</v>
      </c>
      <c r="I72" s="3369">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2053</v>
      </c>
      <c r="B73" s="2134">
        <f>估价对象房地状况!C18</f>
        <v>0</v>
      </c>
      <c r="C73" s="2044"/>
      <c r="D73" s="1065">
        <f t="shared" si="17"/>
        <v>0</v>
      </c>
      <c r="E73" s="747"/>
      <c r="F73" s="1814"/>
      <c r="G73" s="1063"/>
      <c r="H73" s="1066" t="str">
        <f t="shared" si="18"/>
        <v>——</v>
      </c>
      <c r="I73" s="3369">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71" t="s">
        <v>3269</v>
      </c>
      <c r="B74" s="2134">
        <f>估价对象房地状况!C19</f>
        <v>0</v>
      </c>
      <c r="C74" s="2044"/>
      <c r="D74" s="1065">
        <f t="shared" si="17"/>
        <v>0</v>
      </c>
      <c r="E74" s="747"/>
      <c r="F74" s="1814"/>
      <c r="G74" s="1063"/>
      <c r="H74" s="1066" t="str">
        <f t="shared" si="18"/>
        <v>——</v>
      </c>
      <c r="I74" s="3369">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9">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2059</v>
      </c>
      <c r="B76" s="1326">
        <f>估价对象房地状况!C21</f>
        <v>0</v>
      </c>
      <c r="C76" s="2044"/>
      <c r="D76" s="1065">
        <f t="shared" si="17"/>
        <v>0</v>
      </c>
      <c r="E76" s="747"/>
      <c r="F76" s="1814"/>
      <c r="G76" s="1063"/>
      <c r="H76" s="1066" t="str">
        <f t="shared" si="18"/>
        <v>——</v>
      </c>
      <c r="I76" s="3369">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2060</v>
      </c>
      <c r="B77" s="1326">
        <f>估价对象房地状况!C22</f>
        <v>0</v>
      </c>
      <c r="C77" s="2044"/>
      <c r="D77" s="1065">
        <f t="shared" si="17"/>
        <v>0</v>
      </c>
      <c r="E77" s="747"/>
      <c r="F77" s="1814"/>
      <c r="G77" s="1063"/>
      <c r="H77" s="1066" t="str">
        <f t="shared" si="18"/>
        <v>——</v>
      </c>
      <c r="I77" s="3369">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9">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2061</v>
      </c>
      <c r="B79" s="2133">
        <f>估价对象房地状况!C20</f>
        <v>0</v>
      </c>
      <c r="C79" s="2044"/>
      <c r="D79" s="1065">
        <f t="shared" si="17"/>
        <v>0</v>
      </c>
      <c r="E79" s="747"/>
      <c r="F79" s="1814"/>
      <c r="G79" s="1063"/>
      <c r="H79" s="1066" t="str">
        <f t="shared" si="18"/>
        <v>——</v>
      </c>
      <c r="I79" s="3369">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70">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1.05</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24">
      <c r="A83" s="2130" t="s">
        <v>2070</v>
      </c>
      <c r="B83" s="2134">
        <f>估价对象房地状况!G15</f>
        <v>0</v>
      </c>
      <c r="C83" s="2044" t="s">
        <v>3390</v>
      </c>
      <c r="D83" s="1065">
        <f t="shared" ref="D83:D90" si="22">SUMIF($J$82:$N$82,C83,J83:N83)</f>
        <v>1.6299999999999999E-2</v>
      </c>
      <c r="E83" s="744">
        <f>ROUND(SUM(D83:D90),4)</f>
        <v>0.05</v>
      </c>
      <c r="F83" s="1814">
        <f>IF(E2="工业",SUMIF(L1:L12,G2,N1:N12),"——")</f>
        <v>0.126</v>
      </c>
      <c r="G83" s="1063">
        <f>H83</f>
        <v>1.6299999999999999E-2</v>
      </c>
      <c r="H83" s="1066">
        <f t="shared" ref="H83:H90" si="23">IFERROR(ROUNDDOWN($F$83*I83/2,4),"——")</f>
        <v>1.6299999999999999E-2</v>
      </c>
      <c r="I83" s="3369">
        <v>0.26</v>
      </c>
      <c r="J83" s="1064">
        <f t="shared" ref="J83:J90" si="24">K83+$G83</f>
        <v>3.2599999999999997E-2</v>
      </c>
      <c r="K83" s="1064">
        <f t="shared" ref="K83:K90" si="25">$L83+$G83</f>
        <v>1.6299999999999999E-2</v>
      </c>
      <c r="L83" s="1064">
        <v>0</v>
      </c>
      <c r="M83" s="1064">
        <f t="shared" ref="M83:N90" si="26">L83-$G83</f>
        <v>-1.6299999999999999E-2</v>
      </c>
      <c r="N83" s="1064">
        <f t="shared" si="26"/>
        <v>-3.2599999999999997E-2</v>
      </c>
      <c r="Z83" s="1998"/>
      <c r="AA83" s="2053"/>
      <c r="AG83" s="1121"/>
      <c r="AK83" s="2053"/>
    </row>
    <row r="84" spans="1:37" ht="14.25">
      <c r="A84" s="2130" t="s">
        <v>2053</v>
      </c>
      <c r="B84" s="2134">
        <f>估价对象房地状况!G16</f>
        <v>0</v>
      </c>
      <c r="C84" s="2044" t="s">
        <v>3391</v>
      </c>
      <c r="D84" s="1065">
        <f t="shared" si="22"/>
        <v>0</v>
      </c>
      <c r="E84" s="747"/>
      <c r="F84" s="1814"/>
      <c r="G84" s="1063">
        <f t="shared" ref="G84:G90" si="27">H84</f>
        <v>1.89E-2</v>
      </c>
      <c r="H84" s="1066">
        <f t="shared" si="23"/>
        <v>1.89E-2</v>
      </c>
      <c r="I84" s="3369">
        <v>0.3</v>
      </c>
      <c r="J84" s="1064">
        <f t="shared" si="24"/>
        <v>3.78E-2</v>
      </c>
      <c r="K84" s="1064">
        <f t="shared" si="25"/>
        <v>1.89E-2</v>
      </c>
      <c r="L84" s="1064">
        <v>0</v>
      </c>
      <c r="M84" s="1064">
        <f t="shared" si="26"/>
        <v>-1.89E-2</v>
      </c>
      <c r="N84" s="1064">
        <f t="shared" si="26"/>
        <v>-3.78E-2</v>
      </c>
      <c r="Z84" s="1998"/>
      <c r="AA84" s="2053"/>
      <c r="AG84" s="1121"/>
      <c r="AK84" s="2053"/>
    </row>
    <row r="85" spans="1:37" ht="36">
      <c r="A85" s="3371" t="s">
        <v>3270</v>
      </c>
      <c r="B85" s="2134">
        <f>估价对象房地状况!G17</f>
        <v>0</v>
      </c>
      <c r="C85" s="2044" t="s">
        <v>3392</v>
      </c>
      <c r="D85" s="1065">
        <f t="shared" si="22"/>
        <v>1.26E-2</v>
      </c>
      <c r="E85" s="747"/>
      <c r="F85" s="1814"/>
      <c r="G85" s="1063">
        <f t="shared" si="27"/>
        <v>6.3E-3</v>
      </c>
      <c r="H85" s="1066">
        <f t="shared" si="23"/>
        <v>6.3E-3</v>
      </c>
      <c r="I85" s="3369">
        <v>0.1</v>
      </c>
      <c r="J85" s="1064">
        <f t="shared" si="24"/>
        <v>1.26E-2</v>
      </c>
      <c r="K85" s="1064">
        <f t="shared" si="25"/>
        <v>6.3E-3</v>
      </c>
      <c r="L85" s="1064">
        <v>0</v>
      </c>
      <c r="M85" s="1064">
        <f t="shared" si="26"/>
        <v>-6.3E-3</v>
      </c>
      <c r="N85" s="1064">
        <f t="shared" si="26"/>
        <v>-1.26E-2</v>
      </c>
      <c r="Z85" s="1998"/>
      <c r="AA85" s="2053"/>
      <c r="AG85" s="1121"/>
      <c r="AK85" s="2053"/>
    </row>
    <row r="86" spans="1:37" ht="14.25">
      <c r="A86" s="2130" t="s">
        <v>2067</v>
      </c>
      <c r="B86" s="2134">
        <f>估价对象房地状况!G22</f>
        <v>0</v>
      </c>
      <c r="C86" s="3455" t="s">
        <v>3390</v>
      </c>
      <c r="D86" s="1065">
        <f t="shared" si="22"/>
        <v>3.0999999999999999E-3</v>
      </c>
      <c r="E86" s="747"/>
      <c r="F86" s="1814"/>
      <c r="G86" s="1063">
        <f t="shared" si="27"/>
        <v>3.0999999999999999E-3</v>
      </c>
      <c r="H86" s="1066">
        <f t="shared" si="23"/>
        <v>3.0999999999999999E-3</v>
      </c>
      <c r="I86" s="3369">
        <v>0.05</v>
      </c>
      <c r="J86" s="1064">
        <f t="shared" si="24"/>
        <v>6.1999999999999998E-3</v>
      </c>
      <c r="K86" s="1064">
        <f t="shared" si="25"/>
        <v>3.0999999999999999E-3</v>
      </c>
      <c r="L86" s="1064">
        <v>0</v>
      </c>
      <c r="M86" s="1064">
        <f t="shared" si="26"/>
        <v>-3.0999999999999999E-3</v>
      </c>
      <c r="N86" s="1064">
        <f t="shared" si="26"/>
        <v>-6.1999999999999998E-3</v>
      </c>
      <c r="Z86" s="1998"/>
      <c r="AA86" s="2053"/>
      <c r="AG86" s="1121"/>
      <c r="AK86" s="2053"/>
    </row>
    <row r="87" spans="1:37" ht="24">
      <c r="A87" s="2130" t="s">
        <v>2059</v>
      </c>
      <c r="B87" s="1326">
        <f>估价对象房地状况!G19</f>
        <v>0</v>
      </c>
      <c r="C87" s="3455" t="s">
        <v>3391</v>
      </c>
      <c r="D87" s="1065">
        <f t="shared" si="22"/>
        <v>0</v>
      </c>
      <c r="E87" s="747"/>
      <c r="F87" s="1814"/>
      <c r="G87" s="1063">
        <f t="shared" si="27"/>
        <v>3.7000000000000002E-3</v>
      </c>
      <c r="H87" s="1066">
        <f t="shared" si="23"/>
        <v>3.7000000000000002E-3</v>
      </c>
      <c r="I87" s="3369">
        <v>0.06</v>
      </c>
      <c r="J87" s="1064">
        <f t="shared" si="24"/>
        <v>7.4000000000000003E-3</v>
      </c>
      <c r="K87" s="1064">
        <f t="shared" si="25"/>
        <v>3.7000000000000002E-3</v>
      </c>
      <c r="L87" s="1064">
        <v>0</v>
      </c>
      <c r="M87" s="1064">
        <f t="shared" si="26"/>
        <v>-3.7000000000000002E-3</v>
      </c>
      <c r="N87" s="1064">
        <f t="shared" si="26"/>
        <v>-7.4000000000000003E-3</v>
      </c>
    </row>
    <row r="88" spans="1:37" ht="24">
      <c r="A88" s="2130" t="s">
        <v>2060</v>
      </c>
      <c r="B88" s="1326">
        <f>估价对象房地状况!G20</f>
        <v>0</v>
      </c>
      <c r="C88" s="2044" t="s">
        <v>3390</v>
      </c>
      <c r="D88" s="1065">
        <f t="shared" si="22"/>
        <v>7.4999999999999997E-3</v>
      </c>
      <c r="E88" s="747"/>
      <c r="F88" s="1814"/>
      <c r="G88" s="1063">
        <f t="shared" si="27"/>
        <v>7.4999999999999997E-3</v>
      </c>
      <c r="H88" s="1066">
        <f t="shared" si="23"/>
        <v>7.4999999999999997E-3</v>
      </c>
      <c r="I88" s="3369">
        <v>0.12</v>
      </c>
      <c r="J88" s="1064">
        <f t="shared" si="24"/>
        <v>1.4999999999999999E-2</v>
      </c>
      <c r="K88" s="1064">
        <f t="shared" si="25"/>
        <v>7.4999999999999997E-3</v>
      </c>
      <c r="L88" s="1064">
        <v>0</v>
      </c>
      <c r="M88" s="1064">
        <f t="shared" si="26"/>
        <v>-7.4999999999999997E-3</v>
      </c>
      <c r="N88" s="1064">
        <f t="shared" si="26"/>
        <v>-1.4999999999999999E-2</v>
      </c>
    </row>
    <row r="89" spans="1:37" ht="24">
      <c r="A89" s="2130" t="s">
        <v>2057</v>
      </c>
      <c r="B89" s="2136" t="s">
        <v>2071</v>
      </c>
      <c r="C89" s="2044" t="s">
        <v>3392</v>
      </c>
      <c r="D89" s="1065">
        <f t="shared" si="22"/>
        <v>7.4000000000000003E-3</v>
      </c>
      <c r="E89" s="747"/>
      <c r="F89" s="1814"/>
      <c r="G89" s="1063">
        <f t="shared" si="27"/>
        <v>3.7000000000000002E-3</v>
      </c>
      <c r="H89" s="1066">
        <f t="shared" si="23"/>
        <v>3.7000000000000002E-3</v>
      </c>
      <c r="I89" s="3369">
        <v>0.06</v>
      </c>
      <c r="J89" s="1064">
        <f t="shared" si="24"/>
        <v>7.4000000000000003E-3</v>
      </c>
      <c r="K89" s="1064">
        <f t="shared" si="25"/>
        <v>3.7000000000000002E-3</v>
      </c>
      <c r="L89" s="1064">
        <v>0</v>
      </c>
      <c r="M89" s="1064">
        <f t="shared" si="26"/>
        <v>-3.7000000000000002E-3</v>
      </c>
      <c r="N89" s="1064">
        <f t="shared" si="26"/>
        <v>-7.4000000000000003E-3</v>
      </c>
    </row>
    <row r="90" spans="1:37" ht="15" thickBot="1">
      <c r="A90" s="2138" t="s">
        <v>2072</v>
      </c>
      <c r="B90" s="2143">
        <f>估价对象房地状况!G18</f>
        <v>0</v>
      </c>
      <c r="C90" s="2044" t="s">
        <v>3390</v>
      </c>
      <c r="D90" s="1065">
        <f t="shared" si="22"/>
        <v>3.0999999999999999E-3</v>
      </c>
      <c r="E90" s="748"/>
      <c r="F90" s="1814"/>
      <c r="G90" s="1063">
        <f t="shared" si="27"/>
        <v>3.0999999999999999E-3</v>
      </c>
      <c r="H90" s="1066">
        <f t="shared" si="23"/>
        <v>3.0999999999999999E-3</v>
      </c>
      <c r="I90" s="3370">
        <v>0.05</v>
      </c>
      <c r="J90" s="1064">
        <f t="shared" si="24"/>
        <v>6.1999999999999998E-3</v>
      </c>
      <c r="K90" s="1064">
        <f t="shared" si="25"/>
        <v>3.0999999999999999E-3</v>
      </c>
      <c r="L90" s="1064">
        <v>0</v>
      </c>
      <c r="M90" s="1064">
        <f t="shared" si="26"/>
        <v>-3.0999999999999999E-3</v>
      </c>
      <c r="N90" s="1064">
        <f t="shared" si="26"/>
        <v>-6.1999999999999998E-3</v>
      </c>
    </row>
    <row r="91" spans="1:37" ht="15">
      <c r="A91" s="3379" t="s">
        <v>2606</v>
      </c>
      <c r="B91" s="3380">
        <f>1+E93</f>
        <v>1</v>
      </c>
      <c r="C91" s="3373"/>
      <c r="D91" s="3374"/>
      <c r="E91" s="1814"/>
      <c r="F91" s="1814"/>
      <c r="G91" s="3375"/>
      <c r="H91" s="3376"/>
      <c r="I91" s="3377"/>
      <c r="J91" s="3378"/>
      <c r="K91" s="3378"/>
      <c r="L91" s="3378"/>
      <c r="M91" s="3378"/>
      <c r="N91" s="3378"/>
    </row>
    <row r="92" spans="1:37" ht="24.75">
      <c r="A92" s="3381" t="s">
        <v>3271</v>
      </c>
      <c r="B92" s="3368"/>
      <c r="C92" s="3368" t="s">
        <v>3280</v>
      </c>
      <c r="D92" s="3368" t="s">
        <v>3281</v>
      </c>
      <c r="E92" s="3350" t="s">
        <v>3282</v>
      </c>
      <c r="F92" s="3383" t="s">
        <v>3283</v>
      </c>
      <c r="G92" s="3368" t="s">
        <v>3284</v>
      </c>
      <c r="H92" s="3390" t="s">
        <v>3287</v>
      </c>
      <c r="I92" s="3368" t="s">
        <v>3288</v>
      </c>
      <c r="J92" s="3391" t="s">
        <v>3289</v>
      </c>
      <c r="K92" s="3391" t="s">
        <v>3290</v>
      </c>
      <c r="L92" s="3391" t="s">
        <v>3291</v>
      </c>
      <c r="M92" s="3391" t="s">
        <v>3292</v>
      </c>
      <c r="N92" s="3391" t="s">
        <v>3293</v>
      </c>
    </row>
    <row r="93" spans="1:37" ht="24">
      <c r="A93" s="3371" t="s">
        <v>3272</v>
      </c>
      <c r="B93" s="1306"/>
      <c r="C93" s="2044"/>
      <c r="D93" s="3368">
        <f>SUMIF($J$92:$N$92,C93,J93:N93)</f>
        <v>0</v>
      </c>
      <c r="E93" s="3384">
        <f>ROUND(SUM(D93:D101),4)</f>
        <v>0</v>
      </c>
      <c r="F93" s="1814" t="str">
        <f>IF(E2="公共服务",SUMIF(L1:L12,G2,N1:N12),"——")</f>
        <v>——</v>
      </c>
      <c r="G93" s="3375"/>
      <c r="H93" s="3423" t="str">
        <f>IFERROR(ROUNDDOWN($F$93*I93/2,4),"——")</f>
        <v>——</v>
      </c>
      <c r="I93" s="3369">
        <v>0.25</v>
      </c>
      <c r="J93" s="3347">
        <f t="shared" ref="J93:J101" si="28">K93+$G93</f>
        <v>0</v>
      </c>
      <c r="K93" s="3347">
        <f t="shared" ref="K93:K101" si="29">$L93+$G93</f>
        <v>0</v>
      </c>
      <c r="L93" s="3347">
        <v>0</v>
      </c>
      <c r="M93" s="3347">
        <f t="shared" ref="M93:N101" si="30">L93-$G93</f>
        <v>0</v>
      </c>
      <c r="N93" s="3347">
        <f t="shared" si="30"/>
        <v>0</v>
      </c>
    </row>
    <row r="94" spans="1:37" ht="14.25">
      <c r="A94" s="3381" t="s">
        <v>3273</v>
      </c>
      <c r="B94" s="3372">
        <f>估价对象房地状况!C18</f>
        <v>0</v>
      </c>
      <c r="C94" s="2044"/>
      <c r="D94" s="3368">
        <f t="shared" ref="D94:D101" si="31">SUMIF($J$60:$N$60,C94,J94:N94)</f>
        <v>0</v>
      </c>
      <c r="E94" s="3385"/>
      <c r="F94" s="1814"/>
      <c r="G94" s="3375"/>
      <c r="H94" s="3423" t="str">
        <f>IFERROR(ROUNDDOWN($F$93*I94/2,4),"——")</f>
        <v>——</v>
      </c>
      <c r="I94" s="3369">
        <v>0.26</v>
      </c>
      <c r="J94" s="3347">
        <f t="shared" si="28"/>
        <v>0</v>
      </c>
      <c r="K94" s="3347">
        <f t="shared" si="29"/>
        <v>0</v>
      </c>
      <c r="L94" s="3347">
        <v>0</v>
      </c>
      <c r="M94" s="3347">
        <f t="shared" si="30"/>
        <v>0</v>
      </c>
      <c r="N94" s="3347">
        <f t="shared" si="30"/>
        <v>0</v>
      </c>
    </row>
    <row r="95" spans="1:37" ht="36">
      <c r="A95" s="3371" t="s">
        <v>3269</v>
      </c>
      <c r="B95" s="3372">
        <f>估价对象房地状况!C19</f>
        <v>0</v>
      </c>
      <c r="C95" s="2044"/>
      <c r="D95" s="3368">
        <f t="shared" si="31"/>
        <v>0</v>
      </c>
      <c r="E95" s="3385"/>
      <c r="F95" s="1814"/>
      <c r="G95" s="3375"/>
      <c r="H95" s="3423" t="str">
        <f t="shared" ref="H95:H101" si="32">IFERROR(ROUNDDOWN($F$93*I95/2,4),"——")</f>
        <v>——</v>
      </c>
      <c r="I95" s="3369">
        <v>0.11</v>
      </c>
      <c r="J95" s="3347">
        <f t="shared" si="28"/>
        <v>0</v>
      </c>
      <c r="K95" s="3347">
        <f t="shared" si="29"/>
        <v>0</v>
      </c>
      <c r="L95" s="3347">
        <v>0</v>
      </c>
      <c r="M95" s="3347">
        <f t="shared" si="30"/>
        <v>0</v>
      </c>
      <c r="N95" s="3347">
        <f t="shared" si="30"/>
        <v>0</v>
      </c>
    </row>
    <row r="96" spans="1:37" ht="36.75">
      <c r="A96" s="3381" t="s">
        <v>3274</v>
      </c>
      <c r="B96" s="3387" t="s">
        <v>3285</v>
      </c>
      <c r="C96" s="2044"/>
      <c r="D96" s="3368">
        <f t="shared" si="31"/>
        <v>0</v>
      </c>
      <c r="E96" s="3385"/>
      <c r="F96" s="1814"/>
      <c r="G96" s="3375"/>
      <c r="H96" s="3423" t="str">
        <f t="shared" si="32"/>
        <v>——</v>
      </c>
      <c r="I96" s="3369">
        <v>0.05</v>
      </c>
      <c r="J96" s="3347">
        <f t="shared" si="28"/>
        <v>0</v>
      </c>
      <c r="K96" s="3347">
        <f t="shared" si="29"/>
        <v>0</v>
      </c>
      <c r="L96" s="3347">
        <v>0</v>
      </c>
      <c r="M96" s="3347">
        <f t="shared" si="30"/>
        <v>0</v>
      </c>
      <c r="N96" s="3347">
        <f t="shared" si="30"/>
        <v>0</v>
      </c>
    </row>
    <row r="97" spans="1:14" ht="24">
      <c r="A97" s="3381" t="s">
        <v>3275</v>
      </c>
      <c r="B97" s="3372">
        <f>估价对象房地状况!C24</f>
        <v>0</v>
      </c>
      <c r="C97" s="2044"/>
      <c r="D97" s="3368">
        <f t="shared" si="31"/>
        <v>0</v>
      </c>
      <c r="E97" s="3385"/>
      <c r="F97" s="1814"/>
      <c r="G97" s="3375"/>
      <c r="H97" s="3423" t="str">
        <f t="shared" si="32"/>
        <v>——</v>
      </c>
      <c r="I97" s="3369">
        <v>0.05</v>
      </c>
      <c r="J97" s="3347">
        <f t="shared" si="28"/>
        <v>0</v>
      </c>
      <c r="K97" s="3347">
        <f t="shared" si="29"/>
        <v>0</v>
      </c>
      <c r="L97" s="3347">
        <v>0</v>
      </c>
      <c r="M97" s="3347">
        <f t="shared" si="30"/>
        <v>0</v>
      </c>
      <c r="N97" s="3347">
        <f t="shared" si="30"/>
        <v>0</v>
      </c>
    </row>
    <row r="98" spans="1:14" ht="24">
      <c r="A98" s="3381" t="s">
        <v>3276</v>
      </c>
      <c r="B98" s="3388" t="s">
        <v>3286</v>
      </c>
      <c r="C98" s="2044"/>
      <c r="D98" s="3368">
        <f t="shared" si="31"/>
        <v>0</v>
      </c>
      <c r="E98" s="3385"/>
      <c r="F98" s="1814"/>
      <c r="G98" s="3375"/>
      <c r="H98" s="3423" t="str">
        <f t="shared" si="32"/>
        <v>——</v>
      </c>
      <c r="I98" s="3369">
        <v>0.06</v>
      </c>
      <c r="J98" s="3347">
        <f t="shared" si="28"/>
        <v>0</v>
      </c>
      <c r="K98" s="3347">
        <f t="shared" si="29"/>
        <v>0</v>
      </c>
      <c r="L98" s="3347">
        <v>0</v>
      </c>
      <c r="M98" s="3347">
        <f t="shared" si="30"/>
        <v>0</v>
      </c>
      <c r="N98" s="3347">
        <f t="shared" si="30"/>
        <v>0</v>
      </c>
    </row>
    <row r="99" spans="1:14" ht="24">
      <c r="A99" s="3381" t="s">
        <v>3277</v>
      </c>
      <c r="B99" s="3372">
        <f>估价对象房地状况!C21</f>
        <v>0</v>
      </c>
      <c r="C99" s="2044"/>
      <c r="D99" s="3368">
        <f t="shared" si="31"/>
        <v>0</v>
      </c>
      <c r="E99" s="3385"/>
      <c r="F99" s="1814"/>
      <c r="G99" s="3375"/>
      <c r="H99" s="3423" t="str">
        <f t="shared" si="32"/>
        <v>——</v>
      </c>
      <c r="I99" s="3369">
        <v>0.06</v>
      </c>
      <c r="J99" s="3347">
        <f t="shared" si="28"/>
        <v>0</v>
      </c>
      <c r="K99" s="3347">
        <f t="shared" si="29"/>
        <v>0</v>
      </c>
      <c r="L99" s="3347">
        <v>0</v>
      </c>
      <c r="M99" s="3347">
        <f t="shared" si="30"/>
        <v>0</v>
      </c>
      <c r="N99" s="3347">
        <f t="shared" si="30"/>
        <v>0</v>
      </c>
    </row>
    <row r="100" spans="1:14" ht="24">
      <c r="A100" s="3381" t="s">
        <v>3278</v>
      </c>
      <c r="B100" s="3372">
        <f>估价对象房地状况!C22</f>
        <v>0</v>
      </c>
      <c r="C100" s="2044"/>
      <c r="D100" s="3368">
        <f t="shared" si="31"/>
        <v>0</v>
      </c>
      <c r="E100" s="3385"/>
      <c r="F100" s="1814"/>
      <c r="G100" s="3375"/>
      <c r="H100" s="3423" t="str">
        <f t="shared" si="32"/>
        <v>——</v>
      </c>
      <c r="I100" s="3369">
        <v>0.09</v>
      </c>
      <c r="J100" s="3347">
        <f t="shared" si="28"/>
        <v>0</v>
      </c>
      <c r="K100" s="3347">
        <f t="shared" si="29"/>
        <v>0</v>
      </c>
      <c r="L100" s="3347">
        <v>0</v>
      </c>
      <c r="M100" s="3347">
        <f t="shared" si="30"/>
        <v>0</v>
      </c>
      <c r="N100" s="3347">
        <f t="shared" si="30"/>
        <v>0</v>
      </c>
    </row>
    <row r="101" spans="1:14" ht="24.75" thickBot="1">
      <c r="A101" s="3382" t="s">
        <v>3279</v>
      </c>
      <c r="B101" s="3389">
        <f>估价对象房地状况!C20</f>
        <v>0</v>
      </c>
      <c r="C101" s="2044"/>
      <c r="D101" s="3368">
        <f t="shared" si="31"/>
        <v>0</v>
      </c>
      <c r="E101" s="3386"/>
      <c r="F101" s="1814"/>
      <c r="G101" s="3375"/>
      <c r="H101" s="3423" t="str">
        <f t="shared" si="32"/>
        <v>——</v>
      </c>
      <c r="I101" s="3370">
        <v>7.0000000000000007E-2</v>
      </c>
      <c r="J101" s="3347">
        <f t="shared" si="28"/>
        <v>0</v>
      </c>
      <c r="K101" s="3347">
        <f t="shared" si="29"/>
        <v>0</v>
      </c>
      <c r="L101" s="3347">
        <v>0</v>
      </c>
      <c r="M101" s="3347">
        <f t="shared" si="30"/>
        <v>0</v>
      </c>
      <c r="N101" s="3347">
        <f t="shared" si="30"/>
        <v>0</v>
      </c>
    </row>
    <row r="103" spans="1:14">
      <c r="A103" s="3656" t="s">
        <v>3294</v>
      </c>
      <c r="B103" s="3656"/>
      <c r="C103" s="3656"/>
      <c r="D103" s="3656"/>
      <c r="E103" s="3656"/>
      <c r="F103" s="3656"/>
      <c r="G103" s="3656"/>
      <c r="H103" s="3656"/>
      <c r="I103" s="3656"/>
      <c r="J103" s="3656"/>
      <c r="K103" s="3392"/>
      <c r="L103" s="3392"/>
      <c r="M103" s="3392"/>
      <c r="N103" s="3392"/>
    </row>
    <row r="104" spans="1:14">
      <c r="A104" s="3657" t="s">
        <v>3295</v>
      </c>
      <c r="B104" s="3657" t="s">
        <v>3296</v>
      </c>
      <c r="C104" s="3393" t="s">
        <v>3297</v>
      </c>
      <c r="D104" s="3394"/>
      <c r="E104" s="3394"/>
      <c r="F104" s="3394"/>
      <c r="G104" s="3394"/>
      <c r="H104" s="3394"/>
      <c r="I104" s="3394"/>
      <c r="J104" s="3395"/>
      <c r="K104" s="3396"/>
      <c r="L104" s="3396"/>
      <c r="M104" s="3396"/>
      <c r="N104" s="3396"/>
    </row>
    <row r="105" spans="1:14">
      <c r="A105" s="3657"/>
      <c r="B105" s="3657"/>
      <c r="C105" s="3397" t="s">
        <v>3298</v>
      </c>
      <c r="D105" s="3397" t="s">
        <v>3299</v>
      </c>
      <c r="E105" s="3397" t="s">
        <v>3300</v>
      </c>
      <c r="F105" s="3397" t="s">
        <v>3301</v>
      </c>
      <c r="G105" s="3397" t="s">
        <v>3302</v>
      </c>
      <c r="H105" s="3397" t="s">
        <v>3303</v>
      </c>
      <c r="I105" s="3397" t="s">
        <v>3304</v>
      </c>
      <c r="J105" s="3397" t="s">
        <v>3305</v>
      </c>
      <c r="K105" s="3397" t="s">
        <v>3306</v>
      </c>
      <c r="L105" s="3397" t="s">
        <v>3307</v>
      </c>
      <c r="M105" s="3397" t="s">
        <v>3308</v>
      </c>
      <c r="N105" s="3397" t="s">
        <v>3309</v>
      </c>
    </row>
    <row r="106" spans="1:14">
      <c r="A106" s="3643" t="s">
        <v>3310</v>
      </c>
      <c r="B106" s="3397">
        <v>1</v>
      </c>
      <c r="C106" s="3397">
        <v>1.5206</v>
      </c>
      <c r="D106" s="3397">
        <v>1.5206</v>
      </c>
      <c r="E106" s="3397">
        <v>1.5019</v>
      </c>
      <c r="F106" s="3397">
        <v>1.5019</v>
      </c>
      <c r="G106" s="3397">
        <v>1.5019</v>
      </c>
      <c r="H106" s="3397">
        <v>1.5019</v>
      </c>
      <c r="I106" s="3397">
        <v>1.5019</v>
      </c>
      <c r="J106" s="3397">
        <v>1.5418000000000001</v>
      </c>
      <c r="K106" s="3397">
        <v>1.5418000000000001</v>
      </c>
      <c r="L106" s="3397">
        <v>1.5418000000000001</v>
      </c>
      <c r="M106" s="3397">
        <v>1.5418000000000001</v>
      </c>
      <c r="N106" s="3397">
        <v>1.5418000000000001</v>
      </c>
    </row>
    <row r="107" spans="1:14">
      <c r="A107" s="3644"/>
      <c r="B107" s="3397">
        <v>2</v>
      </c>
      <c r="C107" s="3397">
        <v>1.2072000000000001</v>
      </c>
      <c r="D107" s="3397">
        <v>1.2072000000000001</v>
      </c>
      <c r="E107" s="3397">
        <v>1.1838</v>
      </c>
      <c r="F107" s="3397">
        <v>1.1838</v>
      </c>
      <c r="G107" s="3397">
        <v>1.1838</v>
      </c>
      <c r="H107" s="3397">
        <v>1.1838</v>
      </c>
      <c r="I107" s="3397">
        <v>1.1838</v>
      </c>
      <c r="J107" s="3397">
        <v>1.1883999999999999</v>
      </c>
      <c r="K107" s="3397">
        <v>1.1883999999999999</v>
      </c>
      <c r="L107" s="3397">
        <v>1.1883999999999999</v>
      </c>
      <c r="M107" s="3397">
        <v>1.1883999999999999</v>
      </c>
      <c r="N107" s="3397">
        <v>1.1883999999999999</v>
      </c>
    </row>
    <row r="108" spans="1:14">
      <c r="A108" s="3644"/>
      <c r="B108" s="3397">
        <v>3</v>
      </c>
      <c r="C108" s="3397">
        <v>1.0430999999999999</v>
      </c>
      <c r="D108" s="3397">
        <v>1.0430999999999999</v>
      </c>
      <c r="E108" s="3397">
        <v>1.0004999999999999</v>
      </c>
      <c r="F108" s="3397">
        <v>1.0004999999999999</v>
      </c>
      <c r="G108" s="3397">
        <v>1.0004999999999999</v>
      </c>
      <c r="H108" s="3397">
        <v>1.0004999999999999</v>
      </c>
      <c r="I108" s="3397">
        <v>1.0004999999999999</v>
      </c>
      <c r="J108" s="3397">
        <v>0.96940000000000004</v>
      </c>
      <c r="K108" s="3397">
        <v>0.96940000000000004</v>
      </c>
      <c r="L108" s="3397">
        <v>0.96940000000000004</v>
      </c>
      <c r="M108" s="3397">
        <v>0.96940000000000004</v>
      </c>
      <c r="N108" s="3397">
        <v>0.96940000000000004</v>
      </c>
    </row>
    <row r="109" spans="1:14">
      <c r="A109" s="3644"/>
      <c r="B109" s="3397">
        <v>4</v>
      </c>
      <c r="C109" s="3397">
        <v>0.94389999999999996</v>
      </c>
      <c r="D109" s="3397">
        <v>0.94389999999999996</v>
      </c>
      <c r="E109" s="3397">
        <v>0.88239999999999996</v>
      </c>
      <c r="F109" s="3397">
        <v>0.88239999999999996</v>
      </c>
      <c r="G109" s="3397">
        <v>0.88239999999999996</v>
      </c>
      <c r="H109" s="3397">
        <v>0.88239999999999996</v>
      </c>
      <c r="I109" s="3397">
        <v>0.88239999999999996</v>
      </c>
      <c r="J109" s="3397">
        <v>0.82299999999999995</v>
      </c>
      <c r="K109" s="3397">
        <v>0.82299999999999995</v>
      </c>
      <c r="L109" s="3397">
        <v>0.82299999999999995</v>
      </c>
      <c r="M109" s="3397">
        <v>0.82299999999999995</v>
      </c>
      <c r="N109" s="3397">
        <v>0.82299999999999995</v>
      </c>
    </row>
    <row r="110" spans="1:14">
      <c r="A110" s="3644"/>
      <c r="B110" s="3397">
        <v>5</v>
      </c>
      <c r="C110" s="3397">
        <v>0.89959999999999996</v>
      </c>
      <c r="D110" s="3397">
        <v>0.89959999999999996</v>
      </c>
      <c r="E110" s="3397">
        <v>0.84799999999999998</v>
      </c>
      <c r="F110" s="3397">
        <v>0.84799999999999998</v>
      </c>
      <c r="G110" s="3397">
        <v>0.84799999999999998</v>
      </c>
      <c r="H110" s="3397">
        <v>0.84799999999999998</v>
      </c>
      <c r="I110" s="3397">
        <v>0.84799999999999998</v>
      </c>
      <c r="J110" s="3397">
        <v>0.74980000000000002</v>
      </c>
      <c r="K110" s="3397">
        <v>0.74980000000000002</v>
      </c>
      <c r="L110" s="3397">
        <v>0.74980000000000002</v>
      </c>
      <c r="M110" s="3397">
        <v>0.74980000000000002</v>
      </c>
      <c r="N110" s="3397">
        <v>0.74980000000000002</v>
      </c>
    </row>
    <row r="111" spans="1:14">
      <c r="A111" s="3644"/>
      <c r="B111" s="3397" t="s">
        <v>3268</v>
      </c>
      <c r="C111" s="3398">
        <f>$I$3</f>
        <v>0</v>
      </c>
      <c r="D111" s="3398">
        <f t="shared" ref="D111:M111" si="33">$I$3</f>
        <v>0</v>
      </c>
      <c r="E111" s="3398">
        <f t="shared" si="33"/>
        <v>0</v>
      </c>
      <c r="F111" s="3398">
        <f t="shared" si="33"/>
        <v>0</v>
      </c>
      <c r="G111" s="3398">
        <f t="shared" si="33"/>
        <v>0</v>
      </c>
      <c r="H111" s="3398">
        <f t="shared" si="33"/>
        <v>0</v>
      </c>
      <c r="I111" s="3398">
        <f t="shared" si="33"/>
        <v>0</v>
      </c>
      <c r="J111" s="3398">
        <f t="shared" si="33"/>
        <v>0</v>
      </c>
      <c r="K111" s="3398">
        <f t="shared" si="33"/>
        <v>0</v>
      </c>
      <c r="L111" s="3398">
        <f t="shared" si="33"/>
        <v>0</v>
      </c>
      <c r="M111" s="3398">
        <f t="shared" si="33"/>
        <v>0</v>
      </c>
      <c r="N111" s="3398">
        <f>$I$3</f>
        <v>0</v>
      </c>
    </row>
    <row r="112" spans="1:14">
      <c r="A112" s="3645"/>
      <c r="B112" s="3397">
        <v>6</v>
      </c>
      <c r="C112" s="3390">
        <f>(-0.5556*(C111^2)-0.2719*C111+8944)*(10^(-4))</f>
        <v>0.89440000000000008</v>
      </c>
      <c r="D112" s="3390">
        <f>(-0.5556*(D111^2)-0.2719*D111+8944)*(10^(-4))</f>
        <v>0.89440000000000008</v>
      </c>
      <c r="E112" s="3390">
        <f>(-0.7912*(E111^2)-11.3794*E111+8482)*(10^(-4))</f>
        <v>0.84820000000000007</v>
      </c>
      <c r="F112" s="3390">
        <f t="shared" ref="F112:I112" si="34">(-0.7912*(F111^2)-11.3794*F111+8482)*(10^(-4))</f>
        <v>0.84820000000000007</v>
      </c>
      <c r="G112" s="3390">
        <f t="shared" si="34"/>
        <v>0.84820000000000007</v>
      </c>
      <c r="H112" s="3390">
        <f t="shared" si="34"/>
        <v>0.84820000000000007</v>
      </c>
      <c r="I112" s="3390">
        <f t="shared" si="34"/>
        <v>0.84820000000000007</v>
      </c>
      <c r="J112" s="3390">
        <f>(-0.989*(J111^2)-63.78*J111+7771)*(10^(-4))</f>
        <v>0.77710000000000001</v>
      </c>
      <c r="K112" s="3390">
        <f t="shared" ref="K112:N112" si="35">(-0.989*(K111^2)-63.78*K111+7771)*(10^(-4))</f>
        <v>0.77710000000000001</v>
      </c>
      <c r="L112" s="3390">
        <f t="shared" si="35"/>
        <v>0.77710000000000001</v>
      </c>
      <c r="M112" s="3390">
        <f t="shared" si="35"/>
        <v>0.77710000000000001</v>
      </c>
      <c r="N112" s="3390">
        <f t="shared" si="35"/>
        <v>0.77710000000000001</v>
      </c>
    </row>
    <row r="113" spans="1:14">
      <c r="A113" s="3646" t="s">
        <v>3311</v>
      </c>
      <c r="B113" s="3646"/>
      <c r="C113" s="3646"/>
      <c r="D113" s="3646"/>
      <c r="E113" s="3646"/>
      <c r="F113" s="3646"/>
      <c r="G113" s="3646"/>
      <c r="H113" s="3646"/>
      <c r="I113" s="3646"/>
      <c r="J113" s="3646"/>
      <c r="K113" s="3399"/>
      <c r="L113" s="3399"/>
      <c r="M113" s="3399"/>
      <c r="N113" s="3399"/>
    </row>
    <row r="114" spans="1:14">
      <c r="A114" s="3400"/>
      <c r="B114" s="3400"/>
      <c r="C114" s="3400"/>
      <c r="D114" s="3400"/>
      <c r="E114" s="3400"/>
      <c r="F114" s="3400"/>
      <c r="G114" s="3400"/>
      <c r="H114" s="3400"/>
      <c r="I114" s="3400"/>
      <c r="J114" s="3400"/>
      <c r="K114" s="3359"/>
      <c r="L114" s="3400"/>
      <c r="M114" s="3400"/>
      <c r="N114" s="3400"/>
    </row>
    <row r="115" spans="1:14" ht="13.5" thickBot="1">
      <c r="A115" s="3400"/>
      <c r="B115" s="3400"/>
      <c r="C115" s="3400"/>
      <c r="D115" s="3400"/>
      <c r="E115" s="3400"/>
      <c r="F115" s="3400"/>
      <c r="G115" s="3400"/>
      <c r="H115" s="3400"/>
      <c r="I115" s="3400"/>
      <c r="J115" s="3400"/>
      <c r="K115" s="3359"/>
      <c r="L115" s="3400"/>
      <c r="M115" s="3400"/>
      <c r="N115" s="3400"/>
    </row>
    <row r="116" spans="1:14" ht="25.5" thickBot="1">
      <c r="A116" s="3401" t="s">
        <v>3312</v>
      </c>
      <c r="B116" s="3418">
        <f>G3</f>
        <v>1</v>
      </c>
      <c r="C116" s="3402" t="s">
        <v>3313</v>
      </c>
      <c r="D116" s="3403">
        <f>SUMPRODUCT((A118:A122=F116)*(B117:M117=H116)*B118:M122)</f>
        <v>0.57150000000000001</v>
      </c>
      <c r="E116" s="2000" t="s">
        <v>3314</v>
      </c>
      <c r="F116" s="3404" t="str">
        <f>E2</f>
        <v>工业</v>
      </c>
      <c r="G116" s="2000" t="s">
        <v>3315</v>
      </c>
      <c r="H116" s="3404" t="str">
        <f>G2</f>
        <v>九级</v>
      </c>
      <c r="I116" s="2000"/>
      <c r="J116" s="3405"/>
      <c r="K116" s="3405"/>
      <c r="L116" s="3405"/>
      <c r="M116" s="3405"/>
      <c r="N116" s="3400"/>
    </row>
    <row r="117" spans="1:14">
      <c r="A117" s="3406"/>
      <c r="B117" s="3407" t="s">
        <v>3316</v>
      </c>
      <c r="C117" s="3407" t="s">
        <v>3317</v>
      </c>
      <c r="D117" s="3407" t="s">
        <v>3318</v>
      </c>
      <c r="E117" s="3408" t="s">
        <v>3319</v>
      </c>
      <c r="F117" s="3408" t="s">
        <v>3320</v>
      </c>
      <c r="G117" s="3408" t="s">
        <v>3321</v>
      </c>
      <c r="H117" s="3409" t="s">
        <v>3322</v>
      </c>
      <c r="I117" s="3409" t="s">
        <v>3323</v>
      </c>
      <c r="J117" s="3410" t="s">
        <v>3324</v>
      </c>
      <c r="K117" s="3410" t="s">
        <v>3325</v>
      </c>
      <c r="L117" s="3410" t="s">
        <v>3326</v>
      </c>
      <c r="M117" s="3411" t="s">
        <v>3327</v>
      </c>
      <c r="N117" s="3400"/>
    </row>
    <row r="118" spans="1:14">
      <c r="A118" s="3412" t="s">
        <v>3328</v>
      </c>
      <c r="B118" s="3390">
        <f>ROUND(0.9968-0.011*B116,4)</f>
        <v>0.98580000000000001</v>
      </c>
      <c r="C118" s="3390">
        <f>B118</f>
        <v>0.98580000000000001</v>
      </c>
      <c r="D118" s="3390">
        <f>ROUND(0.949-0.014*B116,4)</f>
        <v>0.93500000000000005</v>
      </c>
      <c r="E118" s="3390">
        <f>D118</f>
        <v>0.93500000000000005</v>
      </c>
      <c r="F118" s="3390">
        <f>E118</f>
        <v>0.93500000000000005</v>
      </c>
      <c r="G118" s="3390">
        <f>F118</f>
        <v>0.93500000000000005</v>
      </c>
      <c r="H118" s="3390">
        <f>G118</f>
        <v>0.93500000000000005</v>
      </c>
      <c r="I118" s="3390">
        <f>ROUND(0.8486-0.018*B116,4)</f>
        <v>0.8306</v>
      </c>
      <c r="J118" s="3390">
        <f t="shared" ref="J118:M122" si="36">I118</f>
        <v>0.8306</v>
      </c>
      <c r="K118" s="3390">
        <f t="shared" si="36"/>
        <v>0.8306</v>
      </c>
      <c r="L118" s="3390">
        <f t="shared" si="36"/>
        <v>0.8306</v>
      </c>
      <c r="M118" s="3413">
        <f t="shared" si="36"/>
        <v>0.8306</v>
      </c>
      <c r="N118" s="3400"/>
    </row>
    <row r="119" spans="1:14">
      <c r="A119" s="3412" t="s">
        <v>3329</v>
      </c>
      <c r="B119" s="3390">
        <f>ROUND(0.993-0.0112*B116,4)</f>
        <v>0.98180000000000001</v>
      </c>
      <c r="C119" s="3390">
        <f>B119</f>
        <v>0.98180000000000001</v>
      </c>
      <c r="D119" s="3390">
        <f>ROUND(0.9415-0.0142*B116,4)</f>
        <v>0.92730000000000001</v>
      </c>
      <c r="E119" s="3390">
        <f t="shared" ref="E119:H120" si="37">D119</f>
        <v>0.92730000000000001</v>
      </c>
      <c r="F119" s="3390">
        <f t="shared" si="37"/>
        <v>0.92730000000000001</v>
      </c>
      <c r="G119" s="3390">
        <f t="shared" si="37"/>
        <v>0.92730000000000001</v>
      </c>
      <c r="H119" s="3390">
        <f t="shared" si="37"/>
        <v>0.92730000000000001</v>
      </c>
      <c r="I119" s="3390">
        <f>ROUND(0.838-0.0182*B116,4)</f>
        <v>0.81979999999999997</v>
      </c>
      <c r="J119" s="3390">
        <f t="shared" si="36"/>
        <v>0.81979999999999997</v>
      </c>
      <c r="K119" s="3390">
        <f t="shared" si="36"/>
        <v>0.81979999999999997</v>
      </c>
      <c r="L119" s="3390">
        <f t="shared" si="36"/>
        <v>0.81979999999999997</v>
      </c>
      <c r="M119" s="3413">
        <f t="shared" si="36"/>
        <v>0.81979999999999997</v>
      </c>
      <c r="N119" s="3400"/>
    </row>
    <row r="120" spans="1:14">
      <c r="A120" s="3412" t="s">
        <v>3330</v>
      </c>
      <c r="B120" s="3390">
        <f>ROUND(0.9448-0.0115*B116,4)</f>
        <v>0.93330000000000002</v>
      </c>
      <c r="C120" s="3390">
        <f>B120</f>
        <v>0.93330000000000002</v>
      </c>
      <c r="D120" s="3390">
        <f>ROUND(0.937-0.0145*B116,4)</f>
        <v>0.92249999999999999</v>
      </c>
      <c r="E120" s="3390">
        <f t="shared" si="37"/>
        <v>0.92249999999999999</v>
      </c>
      <c r="F120" s="3390">
        <f t="shared" si="37"/>
        <v>0.92249999999999999</v>
      </c>
      <c r="G120" s="3390">
        <f t="shared" si="37"/>
        <v>0.92249999999999999</v>
      </c>
      <c r="H120" s="3390">
        <f t="shared" si="37"/>
        <v>0.92249999999999999</v>
      </c>
      <c r="I120" s="3390">
        <f>ROUND(0.7965-0.0185*B116,4)</f>
        <v>0.77800000000000002</v>
      </c>
      <c r="J120" s="3390">
        <f t="shared" si="36"/>
        <v>0.77800000000000002</v>
      </c>
      <c r="K120" s="3390">
        <f t="shared" si="36"/>
        <v>0.77800000000000002</v>
      </c>
      <c r="L120" s="3390">
        <f t="shared" si="36"/>
        <v>0.77800000000000002</v>
      </c>
      <c r="M120" s="3413">
        <f t="shared" si="36"/>
        <v>0.77800000000000002</v>
      </c>
      <c r="N120" s="3400"/>
    </row>
    <row r="121" spans="1:14" ht="13.5" thickBot="1">
      <c r="A121" s="3414" t="s">
        <v>3331</v>
      </c>
      <c r="B121" s="3415">
        <f>ROUND(0.7836-0.012*B116,4)</f>
        <v>0.77159999999999995</v>
      </c>
      <c r="C121" s="3415">
        <f>B121</f>
        <v>0.77159999999999995</v>
      </c>
      <c r="D121" s="3415">
        <f>ROUND(0.753-0.015*B116,4)</f>
        <v>0.73799999999999999</v>
      </c>
      <c r="E121" s="3415">
        <f>D121</f>
        <v>0.73799999999999999</v>
      </c>
      <c r="F121" s="3415">
        <f>E121</f>
        <v>0.73799999999999999</v>
      </c>
      <c r="G121" s="3415">
        <f>ROUND(0.6612-0.018*B116,4)</f>
        <v>0.64319999999999999</v>
      </c>
      <c r="H121" s="3415">
        <f>G121</f>
        <v>0.64319999999999999</v>
      </c>
      <c r="I121" s="3415">
        <f>ROUND(0.5905-0.019*B116,4)</f>
        <v>0.57150000000000001</v>
      </c>
      <c r="J121" s="3415">
        <f t="shared" si="36"/>
        <v>0.57150000000000001</v>
      </c>
      <c r="K121" s="3415">
        <f t="shared" si="36"/>
        <v>0.57150000000000001</v>
      </c>
      <c r="L121" s="3415">
        <f t="shared" si="36"/>
        <v>0.57150000000000001</v>
      </c>
      <c r="M121" s="3416">
        <f t="shared" si="36"/>
        <v>0.57150000000000001</v>
      </c>
      <c r="N121" s="3400"/>
    </row>
    <row r="122" spans="1:14">
      <c r="A122" s="3417" t="s">
        <v>2606</v>
      </c>
      <c r="B122" s="3390">
        <f>ROUND(0.9404-0.0106*B116,4)</f>
        <v>0.92979999999999996</v>
      </c>
      <c r="C122" s="3390">
        <f>B122</f>
        <v>0.92979999999999996</v>
      </c>
      <c r="D122" s="3390">
        <f>ROUND(0.8955-0.0135*B116,4)</f>
        <v>0.88200000000000001</v>
      </c>
      <c r="E122" s="3390">
        <f t="shared" ref="E122:H122" si="38">D122</f>
        <v>0.88200000000000001</v>
      </c>
      <c r="F122" s="3390">
        <f t="shared" si="38"/>
        <v>0.88200000000000001</v>
      </c>
      <c r="G122" s="3390">
        <f t="shared" si="38"/>
        <v>0.88200000000000001</v>
      </c>
      <c r="H122" s="3390">
        <f t="shared" si="38"/>
        <v>0.88200000000000001</v>
      </c>
      <c r="I122" s="3390">
        <f>ROUND(0.7632-0.0166*B116,4)</f>
        <v>0.74660000000000004</v>
      </c>
      <c r="J122" s="3390">
        <f t="shared" si="36"/>
        <v>0.74660000000000004</v>
      </c>
      <c r="K122" s="3390">
        <f t="shared" si="36"/>
        <v>0.74660000000000004</v>
      </c>
      <c r="L122" s="3390">
        <f t="shared" si="36"/>
        <v>0.74660000000000004</v>
      </c>
      <c r="M122" s="3413">
        <f t="shared" si="36"/>
        <v>0.74660000000000004</v>
      </c>
      <c r="N122" s="3400"/>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6" priority="6" stopIfTrue="1" operator="notEqual">
      <formula>"——"</formula>
    </cfRule>
  </conditionalFormatting>
  <conditionalFormatting sqref="F61">
    <cfRule type="cellIs" dxfId="165" priority="5" stopIfTrue="1" operator="notEqual">
      <formula>"——"</formula>
    </cfRule>
  </conditionalFormatting>
  <conditionalFormatting sqref="F72">
    <cfRule type="cellIs" dxfId="164" priority="4" stopIfTrue="1" operator="notEqual">
      <formula>"——"</formula>
    </cfRule>
  </conditionalFormatting>
  <conditionalFormatting sqref="F83">
    <cfRule type="cellIs" dxfId="163" priority="3" stopIfTrue="1" operator="notEqual">
      <formula>"——"</formula>
    </cfRule>
  </conditionalFormatting>
  <conditionalFormatting sqref="H50:H58 H61:H69 H72:H80 H83:H91">
    <cfRule type="cellIs" dxfId="162" priority="2" operator="notEqual">
      <formula>"——"</formula>
    </cfRule>
  </conditionalFormatting>
  <conditionalFormatting sqref="H93:H101">
    <cfRule type="cellIs" dxfId="161"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I35" sqref="I35"/>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625" style="258" customWidth="1"/>
    <col min="6" max="6" width="10.625" style="258" customWidth="1"/>
    <col min="7" max="7" width="4.875" style="258" customWidth="1"/>
    <col min="8" max="8" width="8.5" style="258" customWidth="1"/>
    <col min="9" max="9" width="21.125" style="258" customWidth="1"/>
    <col min="10" max="10" width="12.125" style="258" customWidth="1"/>
    <col min="11" max="11" width="45.125" style="1468" customWidth="1"/>
    <col min="12" max="12" width="16.375" style="258" customWidth="1"/>
    <col min="13" max="13" width="13" style="258" customWidth="1"/>
    <col min="14" max="14" width="13.625" style="1384" customWidth="1"/>
    <col min="15" max="15" width="5.125" style="1384" customWidth="1"/>
    <col min="16" max="16" width="25.625" style="1384" customWidth="1"/>
    <col min="17" max="17" width="13.625" style="1384" customWidth="1"/>
    <col min="18" max="18" width="20.5" style="1384" customWidth="1"/>
    <col min="19" max="19" width="13.125" style="1384" customWidth="1"/>
    <col min="20" max="37" width="9" style="1384"/>
    <col min="38" max="16384" width="9" style="258"/>
  </cols>
  <sheetData>
    <row r="1" spans="1:37" s="293" customFormat="1" ht="21">
      <c r="A1" s="1375" t="s">
        <v>877</v>
      </c>
      <c r="B1" s="713"/>
      <c r="C1" s="1379" t="s">
        <v>3</v>
      </c>
      <c r="D1" s="1362" t="s">
        <v>43</v>
      </c>
      <c r="E1" s="1363" t="s">
        <v>678</v>
      </c>
      <c r="F1" s="1062">
        <f ca="1">J53</f>
        <v>34.53</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8032</v>
      </c>
      <c r="C2" s="1387" t="s">
        <v>805</v>
      </c>
      <c r="D2" s="1387"/>
      <c r="E2" s="1388"/>
      <c r="F2" s="1389"/>
      <c r="G2" s="2706"/>
      <c r="H2" s="2695"/>
      <c r="I2" s="2695"/>
      <c r="J2" s="2695"/>
      <c r="K2" s="2696"/>
      <c r="L2" s="2695"/>
      <c r="M2" s="2695"/>
    </row>
    <row r="3" spans="1:37" ht="18" customHeight="1" thickBot="1">
      <c r="A3" s="1390" t="s">
        <v>806</v>
      </c>
      <c r="B3" s="1391">
        <f ca="1">IF(ISERROR(B2*10000/F43),0,ROUND(B2*10000/F43,0))</f>
        <v>3120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710</v>
      </c>
      <c r="D5" s="1364" t="s">
        <v>693</v>
      </c>
      <c r="E5" s="1071"/>
      <c r="F5" s="1072"/>
      <c r="G5" s="1384"/>
      <c r="H5" s="299">
        <v>1</v>
      </c>
      <c r="I5" s="300" t="s">
        <v>692</v>
      </c>
      <c r="J5" s="1070">
        <f ca="1">J6+J10+J12</f>
        <v>0</v>
      </c>
      <c r="K5" s="1364" t="s">
        <v>693</v>
      </c>
      <c r="L5" s="1071"/>
      <c r="M5" s="1072"/>
    </row>
    <row r="6" spans="1:37" ht="18" customHeight="1">
      <c r="A6" s="1069" t="s">
        <v>398</v>
      </c>
      <c r="B6" s="3664" t="s">
        <v>694</v>
      </c>
      <c r="C6" s="1074">
        <f ca="1">ROUND(F6*F8*F7*(1-F9)/10000,0)</f>
        <v>710</v>
      </c>
      <c r="D6" s="155" t="s">
        <v>2109</v>
      </c>
      <c r="E6" s="302" t="s">
        <v>696</v>
      </c>
      <c r="F6" s="303">
        <f ca="1">INDIRECT("'数据-取费表'!u"&amp;$G$1)</f>
        <v>0.84</v>
      </c>
      <c r="G6" s="1384"/>
      <c r="H6" s="1069" t="s">
        <v>398</v>
      </c>
      <c r="I6" s="3664" t="s">
        <v>694</v>
      </c>
      <c r="J6" s="301">
        <f ca="1">ROUND(M6*M8*M7*(1-M9)/10000,0)</f>
        <v>0</v>
      </c>
      <c r="K6" s="155" t="s">
        <v>2108</v>
      </c>
      <c r="L6" s="302" t="s">
        <v>696</v>
      </c>
      <c r="M6" s="303">
        <f ca="1">INDIRECT("'数据-取费表'!z"&amp;$G$1)</f>
        <v>0</v>
      </c>
    </row>
    <row r="7" spans="1:37" ht="18" customHeight="1">
      <c r="A7" s="1073"/>
      <c r="B7" s="3665"/>
      <c r="C7" s="1075"/>
      <c r="D7" s="307"/>
      <c r="E7" s="1076" t="s">
        <v>697</v>
      </c>
      <c r="F7" s="303">
        <f ca="1">IF(INDIRECT("'数据-取费表'!ah"&amp;$G$1)="",INDIRECT("'数据-取费表'!k"&amp;$G$1),INDIRECT("'数据-取费表'!ah"&amp;$G$1))</f>
        <v>25739.82</v>
      </c>
      <c r="G7" s="1384"/>
      <c r="H7" s="304"/>
      <c r="I7" s="3665"/>
      <c r="J7" s="306"/>
      <c r="K7" s="307"/>
      <c r="L7" s="302" t="s">
        <v>697</v>
      </c>
      <c r="M7" s="303">
        <f ca="1">F7</f>
        <v>25739.82</v>
      </c>
    </row>
    <row r="8" spans="1:37" ht="18" customHeight="1">
      <c r="A8" s="304"/>
      <c r="B8" s="3665"/>
      <c r="C8" s="306"/>
      <c r="D8" s="307"/>
      <c r="E8" s="302" t="s">
        <v>698</v>
      </c>
      <c r="F8" s="303">
        <f ca="1">INDIRECT("'数据-取费表'!ai"&amp;$G$1)</f>
        <v>365</v>
      </c>
      <c r="G8" s="1384"/>
      <c r="H8" s="304"/>
      <c r="I8" s="3665"/>
      <c r="J8" s="306"/>
      <c r="K8" s="307"/>
      <c r="L8" s="302" t="s">
        <v>698</v>
      </c>
      <c r="M8" s="303">
        <f ca="1">INDIRECT("'数据-取费表'!ai"&amp;$G$1)</f>
        <v>365</v>
      </c>
    </row>
    <row r="9" spans="1:37" ht="18" customHeight="1">
      <c r="A9" s="304"/>
      <c r="B9" s="3666"/>
      <c r="C9" s="306"/>
      <c r="D9" s="307"/>
      <c r="E9" s="302" t="s">
        <v>699</v>
      </c>
      <c r="F9" s="312">
        <f ca="1">INDIRECT("'数据-取费表'!w"&amp;$G$1)</f>
        <v>0.1</v>
      </c>
      <c r="G9" s="1384"/>
      <c r="H9" s="304"/>
      <c r="I9" s="3666"/>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7229</v>
      </c>
      <c r="D13" s="1081" t="s">
        <v>705</v>
      </c>
      <c r="E13" s="1081" t="s">
        <v>706</v>
      </c>
      <c r="F13" s="1082">
        <f ca="1">INDIRECT("'数据-取费表'!y"&amp;$G$1)</f>
        <v>0.89</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5663</v>
      </c>
      <c r="D14" s="1345" t="s">
        <v>708</v>
      </c>
      <c r="E14" s="1342"/>
      <c r="F14" s="319"/>
      <c r="G14" s="1384"/>
      <c r="H14" s="982" t="s">
        <v>398</v>
      </c>
      <c r="I14" s="302" t="s">
        <v>709</v>
      </c>
      <c r="J14" s="21">
        <f ca="1">C29</f>
        <v>8122</v>
      </c>
      <c r="K14" s="12"/>
      <c r="L14" s="807"/>
      <c r="M14" s="808"/>
    </row>
    <row r="15" spans="1:37" s="1397" customFormat="1" ht="18" customHeight="1" thickBot="1">
      <c r="A15" s="982" t="s">
        <v>399</v>
      </c>
      <c r="B15" s="302" t="s">
        <v>710</v>
      </c>
      <c r="C15" s="21">
        <f ca="1">ROUND(C14*F15,0)</f>
        <v>170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174</v>
      </c>
      <c r="K16" s="1087" t="s">
        <v>715</v>
      </c>
      <c r="L16" s="1088"/>
      <c r="M16" s="1072"/>
    </row>
    <row r="17" spans="1:37" s="1397" customFormat="1" ht="18" customHeight="1">
      <c r="A17" s="982" t="s">
        <v>681</v>
      </c>
      <c r="B17" s="302" t="s">
        <v>716</v>
      </c>
      <c r="C17" s="21">
        <f ca="1">ROUND(F17*(F43+INDIRECT("'数据-取费表'!S"&amp;$G$1))/10000,0)</f>
        <v>515</v>
      </c>
      <c r="D17" s="302" t="s">
        <v>717</v>
      </c>
      <c r="E17" s="302" t="s">
        <v>718</v>
      </c>
      <c r="F17" s="23">
        <f>'数据-取费表'!B35</f>
        <v>200</v>
      </c>
      <c r="G17" s="1396"/>
      <c r="H17" s="982" t="s">
        <v>398</v>
      </c>
      <c r="I17" s="302" t="s">
        <v>719</v>
      </c>
      <c r="J17" s="2316">
        <f ca="1">ROUND(IF(AND(项目基本情况!B11="自然人",项目基本情况!B10="北京市"),J6*M17/(1+'数据-取费表'!C42),J18+J19+J20),2)</f>
        <v>11.13</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85</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6433</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129</v>
      </c>
      <c r="D20" s="323" t="s">
        <v>729</v>
      </c>
      <c r="E20" s="302" t="s">
        <v>712</v>
      </c>
      <c r="F20" s="322">
        <f>'数据-取费表'!B37</f>
        <v>0.02</v>
      </c>
      <c r="G20" s="1396"/>
      <c r="H20" s="982" t="s">
        <v>680</v>
      </c>
      <c r="I20" s="155" t="s">
        <v>730</v>
      </c>
      <c r="J20" s="22">
        <f ca="1">ROUND(M20*M21/10000,2)</f>
        <v>11.13</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0.03</v>
      </c>
      <c r="G21" s="1396"/>
      <c r="H21" s="326"/>
      <c r="I21" s="311"/>
      <c r="J21" s="26"/>
      <c r="K21" s="327"/>
      <c r="L21" s="302" t="s">
        <v>736</v>
      </c>
      <c r="M21" s="303">
        <f ca="1">INDIRECT("'数据-取费表'!r"&amp;$G$1)</f>
        <v>74231.63</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162.44</v>
      </c>
      <c r="K22" s="1344" t="s">
        <v>739</v>
      </c>
      <c r="L22" s="302" t="s">
        <v>712</v>
      </c>
      <c r="M22" s="328">
        <f ca="1">INDIRECT("'数据-取费表'!Ak"&amp;$G$1)</f>
        <v>0.02</v>
      </c>
    </row>
    <row r="23" spans="1:37" s="1397" customFormat="1" ht="18" customHeight="1">
      <c r="A23" s="982" t="s">
        <v>397</v>
      </c>
      <c r="B23" s="302" t="s">
        <v>740</v>
      </c>
      <c r="C23" s="21">
        <f ca="1">IF('数据-取费表'!B22&lt;=1,ROUND(C19*F24*F23/2,0)+ROUND(C20*F24*F23/2,0),ROUND(C19*(POWER((1+F24),F23/2)-1),0)+ROUND(C20*(POWER((1+F24),F23/2)-1),0))</f>
        <v>203</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-174</v>
      </c>
      <c r="K25" s="1095" t="s">
        <v>753</v>
      </c>
      <c r="L25" s="1096"/>
      <c r="M25" s="1097"/>
    </row>
    <row r="26" spans="1:37">
      <c r="A26" s="982" t="s">
        <v>397</v>
      </c>
      <c r="B26" s="302" t="s">
        <v>754</v>
      </c>
      <c r="C26" s="21">
        <f ca="1">ROUND((C19+C20)*F26,0)</f>
        <v>656</v>
      </c>
      <c r="D26" s="323" t="s">
        <v>755</v>
      </c>
      <c r="E26" s="313" t="s">
        <v>756</v>
      </c>
      <c r="F26" s="312">
        <f ca="1">INDIRECT("'数据-取费表'!q"&amp;$G$1)</f>
        <v>0.1</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8122</v>
      </c>
      <c r="D29" s="1092"/>
      <c r="E29" s="1090"/>
      <c r="F29" s="1093"/>
      <c r="G29" s="1396"/>
      <c r="H29" s="334" t="s">
        <v>396</v>
      </c>
      <c r="I29" s="335" t="s">
        <v>768</v>
      </c>
      <c r="J29" s="336">
        <f ca="1">ROUND(J26/(1+F40)^F41,0)</f>
        <v>0</v>
      </c>
      <c r="K29" s="337" t="s">
        <v>769</v>
      </c>
      <c r="L29" s="338"/>
      <c r="M29" s="339">
        <f ca="1">INDIRECT("'数据-取费表'!k"&amp;$G$1)</f>
        <v>25739.82</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310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129.46</v>
      </c>
      <c r="D31" s="1345" t="s">
        <v>720</v>
      </c>
      <c r="E31" s="1344" t="s">
        <v>770</v>
      </c>
      <c r="F31" s="2315" t="str">
        <f>IF(项目基本情况!B11="企业","——",IF(M47="住宅",IF(F6*F7*F8/12/(1+'数据-取费表'!F30)&gt;100000,4%,2.5%),IF(F6*F7*F8/12/(1+'数据-取费表'!F30)&gt;100000,12%,7%)))</f>
        <v>——</v>
      </c>
      <c r="G31" s="1384"/>
      <c r="H31" s="2808" t="s">
        <v>2301</v>
      </c>
      <c r="I31" s="1398"/>
      <c r="J31" s="1399"/>
      <c r="K31" s="2475"/>
      <c r="L31" s="2698"/>
      <c r="M31" s="2699"/>
    </row>
    <row r="32" spans="1:37" ht="18" customHeight="1">
      <c r="A32" s="982" t="s">
        <v>397</v>
      </c>
      <c r="B32" s="302" t="s">
        <v>723</v>
      </c>
      <c r="C32" s="21">
        <f ca="1">IF(项目基本情况!B11="自然人","——",ROUND(C6*F32/(1+'数据-取费表'!C42),2))</f>
        <v>37.19</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81.14</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11.13</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74231.63</v>
      </c>
      <c r="G35" s="1384"/>
      <c r="H35" s="2697"/>
      <c r="I35" s="1398"/>
      <c r="J35" s="1399"/>
      <c r="K35" s="2701"/>
      <c r="L35" s="2700"/>
      <c r="M35" s="2700"/>
    </row>
    <row r="36" spans="1:18" ht="18" customHeight="1">
      <c r="A36" s="1102" t="s">
        <v>402</v>
      </c>
      <c r="B36" s="302" t="s">
        <v>738</v>
      </c>
      <c r="C36" s="21">
        <f ca="1">ROUND(C29*F36,2)</f>
        <v>162.44</v>
      </c>
      <c r="D36" s="1344" t="s">
        <v>771</v>
      </c>
      <c r="E36" s="302" t="s">
        <v>712</v>
      </c>
      <c r="F36" s="328">
        <f ca="1">INDIRECT("'数据-取费表'!Ak"&amp;$G$1)</f>
        <v>0.02</v>
      </c>
      <c r="G36" s="1384"/>
      <c r="H36" s="2700"/>
      <c r="I36" s="1398"/>
      <c r="J36" s="1399"/>
      <c r="K36" s="2544"/>
      <c r="L36" s="2700"/>
      <c r="M36" s="2700"/>
    </row>
    <row r="37" spans="1:18" ht="18" customHeight="1">
      <c r="A37" s="982" t="s">
        <v>437</v>
      </c>
      <c r="B37" s="302" t="s">
        <v>742</v>
      </c>
      <c r="C37" s="21">
        <f ca="1">ROUND(C13*F37,2)</f>
        <v>10.84</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ROUND(C5*F38,2)</f>
        <v>7.1</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400</v>
      </c>
      <c r="D39" s="1095" t="s">
        <v>773</v>
      </c>
      <c r="E39" s="1096"/>
      <c r="F39" s="1097"/>
      <c r="G39" s="1384"/>
      <c r="H39" s="2700"/>
      <c r="I39" s="1398"/>
      <c r="J39" s="1399"/>
      <c r="K39" s="2704"/>
      <c r="L39" s="2700"/>
      <c r="M39" s="2700"/>
    </row>
    <row r="40" spans="1:18" ht="18" customHeight="1">
      <c r="A40" s="299" t="s">
        <v>395</v>
      </c>
      <c r="B40" s="300" t="s">
        <v>774</v>
      </c>
      <c r="C40" s="301">
        <f ca="1">ROUND(C39*(1-((1+F42)/(1+F40))^F41)/(F40-F42),0)</f>
        <v>7864</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34.53</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3055</v>
      </c>
      <c r="D43" s="337" t="s">
        <v>777</v>
      </c>
      <c r="E43" s="338" t="s">
        <v>778</v>
      </c>
      <c r="F43" s="339">
        <f ca="1">INDIRECT("'数据-取费表'!k"&amp;$G$1)</f>
        <v>25739.82</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-10683</v>
      </c>
      <c r="D46" s="1406" t="str">
        <f>C2</f>
        <v>万元</v>
      </c>
      <c r="E46" s="1400"/>
      <c r="F46" s="1400"/>
      <c r="I46" s="1407" t="s">
        <v>810</v>
      </c>
      <c r="J46" s="1408"/>
      <c r="K46" s="1409"/>
      <c r="L46" s="1410">
        <f ca="1">IF(M47="住宅",0,IF(L48&gt;J51,L60,J60))</f>
        <v>168</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3401</v>
      </c>
      <c r="K47" s="1416" t="s">
        <v>816</v>
      </c>
      <c r="L47" s="1417">
        <f ca="1">INDIRECT("'数据-取费表'!d"&amp;$G$1)</f>
        <v>50</v>
      </c>
      <c r="M47" s="1380" t="str">
        <f>IF(ISNUMBER(FIND("住宅",C1)),"住宅","非住宅")</f>
        <v>非住宅</v>
      </c>
      <c r="O47" s="1418" t="s">
        <v>403</v>
      </c>
      <c r="P47" s="1419" t="s">
        <v>817</v>
      </c>
      <c r="Q47" s="1420">
        <f ca="1">C40+J29</f>
        <v>7864</v>
      </c>
      <c r="R47" s="1420" t="s">
        <v>818</v>
      </c>
    </row>
    <row r="48" spans="1:18" s="1384" customFormat="1" ht="28.5" thickBot="1">
      <c r="A48" s="1110" t="s">
        <v>438</v>
      </c>
      <c r="B48" s="300" t="s">
        <v>692</v>
      </c>
      <c r="C48" s="1359">
        <f ca="1">C49+C53+C55</f>
        <v>0</v>
      </c>
      <c r="D48" s="1112"/>
      <c r="E48" s="1113"/>
      <c r="F48" s="962"/>
      <c r="G48" s="722"/>
      <c r="H48" s="723"/>
      <c r="I48" s="1421" t="s">
        <v>819</v>
      </c>
      <c r="J48" s="1422" t="s">
        <v>3402</v>
      </c>
      <c r="K48" s="1423" t="s">
        <v>820</v>
      </c>
      <c r="L48" s="1424">
        <f ca="1">INDIRECT("'数据-取费表'!f"&amp;$G$1)</f>
        <v>34.53</v>
      </c>
      <c r="O48" s="1418" t="s">
        <v>404</v>
      </c>
      <c r="P48" s="1419" t="s">
        <v>821</v>
      </c>
      <c r="Q48" s="1420">
        <f ca="1">J60</f>
        <v>168</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2014</v>
      </c>
      <c r="K49" s="1423" t="s">
        <v>824</v>
      </c>
      <c r="L49" s="1427"/>
      <c r="O49" s="1428" t="s">
        <v>405</v>
      </c>
      <c r="P49" s="1419" t="s">
        <v>825</v>
      </c>
      <c r="Q49" s="1420">
        <f ca="1">C29</f>
        <v>8122</v>
      </c>
      <c r="R49" s="1420" t="s">
        <v>818</v>
      </c>
    </row>
    <row r="50" spans="1:18" s="1384" customFormat="1" ht="13.5" thickBot="1">
      <c r="A50" s="976"/>
      <c r="B50" s="979"/>
      <c r="C50" s="1118"/>
      <c r="D50" s="953"/>
      <c r="E50" s="1056" t="s">
        <v>697</v>
      </c>
      <c r="F50" s="1057">
        <f ca="1">F7</f>
        <v>25739.82</v>
      </c>
      <c r="H50" s="723"/>
      <c r="I50" s="1421" t="s">
        <v>826</v>
      </c>
      <c r="J50" s="1429">
        <f>SUMPRODUCT((I63:I65=J47)*(J62:L62=J48)*(J63:L65))</f>
        <v>70</v>
      </c>
      <c r="K50" s="1423" t="s">
        <v>827</v>
      </c>
      <c r="L50" s="1427"/>
      <c r="M50" s="1430"/>
      <c r="O50" s="1428" t="s">
        <v>406</v>
      </c>
      <c r="P50" s="1419" t="s">
        <v>828</v>
      </c>
      <c r="Q50" s="1431">
        <f ca="1">J58</f>
        <v>0.40500000000000003</v>
      </c>
      <c r="R50" s="1420"/>
    </row>
    <row r="51" spans="1:18" s="1384" customFormat="1" ht="13.5" thickBot="1">
      <c r="A51" s="977"/>
      <c r="B51" s="979"/>
      <c r="C51" s="980"/>
      <c r="D51" s="953"/>
      <c r="E51" s="981" t="s">
        <v>698</v>
      </c>
      <c r="F51" s="303">
        <f ca="1">F8</f>
        <v>365</v>
      </c>
      <c r="I51" s="1432" t="s">
        <v>829</v>
      </c>
      <c r="J51" s="1433">
        <f>IF(J49="",J50,J49+J50-YEAR('数据-取费表'!B2))</f>
        <v>62</v>
      </c>
      <c r="K51" s="1434" t="s">
        <v>830</v>
      </c>
      <c r="L51" s="1435">
        <f ca="1">ROUND(-PV(INDIRECT("'数据-取费表'!h"&amp;$G$1),J51,(C39-C13*C76),0),0)</f>
        <v>-4224</v>
      </c>
      <c r="M51" s="1436"/>
      <c r="O51" s="1428" t="s">
        <v>407</v>
      </c>
      <c r="P51" s="1419" t="s">
        <v>831</v>
      </c>
      <c r="Q51" s="1431">
        <f>J52</f>
        <v>0.09</v>
      </c>
      <c r="R51" s="1420"/>
    </row>
    <row r="52" spans="1:18" s="1384" customFormat="1" ht="13.5" thickBot="1">
      <c r="A52" s="977"/>
      <c r="B52" s="979"/>
      <c r="C52" s="980"/>
      <c r="D52" s="953"/>
      <c r="E52" s="981" t="s">
        <v>699</v>
      </c>
      <c r="F52" s="1054"/>
      <c r="I52" s="1437" t="s">
        <v>832</v>
      </c>
      <c r="J52" s="1438">
        <v>0.09</v>
      </c>
      <c r="K52" s="1437" t="s">
        <v>833</v>
      </c>
      <c r="L52" s="1438"/>
      <c r="O52" s="1428" t="s">
        <v>408</v>
      </c>
      <c r="P52" s="1419" t="s">
        <v>834</v>
      </c>
      <c r="Q52" s="1420">
        <f ca="1">J53</f>
        <v>34.53</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34.53</v>
      </c>
      <c r="K53" s="3662" t="s">
        <v>837</v>
      </c>
      <c r="L53" s="3663"/>
      <c r="O53" s="1418" t="s">
        <v>409</v>
      </c>
      <c r="P53" s="1419" t="s">
        <v>838</v>
      </c>
      <c r="Q53" s="1420">
        <f ca="1">Q47+Q48</f>
        <v>8032</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0.40500000000000003</v>
      </c>
      <c r="K55" s="1445" t="s">
        <v>841</v>
      </c>
      <c r="L55" s="1446" t="s">
        <v>3404</v>
      </c>
      <c r="O55" s="1411" t="s">
        <v>811</v>
      </c>
      <c r="P55" s="1412" t="s">
        <v>812</v>
      </c>
      <c r="Q55" s="1413" t="s">
        <v>813</v>
      </c>
      <c r="R55" s="1413" t="s">
        <v>814</v>
      </c>
    </row>
    <row r="56" spans="1:18" s="1384" customFormat="1" ht="25.5" thickTop="1" thickBot="1">
      <c r="A56" s="957">
        <v>2</v>
      </c>
      <c r="B56" s="958" t="s">
        <v>704</v>
      </c>
      <c r="C56" s="232">
        <f ca="1">C13</f>
        <v>7229</v>
      </c>
      <c r="D56" s="1447"/>
      <c r="E56" s="1448"/>
      <c r="F56" s="1440"/>
      <c r="I56" s="1449" t="s">
        <v>842</v>
      </c>
      <c r="J56" s="1450" t="s">
        <v>3403</v>
      </c>
      <c r="K56" s="1421" t="s">
        <v>843</v>
      </c>
      <c r="L56" s="1424" t="str">
        <f ca="1">IF(L48&lt;J51,"——",L48-J53)</f>
        <v>——</v>
      </c>
      <c r="O56" s="1418" t="s">
        <v>403</v>
      </c>
      <c r="P56" s="1419" t="s">
        <v>817</v>
      </c>
      <c r="Q56" s="1420">
        <f ca="1">C40+J29</f>
        <v>7864</v>
      </c>
      <c r="R56" s="1420" t="s">
        <v>818</v>
      </c>
    </row>
    <row r="57" spans="1:18" s="1384" customFormat="1" ht="24.75" thickBot="1">
      <c r="A57" s="1451"/>
      <c r="B57" s="950" t="s">
        <v>767</v>
      </c>
      <c r="C57" s="238">
        <f ca="1">C29</f>
        <v>8122</v>
      </c>
      <c r="D57" s="1452"/>
      <c r="E57" s="1453"/>
      <c r="F57" s="1454"/>
      <c r="I57" s="1455" t="s">
        <v>844</v>
      </c>
      <c r="J57" s="1456">
        <f ca="1">IF(OR(M47="住宅",J51&lt;L48,J56="是"),"——",J51-L48)</f>
        <v>27.47</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184</v>
      </c>
      <c r="D58" s="960" t="s">
        <v>715</v>
      </c>
      <c r="E58" s="961"/>
      <c r="F58" s="962"/>
      <c r="I58" s="1455" t="s">
        <v>848</v>
      </c>
      <c r="J58" s="1457">
        <f ca="1">IF(J55&lt;0.4,0.4,J55)</f>
        <v>0.40500000000000003</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11</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3289</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168</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11.13</v>
      </c>
      <c r="D62" s="965" t="s">
        <v>786</v>
      </c>
      <c r="E62" s="950" t="s">
        <v>787</v>
      </c>
      <c r="F62" s="325">
        <f t="shared" si="0"/>
        <v>1.5</v>
      </c>
      <c r="I62" s="1462" t="s">
        <v>858</v>
      </c>
      <c r="J62" s="1463" t="s">
        <v>859</v>
      </c>
      <c r="K62" s="1463" t="s">
        <v>860</v>
      </c>
      <c r="L62" s="1463" t="s">
        <v>861</v>
      </c>
      <c r="M62" s="1464" t="s">
        <v>862</v>
      </c>
      <c r="O62" s="1418" t="s">
        <v>409</v>
      </c>
      <c r="P62" s="1419" t="s">
        <v>863</v>
      </c>
      <c r="Q62" s="1420">
        <f ca="1">Q56+Q57</f>
        <v>7864</v>
      </c>
      <c r="R62" s="1420" t="s">
        <v>410</v>
      </c>
    </row>
    <row r="63" spans="1:18" s="1384" customFormat="1" ht="13.5" thickBot="1">
      <c r="A63" s="326"/>
      <c r="B63" s="956"/>
      <c r="C63" s="26"/>
      <c r="D63" s="966"/>
      <c r="E63" s="950" t="s">
        <v>788</v>
      </c>
      <c r="F63" s="303">
        <f t="shared" ca="1" si="0"/>
        <v>74231.63</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162.44</v>
      </c>
      <c r="D64" s="964" t="s">
        <v>791</v>
      </c>
      <c r="E64" s="950" t="s">
        <v>783</v>
      </c>
      <c r="F64" s="328">
        <f t="shared" ca="1" si="0"/>
        <v>0.02</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10.84</v>
      </c>
      <c r="D65" s="964" t="s">
        <v>743</v>
      </c>
      <c r="E65" s="950" t="s">
        <v>744</v>
      </c>
      <c r="F65" s="330">
        <f t="shared" ca="1" si="0"/>
        <v>1.5E-3</v>
      </c>
      <c r="I65" s="1462" t="s">
        <v>867</v>
      </c>
      <c r="J65" s="1463">
        <v>40</v>
      </c>
      <c r="K65" s="1463">
        <v>30</v>
      </c>
      <c r="L65" s="1463">
        <v>50</v>
      </c>
      <c r="M65" s="1465">
        <v>0.02</v>
      </c>
      <c r="O65" s="1418" t="s">
        <v>403</v>
      </c>
      <c r="P65" s="1419" t="s">
        <v>868</v>
      </c>
      <c r="Q65" s="1420">
        <f ca="1">C40+J29</f>
        <v>7864</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-184</v>
      </c>
      <c r="D67" s="963" t="s">
        <v>753</v>
      </c>
      <c r="E67" s="968"/>
      <c r="F67" s="969"/>
      <c r="O67" s="1428" t="s">
        <v>405</v>
      </c>
      <c r="P67" s="1419" t="s">
        <v>850</v>
      </c>
      <c r="Q67" s="1466">
        <f ca="1">L51</f>
        <v>-4224</v>
      </c>
      <c r="R67" s="1420" t="s">
        <v>870</v>
      </c>
    </row>
    <row r="68" spans="1:18" s="1384" customFormat="1" ht="16.5" thickBot="1">
      <c r="A68" s="947" t="s">
        <v>395</v>
      </c>
      <c r="B68" s="948" t="s">
        <v>774</v>
      </c>
      <c r="C68" s="301">
        <f ca="1">ROUND(C67*(1-((1+F70)/(1+F68))^F69)/(F68-F70),0)</f>
        <v>-2819</v>
      </c>
      <c r="D68" s="965" t="s">
        <v>758</v>
      </c>
      <c r="E68" s="950" t="s">
        <v>759</v>
      </c>
      <c r="F68" s="312">
        <f ca="1">F40</f>
        <v>5.5E-2</v>
      </c>
      <c r="O68" s="1428" t="s">
        <v>406</v>
      </c>
      <c r="P68" s="1467" t="s">
        <v>871</v>
      </c>
      <c r="Q68" s="1420">
        <f ca="1">ROUND(Q69-Q70*Q71,0)</f>
        <v>-214</v>
      </c>
      <c r="R68" s="1420" t="s">
        <v>414</v>
      </c>
    </row>
    <row r="69" spans="1:18" s="1384" customFormat="1" ht="13.5" thickBot="1">
      <c r="A69" s="951"/>
      <c r="B69" s="952"/>
      <c r="C69" s="306"/>
      <c r="D69" s="970" t="s">
        <v>762</v>
      </c>
      <c r="E69" s="950" t="s">
        <v>763</v>
      </c>
      <c r="F69" s="333">
        <f ca="1">F41</f>
        <v>34.53</v>
      </c>
      <c r="O69" s="1428" t="s">
        <v>411</v>
      </c>
      <c r="P69" s="1467" t="s">
        <v>872</v>
      </c>
      <c r="Q69" s="1420">
        <f ca="1">C39</f>
        <v>400</v>
      </c>
      <c r="R69" s="1420" t="s">
        <v>818</v>
      </c>
    </row>
    <row r="70" spans="1:18" s="1384" customFormat="1" ht="13.5" thickBot="1">
      <c r="A70" s="954"/>
      <c r="B70" s="955"/>
      <c r="C70" s="310"/>
      <c r="D70" s="966"/>
      <c r="E70" s="950" t="s">
        <v>766</v>
      </c>
      <c r="F70" s="1054"/>
      <c r="O70" s="1428" t="s">
        <v>412</v>
      </c>
      <c r="P70" s="1467" t="s">
        <v>873</v>
      </c>
      <c r="Q70" s="1420">
        <f ca="1">C13</f>
        <v>7229</v>
      </c>
      <c r="R70" s="1420" t="s">
        <v>818</v>
      </c>
    </row>
    <row r="71" spans="1:18" s="1384" customFormat="1" ht="13.5" thickBot="1">
      <c r="A71" s="971" t="s">
        <v>396</v>
      </c>
      <c r="B71" s="972" t="s">
        <v>776</v>
      </c>
      <c r="C71" s="336">
        <f ca="1">ROUND(C68*10000/F71,0)</f>
        <v>-1095</v>
      </c>
      <c r="D71" s="973" t="s">
        <v>777</v>
      </c>
      <c r="E71" s="974" t="s">
        <v>778</v>
      </c>
      <c r="F71" s="339">
        <f ca="1">F43</f>
        <v>25739.82</v>
      </c>
      <c r="O71" s="1428" t="s">
        <v>413</v>
      </c>
      <c r="P71" s="1467" t="s">
        <v>874</v>
      </c>
      <c r="Q71" s="1431">
        <f ca="1">C76</f>
        <v>8.5000000000000006E-2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614</v>
      </c>
      <c r="D75" s="1384"/>
      <c r="E75" s="1384"/>
      <c r="F75" s="1384"/>
      <c r="K75" s="1402"/>
      <c r="L75" s="1384"/>
      <c r="O75" s="1418" t="s">
        <v>409</v>
      </c>
      <c r="P75" s="1419" t="s">
        <v>838</v>
      </c>
      <c r="Q75" s="1420">
        <f ca="1">Q65+Q66</f>
        <v>7864</v>
      </c>
      <c r="R75" s="1420" t="s">
        <v>410</v>
      </c>
    </row>
    <row r="76" spans="1:18">
      <c r="B76" s="342" t="s">
        <v>796</v>
      </c>
      <c r="C76" s="343">
        <f ca="1">INDIRECT("'数据-取费表'!j"&amp;$G$1)</f>
        <v>8.5000000000000006E-2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-0.53499999999999992</v>
      </c>
    </row>
    <row r="80" spans="1:18">
      <c r="B80" s="340" t="s">
        <v>800</v>
      </c>
      <c r="C80" s="274">
        <f ca="1">ROUND(C75/C39,3)</f>
        <v>1.5349999999999999</v>
      </c>
    </row>
    <row r="81" spans="2:3">
      <c r="B81" s="270" t="s">
        <v>801</v>
      </c>
      <c r="C81" s="238"/>
    </row>
    <row r="82" spans="2:3">
      <c r="B82" s="273" t="s">
        <v>802</v>
      </c>
      <c r="C82" s="275">
        <f ca="1">1-C83</f>
        <v>8.0999999999999961E-2</v>
      </c>
    </row>
    <row r="83" spans="2:3">
      <c r="B83" s="273" t="s">
        <v>803</v>
      </c>
      <c r="C83" s="274">
        <f ca="1">ROUND(C13/C40,3)</f>
        <v>0.91900000000000004</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625" style="258" customWidth="1"/>
    <col min="6" max="6" width="10.625" style="258" customWidth="1"/>
    <col min="7" max="7" width="4.875" style="258" customWidth="1"/>
    <col min="8" max="8" width="8.5" style="258" customWidth="1"/>
    <col min="9" max="9" width="21.125" style="258" customWidth="1"/>
    <col min="10" max="10" width="12.125" style="258" customWidth="1"/>
    <col min="11" max="11" width="40.125" style="1468" customWidth="1"/>
    <col min="12" max="12" width="16.375" style="258" customWidth="1"/>
    <col min="13" max="13" width="13" style="258" customWidth="1"/>
    <col min="14" max="14" width="13.625" style="1384" customWidth="1"/>
    <col min="15" max="15" width="5.125" style="1384" customWidth="1"/>
    <col min="16" max="16" width="25.625" style="1384" customWidth="1"/>
    <col min="17" max="17" width="13.625" style="1384" customWidth="1"/>
    <col min="18" max="18" width="20.5" style="1384" customWidth="1"/>
    <col min="19" max="19" width="13.1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7"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64" t="s">
        <v>694</v>
      </c>
      <c r="C6" s="1074">
        <f ca="1">ROUND(F6*F8*F7*(1-F9),0)</f>
        <v>0</v>
      </c>
      <c r="D6" s="155" t="s">
        <v>2106</v>
      </c>
      <c r="E6" s="302" t="s">
        <v>696</v>
      </c>
      <c r="F6" s="303">
        <f ca="1">INDIRECT("'数据-取费表'!u"&amp;$G$1)</f>
        <v>0</v>
      </c>
      <c r="G6" s="1384"/>
      <c r="H6" s="1069" t="s">
        <v>398</v>
      </c>
      <c r="I6" s="3664" t="s">
        <v>694</v>
      </c>
      <c r="J6" s="301">
        <f ca="1">ROUND(M6*M8*M7*(1-M9),0)</f>
        <v>0</v>
      </c>
      <c r="K6" s="1376" t="s">
        <v>2107</v>
      </c>
      <c r="L6" s="302" t="s">
        <v>696</v>
      </c>
      <c r="M6" s="303">
        <f ca="1">INDIRECT("'数据-取费表'!z"&amp;$G$1)</f>
        <v>0</v>
      </c>
    </row>
    <row r="7" spans="1:37" ht="18" customHeight="1">
      <c r="A7" s="1073"/>
      <c r="B7" s="3665"/>
      <c r="C7" s="1075"/>
      <c r="D7" s="307"/>
      <c r="E7" s="1076" t="s">
        <v>697</v>
      </c>
      <c r="F7" s="303">
        <f ca="1">IF(INDIRECT("'数据-取费表'!ah"&amp;$G$1)="",INDIRECT("'数据-取费表'!k"&amp;$G$1),INDIRECT("'数据-取费表'!ah"&amp;$G$1))</f>
        <v>0</v>
      </c>
      <c r="G7" s="1384"/>
      <c r="H7" s="304"/>
      <c r="I7" s="3665"/>
      <c r="J7" s="306"/>
      <c r="K7" s="307"/>
      <c r="L7" s="302" t="s">
        <v>697</v>
      </c>
      <c r="M7" s="303">
        <f ca="1">F7</f>
        <v>0</v>
      </c>
    </row>
    <row r="8" spans="1:37" ht="18" customHeight="1">
      <c r="A8" s="304"/>
      <c r="B8" s="3665"/>
      <c r="C8" s="306"/>
      <c r="D8" s="307"/>
      <c r="E8" s="302" t="s">
        <v>698</v>
      </c>
      <c r="F8" s="303">
        <f ca="1">INDIRECT("'数据-取费表'!ai"&amp;$G$1)</f>
        <v>0</v>
      </c>
      <c r="G8" s="1384"/>
      <c r="H8" s="304"/>
      <c r="I8" s="3665"/>
      <c r="J8" s="306"/>
      <c r="K8" s="307"/>
      <c r="L8" s="302" t="s">
        <v>698</v>
      </c>
      <c r="M8" s="303">
        <f ca="1">INDIRECT("'数据-取费表'!ai"&amp;$G$1)</f>
        <v>0</v>
      </c>
    </row>
    <row r="9" spans="1:37" ht="18" customHeight="1">
      <c r="A9" s="304"/>
      <c r="B9" s="3666"/>
      <c r="C9" s="306"/>
      <c r="D9" s="307"/>
      <c r="E9" s="302" t="s">
        <v>699</v>
      </c>
      <c r="F9" s="312">
        <f ca="1">INDIRECT("'数据-取费表'!w"&amp;$G$1)</f>
        <v>0</v>
      </c>
      <c r="G9" s="1384"/>
      <c r="H9" s="304"/>
      <c r="I9" s="3666"/>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0.03</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1.5</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8.9999999999999998E-4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2301</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3" t="s">
        <v>3352</v>
      </c>
      <c r="B45" s="1400"/>
      <c r="C45" s="1472" t="e">
        <f ca="1">ROUND((C68-C40)/10000,4)</f>
        <v>#DIV/0!</v>
      </c>
      <c r="D45" s="3434" t="s">
        <v>3353</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62" t="s">
        <v>837</v>
      </c>
      <c r="L53" s="3663"/>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8.875" defaultRowHeight="13.3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625" style="3002" customWidth="1"/>
    <col min="11" max="11" width="11.625" style="3002" customWidth="1"/>
    <col min="12" max="13" width="10.62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625" style="2842" customWidth="1"/>
    <col min="267" max="267" width="11.625" style="2842" customWidth="1"/>
    <col min="268" max="269" width="10.62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625" style="2842" customWidth="1"/>
    <col min="523" max="523" width="11.625" style="2842" customWidth="1"/>
    <col min="524" max="525" width="10.62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625" style="2842" customWidth="1"/>
    <col min="779" max="779" width="11.625" style="2842" customWidth="1"/>
    <col min="780" max="781" width="10.62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625" style="2842" customWidth="1"/>
    <col min="1035" max="1035" width="11.625" style="2842" customWidth="1"/>
    <col min="1036" max="1037" width="10.62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625" style="2842" customWidth="1"/>
    <col min="1291" max="1291" width="11.625" style="2842" customWidth="1"/>
    <col min="1292" max="1293" width="10.62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625" style="2842" customWidth="1"/>
    <col min="1547" max="1547" width="11.625" style="2842" customWidth="1"/>
    <col min="1548" max="1549" width="10.62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625" style="2842" customWidth="1"/>
    <col min="1803" max="1803" width="11.625" style="2842" customWidth="1"/>
    <col min="1804" max="1805" width="10.62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625" style="2842" customWidth="1"/>
    <col min="2059" max="2059" width="11.625" style="2842" customWidth="1"/>
    <col min="2060" max="2061" width="10.62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625" style="2842" customWidth="1"/>
    <col min="2315" max="2315" width="11.625" style="2842" customWidth="1"/>
    <col min="2316" max="2317" width="10.62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625" style="2842" customWidth="1"/>
    <col min="2571" max="2571" width="11.625" style="2842" customWidth="1"/>
    <col min="2572" max="2573" width="10.62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625" style="2842" customWidth="1"/>
    <col min="2827" max="2827" width="11.625" style="2842" customWidth="1"/>
    <col min="2828" max="2829" width="10.62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625" style="2842" customWidth="1"/>
    <col min="3083" max="3083" width="11.625" style="2842" customWidth="1"/>
    <col min="3084" max="3085" width="10.62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625" style="2842" customWidth="1"/>
    <col min="3339" max="3339" width="11.625" style="2842" customWidth="1"/>
    <col min="3340" max="3341" width="10.62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625" style="2842" customWidth="1"/>
    <col min="3595" max="3595" width="11.625" style="2842" customWidth="1"/>
    <col min="3596" max="3597" width="10.62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625" style="2842" customWidth="1"/>
    <col min="3851" max="3851" width="11.625" style="2842" customWidth="1"/>
    <col min="3852" max="3853" width="10.62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625" style="2842" customWidth="1"/>
    <col min="4107" max="4107" width="11.625" style="2842" customWidth="1"/>
    <col min="4108" max="4109" width="10.62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625" style="2842" customWidth="1"/>
    <col min="4363" max="4363" width="11.625" style="2842" customWidth="1"/>
    <col min="4364" max="4365" width="10.62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625" style="2842" customWidth="1"/>
    <col min="4619" max="4619" width="11.625" style="2842" customWidth="1"/>
    <col min="4620" max="4621" width="10.62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625" style="2842" customWidth="1"/>
    <col min="4875" max="4875" width="11.625" style="2842" customWidth="1"/>
    <col min="4876" max="4877" width="10.62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625" style="2842" customWidth="1"/>
    <col min="5131" max="5131" width="11.625" style="2842" customWidth="1"/>
    <col min="5132" max="5133" width="10.62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625" style="2842" customWidth="1"/>
    <col min="5387" max="5387" width="11.625" style="2842" customWidth="1"/>
    <col min="5388" max="5389" width="10.62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625" style="2842" customWidth="1"/>
    <col min="5643" max="5643" width="11.625" style="2842" customWidth="1"/>
    <col min="5644" max="5645" width="10.62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625" style="2842" customWidth="1"/>
    <col min="5899" max="5899" width="11.625" style="2842" customWidth="1"/>
    <col min="5900" max="5901" width="10.62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625" style="2842" customWidth="1"/>
    <col min="6155" max="6155" width="11.625" style="2842" customWidth="1"/>
    <col min="6156" max="6157" width="10.62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625" style="2842" customWidth="1"/>
    <col min="6411" max="6411" width="11.625" style="2842" customWidth="1"/>
    <col min="6412" max="6413" width="10.62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625" style="2842" customWidth="1"/>
    <col min="6667" max="6667" width="11.625" style="2842" customWidth="1"/>
    <col min="6668" max="6669" width="10.62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625" style="2842" customWidth="1"/>
    <col min="6923" max="6923" width="11.625" style="2842" customWidth="1"/>
    <col min="6924" max="6925" width="10.62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625" style="2842" customWidth="1"/>
    <col min="7179" max="7179" width="11.625" style="2842" customWidth="1"/>
    <col min="7180" max="7181" width="10.62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625" style="2842" customWidth="1"/>
    <col min="7435" max="7435" width="11.625" style="2842" customWidth="1"/>
    <col min="7436" max="7437" width="10.62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625" style="2842" customWidth="1"/>
    <col min="7691" max="7691" width="11.625" style="2842" customWidth="1"/>
    <col min="7692" max="7693" width="10.62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625" style="2842" customWidth="1"/>
    <col min="7947" max="7947" width="11.625" style="2842" customWidth="1"/>
    <col min="7948" max="7949" width="10.62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625" style="2842" customWidth="1"/>
    <col min="8203" max="8203" width="11.625" style="2842" customWidth="1"/>
    <col min="8204" max="8205" width="10.62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625" style="2842" customWidth="1"/>
    <col min="8459" max="8459" width="11.625" style="2842" customWidth="1"/>
    <col min="8460" max="8461" width="10.62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625" style="2842" customWidth="1"/>
    <col min="8715" max="8715" width="11.625" style="2842" customWidth="1"/>
    <col min="8716" max="8717" width="10.62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625" style="2842" customWidth="1"/>
    <col min="8971" max="8971" width="11.625" style="2842" customWidth="1"/>
    <col min="8972" max="8973" width="10.62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625" style="2842" customWidth="1"/>
    <col min="9227" max="9227" width="11.625" style="2842" customWidth="1"/>
    <col min="9228" max="9229" width="10.62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625" style="2842" customWidth="1"/>
    <col min="9483" max="9483" width="11.625" style="2842" customWidth="1"/>
    <col min="9484" max="9485" width="10.62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625" style="2842" customWidth="1"/>
    <col min="9739" max="9739" width="11.625" style="2842" customWidth="1"/>
    <col min="9740" max="9741" width="10.62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625" style="2842" customWidth="1"/>
    <col min="9995" max="9995" width="11.625" style="2842" customWidth="1"/>
    <col min="9996" max="9997" width="10.62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625" style="2842" customWidth="1"/>
    <col min="10251" max="10251" width="11.625" style="2842" customWidth="1"/>
    <col min="10252" max="10253" width="10.62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625" style="2842" customWidth="1"/>
    <col min="10507" max="10507" width="11.625" style="2842" customWidth="1"/>
    <col min="10508" max="10509" width="10.62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625" style="2842" customWidth="1"/>
    <col min="10763" max="10763" width="11.625" style="2842" customWidth="1"/>
    <col min="10764" max="10765" width="10.62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625" style="2842" customWidth="1"/>
    <col min="11019" max="11019" width="11.625" style="2842" customWidth="1"/>
    <col min="11020" max="11021" width="10.62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625" style="2842" customWidth="1"/>
    <col min="11275" max="11275" width="11.625" style="2842" customWidth="1"/>
    <col min="11276" max="11277" width="10.62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625" style="2842" customWidth="1"/>
    <col min="11531" max="11531" width="11.625" style="2842" customWidth="1"/>
    <col min="11532" max="11533" width="10.62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625" style="2842" customWidth="1"/>
    <col min="11787" max="11787" width="11.625" style="2842" customWidth="1"/>
    <col min="11788" max="11789" width="10.62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625" style="2842" customWidth="1"/>
    <col min="12043" max="12043" width="11.625" style="2842" customWidth="1"/>
    <col min="12044" max="12045" width="10.62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625" style="2842" customWidth="1"/>
    <col min="12299" max="12299" width="11.625" style="2842" customWidth="1"/>
    <col min="12300" max="12301" width="10.62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625" style="2842" customWidth="1"/>
    <col min="12555" max="12555" width="11.625" style="2842" customWidth="1"/>
    <col min="12556" max="12557" width="10.62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625" style="2842" customWidth="1"/>
    <col min="12811" max="12811" width="11.625" style="2842" customWidth="1"/>
    <col min="12812" max="12813" width="10.62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625" style="2842" customWidth="1"/>
    <col min="13067" max="13067" width="11.625" style="2842" customWidth="1"/>
    <col min="13068" max="13069" width="10.62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625" style="2842" customWidth="1"/>
    <col min="13323" max="13323" width="11.625" style="2842" customWidth="1"/>
    <col min="13324" max="13325" width="10.62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625" style="2842" customWidth="1"/>
    <col min="13579" max="13579" width="11.625" style="2842" customWidth="1"/>
    <col min="13580" max="13581" width="10.62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625" style="2842" customWidth="1"/>
    <col min="13835" max="13835" width="11.625" style="2842" customWidth="1"/>
    <col min="13836" max="13837" width="10.62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625" style="2842" customWidth="1"/>
    <col min="14091" max="14091" width="11.625" style="2842" customWidth="1"/>
    <col min="14092" max="14093" width="10.62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625" style="2842" customWidth="1"/>
    <col min="14347" max="14347" width="11.625" style="2842" customWidth="1"/>
    <col min="14348" max="14349" width="10.62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625" style="2842" customWidth="1"/>
    <col min="14603" max="14603" width="11.625" style="2842" customWidth="1"/>
    <col min="14604" max="14605" width="10.62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625" style="2842" customWidth="1"/>
    <col min="14859" max="14859" width="11.625" style="2842" customWidth="1"/>
    <col min="14860" max="14861" width="10.62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625" style="2842" customWidth="1"/>
    <col min="15115" max="15115" width="11.625" style="2842" customWidth="1"/>
    <col min="15116" max="15117" width="10.62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625" style="2842" customWidth="1"/>
    <col min="15371" max="15371" width="11.625" style="2842" customWidth="1"/>
    <col min="15372" max="15373" width="10.62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625" style="2842" customWidth="1"/>
    <col min="15627" max="15627" width="11.625" style="2842" customWidth="1"/>
    <col min="15628" max="15629" width="10.62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625" style="2842" customWidth="1"/>
    <col min="15883" max="15883" width="11.625" style="2842" customWidth="1"/>
    <col min="15884" max="15885" width="10.62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625" style="2842" customWidth="1"/>
    <col min="16139" max="16139" width="11.625" style="2842" customWidth="1"/>
    <col min="16140" max="16141" width="10.62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2429</v>
      </c>
      <c r="B1" s="2832"/>
      <c r="C1" s="2844"/>
      <c r="D1" s="2844"/>
      <c r="E1" s="2833"/>
      <c r="F1" s="2834"/>
      <c r="G1" s="2835"/>
      <c r="J1" s="2838" t="s">
        <v>2308</v>
      </c>
      <c r="K1" s="2839"/>
      <c r="L1" s="2839"/>
      <c r="M1" s="2839"/>
      <c r="N1" s="2839"/>
      <c r="O1" s="2839"/>
      <c r="P1" s="2839"/>
      <c r="Q1" s="2839"/>
      <c r="R1" s="2840"/>
      <c r="S1" s="2841"/>
      <c r="T1" s="2841"/>
      <c r="U1" s="2841"/>
    </row>
    <row r="2" spans="1:22" s="2853" customFormat="1" ht="13.35" customHeight="1">
      <c r="A2" s="1385" t="s">
        <v>2309</v>
      </c>
      <c r="B2" s="2843" t="e">
        <f>IF(D2="——",C40,C40+E2)</f>
        <v>#DIV/0!</v>
      </c>
      <c r="C2" s="2844" t="s">
        <v>2310</v>
      </c>
      <c r="D2" s="3447" t="s">
        <v>3361</v>
      </c>
      <c r="E2" s="3448"/>
      <c r="F2" s="2846"/>
      <c r="G2" s="2847"/>
      <c r="H2" s="2848"/>
      <c r="I2" s="2849"/>
      <c r="J2" s="3667" t="s">
        <v>2311</v>
      </c>
      <c r="K2" s="3668"/>
      <c r="L2" s="2850" t="s">
        <v>2312</v>
      </c>
      <c r="M2" s="2850" t="s">
        <v>2313</v>
      </c>
      <c r="N2" s="2850" t="s">
        <v>2314</v>
      </c>
      <c r="O2" s="2850" t="s">
        <v>2315</v>
      </c>
      <c r="P2" s="2850" t="s">
        <v>2316</v>
      </c>
      <c r="Q2" s="2851" t="s">
        <v>2317</v>
      </c>
      <c r="R2" s="2852" t="s">
        <v>2318</v>
      </c>
      <c r="S2" s="2841"/>
      <c r="T2" s="2841"/>
      <c r="U2" s="2841"/>
      <c r="V2" s="2849"/>
    </row>
    <row r="3" spans="1:22" s="2853" customFormat="1" ht="13.35" customHeight="1">
      <c r="A3" s="2854" t="s">
        <v>2319</v>
      </c>
      <c r="B3" s="2855" t="e">
        <f>ROUND(B2*10000/B4,0)</f>
        <v>#DIV/0!</v>
      </c>
      <c r="C3" s="2844" t="s">
        <v>2320</v>
      </c>
      <c r="D3" s="2844"/>
      <c r="E3" s="2845"/>
      <c r="F3" s="2846"/>
      <c r="G3" s="2847"/>
      <c r="H3" s="2848"/>
      <c r="I3" s="2849"/>
      <c r="J3" s="3669" t="s">
        <v>2321</v>
      </c>
      <c r="K3" s="3670"/>
      <c r="L3" s="2856"/>
      <c r="M3" s="2856"/>
      <c r="N3" s="2856"/>
      <c r="O3" s="2856"/>
      <c r="P3" s="2856"/>
      <c r="Q3" s="2857"/>
      <c r="R3" s="2858">
        <f>SUM(L3:Q3)</f>
        <v>0</v>
      </c>
      <c r="S3" s="2841"/>
      <c r="T3" s="2841"/>
      <c r="U3" s="2841"/>
      <c r="V3" s="2849"/>
    </row>
    <row r="4" spans="1:22" s="2853" customFormat="1" ht="13.35" customHeight="1">
      <c r="A4" s="2859" t="s">
        <v>2322</v>
      </c>
      <c r="B4" s="2860"/>
      <c r="C4" s="2844"/>
      <c r="D4" s="2844"/>
      <c r="E4" s="2845"/>
      <c r="F4" s="2846"/>
      <c r="G4" s="2847"/>
      <c r="H4" s="2848"/>
      <c r="I4" s="2849"/>
      <c r="J4" s="3669" t="s">
        <v>2323</v>
      </c>
      <c r="K4" s="3670"/>
      <c r="L4" s="2861"/>
      <c r="M4" s="2861"/>
      <c r="N4" s="2861"/>
      <c r="O4" s="2861"/>
      <c r="P4" s="2861"/>
      <c r="Q4" s="2862"/>
      <c r="R4" s="2863">
        <f>SUM(L4:Q4)</f>
        <v>0</v>
      </c>
      <c r="S4" s="2841"/>
      <c r="T4" s="2841"/>
      <c r="U4" s="2841"/>
      <c r="V4" s="2849"/>
    </row>
    <row r="5" spans="1:22" s="2853" customFormat="1" ht="13.35" customHeight="1" thickBot="1">
      <c r="A5" s="2864" t="s">
        <v>2324</v>
      </c>
      <c r="B5" s="2865"/>
      <c r="C5" s="2844"/>
      <c r="D5" s="2866"/>
      <c r="E5" s="2846"/>
      <c r="F5" s="2846"/>
      <c r="G5" s="2847"/>
      <c r="H5" s="2848"/>
      <c r="I5" s="2849"/>
      <c r="J5" s="2867" t="s">
        <v>2325</v>
      </c>
      <c r="K5" s="2868"/>
      <c r="L5" s="2868"/>
      <c r="M5" s="2869"/>
      <c r="N5" s="2869"/>
      <c r="O5" s="2869"/>
      <c r="P5" s="2869"/>
      <c r="Q5" s="2869"/>
      <c r="R5" s="2852">
        <f>SUM(R14,R19,R24,R25,R27,R28)</f>
        <v>0</v>
      </c>
      <c r="S5" s="2841"/>
      <c r="T5" s="2841" t="s">
        <v>2326</v>
      </c>
      <c r="U5" s="2841" t="e">
        <f>ROUND(R5*10000/365/R3,1)</f>
        <v>#DIV/0!</v>
      </c>
      <c r="V5" s="2849"/>
    </row>
    <row r="6" spans="1:22" s="2853" customFormat="1" ht="13.35" customHeight="1" thickBot="1">
      <c r="A6" s="3671" t="s">
        <v>2327</v>
      </c>
      <c r="B6" s="3672"/>
      <c r="C6" s="3673"/>
      <c r="D6" s="2870"/>
      <c r="E6" s="2871"/>
      <c r="F6" s="2872"/>
      <c r="G6" s="2873"/>
      <c r="H6" s="2848"/>
      <c r="I6" s="2849"/>
      <c r="J6" s="3674">
        <v>1</v>
      </c>
      <c r="K6" s="3675" t="s">
        <v>2328</v>
      </c>
      <c r="L6" s="2874" t="s">
        <v>2329</v>
      </c>
      <c r="M6" s="2875" t="s">
        <v>2330</v>
      </c>
      <c r="N6" s="2875" t="s">
        <v>2331</v>
      </c>
      <c r="O6" s="2875" t="s">
        <v>2332</v>
      </c>
      <c r="P6" s="2875" t="s">
        <v>2333</v>
      </c>
      <c r="Q6" s="2875" t="s">
        <v>2334</v>
      </c>
      <c r="R6" s="2858" t="s">
        <v>2335</v>
      </c>
      <c r="S6" s="2841"/>
      <c r="T6" s="2841" t="s">
        <v>2336</v>
      </c>
      <c r="U6" s="2841"/>
      <c r="V6" s="2849"/>
    </row>
    <row r="7" spans="1:22" s="2853" customFormat="1" ht="13.35" customHeight="1">
      <c r="A7" s="2876" t="s">
        <v>2337</v>
      </c>
      <c r="B7" s="2877"/>
      <c r="C7" s="2878"/>
      <c r="D7" s="2879">
        <f>SUM(D9,D10,D11,D17,0)</f>
        <v>0</v>
      </c>
      <c r="E7" s="2880" t="e">
        <f>E9+E10+E11+E17</f>
        <v>#DIV/0!</v>
      </c>
      <c r="F7" s="2881"/>
      <c r="G7" s="2882"/>
      <c r="H7" s="2848"/>
      <c r="I7" s="2849"/>
      <c r="J7" s="3674"/>
      <c r="K7" s="3676"/>
      <c r="L7" s="2883" t="s">
        <v>2338</v>
      </c>
      <c r="M7" s="2884"/>
      <c r="N7" s="2860"/>
      <c r="O7" s="2885"/>
      <c r="P7" s="2885"/>
      <c r="Q7" s="2886">
        <v>365</v>
      </c>
      <c r="R7" s="2887">
        <f>ROUND(M7*N7*O7*P7*Q7/10000,0)</f>
        <v>0</v>
      </c>
      <c r="S7" s="2841"/>
      <c r="T7" s="2841" t="s">
        <v>2339</v>
      </c>
      <c r="U7" s="2841"/>
      <c r="V7" s="2849"/>
    </row>
    <row r="8" spans="1:22" s="2853" customFormat="1" ht="13.35" customHeight="1">
      <c r="A8" s="2888" t="s">
        <v>2340</v>
      </c>
      <c r="B8" s="3678" t="s">
        <v>2341</v>
      </c>
      <c r="C8" s="3679"/>
      <c r="D8" s="2889" t="s">
        <v>2342</v>
      </c>
      <c r="E8" s="2890" t="s">
        <v>2343</v>
      </c>
      <c r="F8" s="2891" t="s">
        <v>2344</v>
      </c>
      <c r="G8" s="2892"/>
      <c r="H8" s="2848"/>
      <c r="I8" s="2849"/>
      <c r="J8" s="3674"/>
      <c r="K8" s="3676"/>
      <c r="L8" s="2883" t="s">
        <v>2345</v>
      </c>
      <c r="M8" s="2884"/>
      <c r="N8" s="2860"/>
      <c r="O8" s="2885"/>
      <c r="P8" s="2885"/>
      <c r="Q8" s="2886">
        <v>365</v>
      </c>
      <c r="R8" s="2887">
        <f t="shared" ref="R8:R13" si="0">ROUND(M8*N8*O8*P8*Q8/10000,0)</f>
        <v>0</v>
      </c>
      <c r="S8" s="2841"/>
      <c r="T8" s="2841" t="s">
        <v>2346</v>
      </c>
      <c r="U8" s="2841"/>
      <c r="V8" s="2849"/>
    </row>
    <row r="9" spans="1:22" s="2853" customFormat="1" ht="13.35" customHeight="1">
      <c r="A9" s="2888">
        <v>1</v>
      </c>
      <c r="B9" s="3678" t="s">
        <v>2347</v>
      </c>
      <c r="C9" s="3679"/>
      <c r="D9" s="2889">
        <f>ROUND(D6*E9,0)</f>
        <v>0</v>
      </c>
      <c r="E9" s="2893"/>
      <c r="F9" s="2894" t="s">
        <v>2348</v>
      </c>
      <c r="G9" s="2873"/>
      <c r="H9" s="2848"/>
      <c r="I9" s="2849"/>
      <c r="J9" s="3674"/>
      <c r="K9" s="3676"/>
      <c r="L9" s="2883" t="s">
        <v>2349</v>
      </c>
      <c r="M9" s="2884"/>
      <c r="N9" s="2860"/>
      <c r="O9" s="2885"/>
      <c r="P9" s="2885"/>
      <c r="Q9" s="2886">
        <v>365</v>
      </c>
      <c r="R9" s="2887">
        <f t="shared" si="0"/>
        <v>0</v>
      </c>
      <c r="S9" s="2841"/>
      <c r="T9" s="2841"/>
      <c r="U9" s="2841"/>
      <c r="V9" s="2849"/>
    </row>
    <row r="10" spans="1:22" s="2853" customFormat="1" ht="13.35" customHeight="1">
      <c r="A10" s="2888">
        <v>2</v>
      </c>
      <c r="B10" s="3678" t="s">
        <v>2350</v>
      </c>
      <c r="C10" s="3679"/>
      <c r="D10" s="2889">
        <f>ROUND(D6*E10,0)</f>
        <v>0</v>
      </c>
      <c r="E10" s="2893"/>
      <c r="F10" s="2894" t="s">
        <v>2351</v>
      </c>
      <c r="G10" s="2873"/>
      <c r="H10" s="2848"/>
      <c r="I10" s="2849"/>
      <c r="J10" s="3674"/>
      <c r="K10" s="3676"/>
      <c r="L10" s="2883" t="s">
        <v>2352</v>
      </c>
      <c r="M10" s="2884"/>
      <c r="N10" s="2860"/>
      <c r="O10" s="2885"/>
      <c r="P10" s="2885"/>
      <c r="Q10" s="2886">
        <v>365</v>
      </c>
      <c r="R10" s="2887">
        <f t="shared" si="0"/>
        <v>0</v>
      </c>
      <c r="S10" s="2841"/>
      <c r="T10" s="2841"/>
      <c r="U10" s="2841"/>
      <c r="V10" s="2849"/>
    </row>
    <row r="11" spans="1:22" s="2853" customFormat="1" ht="13.35" customHeight="1">
      <c r="A11" s="2888">
        <v>3</v>
      </c>
      <c r="B11" s="3678" t="s">
        <v>2353</v>
      </c>
      <c r="C11" s="3679"/>
      <c r="D11" s="2889">
        <f>D12+D14+D15+D16</f>
        <v>0</v>
      </c>
      <c r="E11" s="2895" t="e">
        <f>D11/D6</f>
        <v>#DIV/0!</v>
      </c>
      <c r="F11" s="2891"/>
      <c r="G11" s="2892"/>
      <c r="H11" s="2848"/>
      <c r="I11" s="2849"/>
      <c r="J11" s="3674"/>
      <c r="K11" s="3676"/>
      <c r="L11" s="2883" t="s">
        <v>2354</v>
      </c>
      <c r="M11" s="2884"/>
      <c r="N11" s="2860"/>
      <c r="O11" s="2885"/>
      <c r="P11" s="2885"/>
      <c r="Q11" s="2886">
        <v>365</v>
      </c>
      <c r="R11" s="2887">
        <f t="shared" si="0"/>
        <v>0</v>
      </c>
      <c r="S11" s="2841"/>
      <c r="T11" s="2841"/>
      <c r="U11" s="2841"/>
      <c r="V11" s="2849"/>
    </row>
    <row r="12" spans="1:22" s="2853" customFormat="1" ht="13.35" customHeight="1">
      <c r="A12" s="2896" t="s">
        <v>2355</v>
      </c>
      <c r="B12" s="3680" t="s">
        <v>2356</v>
      </c>
      <c r="C12" s="3681"/>
      <c r="D12" s="2897">
        <f>ROUND(D13*1.2%*(1-30%),0)</f>
        <v>0</v>
      </c>
      <c r="E12" s="2898">
        <v>1.2E-2</v>
      </c>
      <c r="F12" s="2891" t="s">
        <v>2357</v>
      </c>
      <c r="G12" s="2892"/>
      <c r="H12" s="2848"/>
      <c r="I12" s="2849"/>
      <c r="J12" s="3674"/>
      <c r="K12" s="3676"/>
      <c r="L12" s="2883" t="s">
        <v>2358</v>
      </c>
      <c r="M12" s="2884"/>
      <c r="N12" s="2860"/>
      <c r="O12" s="2885"/>
      <c r="P12" s="2885"/>
      <c r="Q12" s="2886">
        <v>365</v>
      </c>
      <c r="R12" s="2887">
        <f t="shared" si="0"/>
        <v>0</v>
      </c>
      <c r="S12" s="2841"/>
      <c r="T12" s="2841"/>
      <c r="U12" s="2841"/>
      <c r="V12" s="2849"/>
    </row>
    <row r="13" spans="1:22" s="2853" customFormat="1" ht="13.35" customHeight="1">
      <c r="A13" s="2896"/>
      <c r="B13" s="2899"/>
      <c r="C13" s="2900" t="s">
        <v>2359</v>
      </c>
      <c r="D13" s="2901"/>
      <c r="E13" s="2902"/>
      <c r="F13" s="2891"/>
      <c r="G13" s="2892"/>
      <c r="H13" s="2848"/>
      <c r="I13" s="2849"/>
      <c r="J13" s="3674"/>
      <c r="K13" s="3676"/>
      <c r="L13" s="2883" t="s">
        <v>2360</v>
      </c>
      <c r="M13" s="2884"/>
      <c r="N13" s="2860"/>
      <c r="O13" s="2885"/>
      <c r="P13" s="2885"/>
      <c r="Q13" s="2886">
        <v>365</v>
      </c>
      <c r="R13" s="2887">
        <f t="shared" si="0"/>
        <v>0</v>
      </c>
      <c r="S13" s="2841"/>
      <c r="T13" s="2841"/>
      <c r="U13" s="2841"/>
      <c r="V13" s="2849"/>
    </row>
    <row r="14" spans="1:22" s="2853" customFormat="1" ht="13.35" customHeight="1">
      <c r="A14" s="2896" t="s">
        <v>2361</v>
      </c>
      <c r="B14" s="3680" t="s">
        <v>2362</v>
      </c>
      <c r="C14" s="3681"/>
      <c r="D14" s="2897">
        <f>ROUND(E14*B5/10000,0)</f>
        <v>0</v>
      </c>
      <c r="E14" s="2886"/>
      <c r="F14" s="2891" t="s">
        <v>2363</v>
      </c>
      <c r="G14" s="2892"/>
      <c r="H14" s="2848"/>
      <c r="I14" s="2849"/>
      <c r="J14" s="3674"/>
      <c r="K14" s="3677"/>
      <c r="L14" s="2903" t="s">
        <v>2364</v>
      </c>
      <c r="M14" s="2904">
        <f>SUM(M7:M13)</f>
        <v>0</v>
      </c>
      <c r="N14" s="2904" t="e">
        <f>ROUND((N7*M7+N8*M8+N9*M9+N10*M10+N11*M11+N12*M12+N13*M13)/M14,0)</f>
        <v>#DIV/0!</v>
      </c>
      <c r="O14" s="2905"/>
      <c r="P14" s="2905"/>
      <c r="Q14" s="2906"/>
      <c r="R14" s="2852">
        <f>SUM(R7:R13)</f>
        <v>0</v>
      </c>
      <c r="S14" s="2841"/>
      <c r="T14" s="2841"/>
      <c r="U14" s="2841"/>
      <c r="V14" s="2849"/>
    </row>
    <row r="15" spans="1:22" s="2853" customFormat="1" ht="13.35" customHeight="1">
      <c r="A15" s="2896" t="s">
        <v>2365</v>
      </c>
      <c r="B15" s="3680" t="s">
        <v>2366</v>
      </c>
      <c r="C15" s="3681"/>
      <c r="D15" s="2897">
        <f>ROUND(D6*E15,0)</f>
        <v>0</v>
      </c>
      <c r="E15" s="2898">
        <v>5.5E-2</v>
      </c>
      <c r="F15" s="2891" t="s">
        <v>2367</v>
      </c>
      <c r="G15" s="2873"/>
      <c r="H15" s="2848"/>
      <c r="I15" s="2849"/>
      <c r="J15" s="3674">
        <v>2</v>
      </c>
      <c r="K15" s="3675" t="s">
        <v>2368</v>
      </c>
      <c r="L15" s="2883" t="s">
        <v>2369</v>
      </c>
      <c r="M15" s="2884" t="s">
        <v>2370</v>
      </c>
      <c r="N15" s="2884" t="s">
        <v>2371</v>
      </c>
      <c r="O15" s="2885" t="s">
        <v>2372</v>
      </c>
      <c r="P15" s="2885" t="s">
        <v>2334</v>
      </c>
      <c r="Q15" s="2860" t="s">
        <v>2373</v>
      </c>
      <c r="R15" s="2907" t="s">
        <v>2335</v>
      </c>
      <c r="S15" s="2841"/>
      <c r="T15" s="2841"/>
      <c r="U15" s="2841"/>
      <c r="V15" s="2849"/>
    </row>
    <row r="16" spans="1:22" s="2853" customFormat="1" ht="13.35" customHeight="1">
      <c r="A16" s="2896" t="s">
        <v>2374</v>
      </c>
      <c r="B16" s="3680" t="s">
        <v>2375</v>
      </c>
      <c r="C16" s="3681"/>
      <c r="D16" s="2908">
        <f>D6*E16</f>
        <v>0</v>
      </c>
      <c r="E16" s="2909"/>
      <c r="F16" s="2894" t="s">
        <v>2376</v>
      </c>
      <c r="G16" s="2873"/>
      <c r="H16" s="2848"/>
      <c r="I16" s="2849"/>
      <c r="J16" s="3674"/>
      <c r="K16" s="3676"/>
      <c r="L16" s="2883" t="s">
        <v>2377</v>
      </c>
      <c r="M16" s="2884"/>
      <c r="N16" s="2884"/>
      <c r="O16" s="2885"/>
      <c r="P16" s="2886">
        <v>365</v>
      </c>
      <c r="Q16" s="2860"/>
      <c r="R16" s="2907">
        <f>ROUND(M16*N16*O16*P16/10000,0)</f>
        <v>0</v>
      </c>
      <c r="S16" s="2841"/>
      <c r="T16" s="2841"/>
      <c r="U16" s="2841"/>
      <c r="V16" s="2849"/>
    </row>
    <row r="17" spans="1:22" s="2853" customFormat="1" ht="13.35" customHeight="1" thickBot="1">
      <c r="A17" s="2910">
        <v>4</v>
      </c>
      <c r="B17" s="3682" t="s">
        <v>2378</v>
      </c>
      <c r="C17" s="3683"/>
      <c r="D17" s="2911">
        <f>ROUND(D6*E17,0)</f>
        <v>0</v>
      </c>
      <c r="E17" s="2912"/>
      <c r="F17" s="2913" t="s">
        <v>2379</v>
      </c>
      <c r="G17" s="2873"/>
      <c r="H17" s="2848"/>
      <c r="I17" s="2849"/>
      <c r="J17" s="3674"/>
      <c r="K17" s="3676"/>
      <c r="L17" s="2883" t="s">
        <v>2380</v>
      </c>
      <c r="M17" s="2884"/>
      <c r="N17" s="2884"/>
      <c r="O17" s="2885"/>
      <c r="P17" s="2886">
        <v>365</v>
      </c>
      <c r="Q17" s="2860"/>
      <c r="R17" s="2907">
        <f>ROUND(M17*N17*O17*P17/10000,0)</f>
        <v>0</v>
      </c>
      <c r="S17" s="2841"/>
      <c r="T17" s="2841"/>
      <c r="U17" s="2841"/>
      <c r="V17" s="2849"/>
    </row>
    <row r="18" spans="1:22" s="2853" customFormat="1" ht="13.35" customHeight="1" thickBot="1">
      <c r="A18" s="2876" t="s">
        <v>2381</v>
      </c>
      <c r="B18" s="2877"/>
      <c r="C18" s="2877"/>
      <c r="D18" s="2914">
        <f>ROUND(D6*E18,0)</f>
        <v>0</v>
      </c>
      <c r="E18" s="2915"/>
      <c r="F18" s="2916" t="s">
        <v>2382</v>
      </c>
      <c r="G18" s="2873"/>
      <c r="H18" s="2848"/>
      <c r="I18" s="2849"/>
      <c r="J18" s="3674"/>
      <c r="K18" s="3676"/>
      <c r="L18" s="2883" t="s">
        <v>2383</v>
      </c>
      <c r="M18" s="2884"/>
      <c r="N18" s="2884"/>
      <c r="O18" s="2885"/>
      <c r="P18" s="2886">
        <v>365</v>
      </c>
      <c r="Q18" s="2860"/>
      <c r="R18" s="2907">
        <f>ROUND(M18*N18*O18*P18/10000,0)</f>
        <v>0</v>
      </c>
      <c r="S18" s="2841"/>
      <c r="T18" s="2841"/>
      <c r="U18" s="2841"/>
      <c r="V18" s="2849"/>
    </row>
    <row r="19" spans="1:22" s="2853" customFormat="1" ht="13.35" customHeight="1" thickBot="1">
      <c r="A19" s="2917" t="s">
        <v>2384</v>
      </c>
      <c r="B19" s="2871"/>
      <c r="C19" s="2871"/>
      <c r="D19" s="2871"/>
      <c r="E19" s="2871"/>
      <c r="F19" s="2872"/>
      <c r="G19" s="2892"/>
      <c r="H19" s="2848"/>
      <c r="I19" s="2849"/>
      <c r="J19" s="3674"/>
      <c r="K19" s="3677"/>
      <c r="L19" s="2903" t="s">
        <v>2364</v>
      </c>
      <c r="M19" s="2904"/>
      <c r="N19" s="2904">
        <f>SUM(N16:N18)</f>
        <v>0</v>
      </c>
      <c r="O19" s="2905"/>
      <c r="P19" s="2918" t="s">
        <v>2428</v>
      </c>
      <c r="Q19" s="2885">
        <v>0</v>
      </c>
      <c r="R19" s="2919">
        <f>ROUND(IF(P19="按比例",R14*Q19,SUM(R16:R18)),0)</f>
        <v>0</v>
      </c>
      <c r="S19" s="2841"/>
      <c r="T19" s="2841"/>
      <c r="U19" s="2841"/>
      <c r="V19" s="2849"/>
    </row>
    <row r="20" spans="1:22" s="2853" customFormat="1" ht="13.35" customHeight="1">
      <c r="A20" s="2876"/>
      <c r="B20" s="2877"/>
      <c r="C20" s="2877"/>
      <c r="D20" s="2877"/>
      <c r="E20" s="2877"/>
      <c r="F20" s="2920"/>
      <c r="G20" s="2892"/>
      <c r="H20" s="2848"/>
      <c r="I20" s="2849"/>
      <c r="J20" s="3674">
        <v>3</v>
      </c>
      <c r="K20" s="3675" t="s">
        <v>2385</v>
      </c>
      <c r="L20" s="2883" t="s">
        <v>2386</v>
      </c>
      <c r="M20" s="2884" t="s">
        <v>2387</v>
      </c>
      <c r="N20" s="2921" t="s">
        <v>2388</v>
      </c>
      <c r="O20" s="2885" t="s">
        <v>2389</v>
      </c>
      <c r="P20" s="2886" t="s">
        <v>2390</v>
      </c>
      <c r="Q20" s="2860" t="s">
        <v>2391</v>
      </c>
      <c r="R20" s="2907" t="s">
        <v>2392</v>
      </c>
      <c r="S20" s="2922"/>
      <c r="T20" s="2922"/>
      <c r="U20" s="2922"/>
      <c r="V20" s="2849"/>
    </row>
    <row r="21" spans="1:22" s="2853" customFormat="1" ht="13.35" customHeight="1">
      <c r="A21" s="2876"/>
      <c r="B21" s="2877"/>
      <c r="C21" s="2923" t="s">
        <v>2393</v>
      </c>
      <c r="D21" s="2924" t="s">
        <v>2394</v>
      </c>
      <c r="E21" s="2925" t="s">
        <v>2395</v>
      </c>
      <c r="F21" s="2920"/>
      <c r="G21" s="2892"/>
      <c r="H21" s="2848"/>
      <c r="I21" s="2849"/>
      <c r="J21" s="3674"/>
      <c r="K21" s="3676"/>
      <c r="L21" s="2883" t="s">
        <v>2396</v>
      </c>
      <c r="M21" s="2884"/>
      <c r="N21" s="2884"/>
      <c r="O21" s="2885"/>
      <c r="P21" s="2886">
        <v>365</v>
      </c>
      <c r="Q21" s="2860"/>
      <c r="R21" s="2926">
        <f>ROUND(M21*N21*O21*P21/10000,0)</f>
        <v>0</v>
      </c>
      <c r="S21" s="2922"/>
      <c r="T21" s="2922"/>
      <c r="U21" s="2922"/>
      <c r="V21" s="2849"/>
    </row>
    <row r="22" spans="1:22" s="2853" customFormat="1" ht="13.35" customHeight="1">
      <c r="A22" s="2876"/>
      <c r="B22" s="2877"/>
      <c r="C22" s="2927" t="s">
        <v>2397</v>
      </c>
      <c r="D22" s="2928" t="s">
        <v>2398</v>
      </c>
      <c r="E22" s="2929" t="s">
        <v>2399</v>
      </c>
      <c r="F22" s="2920"/>
      <c r="G22" s="2930"/>
      <c r="H22" s="2848"/>
      <c r="I22" s="2849"/>
      <c r="J22" s="3674"/>
      <c r="K22" s="3676"/>
      <c r="L22" s="2883" t="s">
        <v>2400</v>
      </c>
      <c r="M22" s="2884"/>
      <c r="N22" s="2884"/>
      <c r="O22" s="2885"/>
      <c r="P22" s="2886">
        <v>365</v>
      </c>
      <c r="Q22" s="2860"/>
      <c r="R22" s="2926">
        <f>ROUND(M22*N22*O22*P22/10000,0)</f>
        <v>0</v>
      </c>
      <c r="S22" s="2922"/>
      <c r="T22" s="2922"/>
      <c r="U22" s="2922"/>
      <c r="V22" s="2849"/>
    </row>
    <row r="23" spans="1:22" s="2853" customFormat="1" ht="13.35" customHeight="1">
      <c r="A23" s="2931">
        <v>1</v>
      </c>
      <c r="B23" s="2932" t="s">
        <v>2401</v>
      </c>
      <c r="C23" s="2933">
        <f>D6</f>
        <v>0</v>
      </c>
      <c r="D23" s="2934">
        <f>C23*(1+D24)</f>
        <v>0</v>
      </c>
      <c r="E23" s="2935">
        <f>D23*(1+E24)</f>
        <v>0</v>
      </c>
      <c r="F23" s="2936"/>
      <c r="G23" s="2937"/>
      <c r="H23" s="2848"/>
      <c r="I23" s="2849"/>
      <c r="J23" s="3674"/>
      <c r="K23" s="3676"/>
      <c r="L23" s="2883" t="s">
        <v>2402</v>
      </c>
      <c r="M23" s="2884"/>
      <c r="N23" s="2884"/>
      <c r="O23" s="2885"/>
      <c r="P23" s="2886">
        <v>365</v>
      </c>
      <c r="Q23" s="2860"/>
      <c r="R23" s="2926">
        <f>ROUND(M23*N23*O23*P23/10000,0)</f>
        <v>0</v>
      </c>
      <c r="S23" s="2841"/>
      <c r="T23" s="2841"/>
      <c r="U23" s="2841"/>
      <c r="V23" s="2849"/>
    </row>
    <row r="24" spans="1:22" s="2853" customFormat="1" ht="13.35" customHeight="1">
      <c r="A24" s="2938"/>
      <c r="B24" s="2939" t="s">
        <v>2403</v>
      </c>
      <c r="C24" s="2940"/>
      <c r="D24" s="2941"/>
      <c r="E24" s="2942"/>
      <c r="F24" s="2943"/>
      <c r="G24" s="2937"/>
      <c r="H24" s="2848"/>
      <c r="I24" s="2849"/>
      <c r="J24" s="3674"/>
      <c r="K24" s="3677"/>
      <c r="L24" s="2903" t="s">
        <v>2364</v>
      </c>
      <c r="M24" s="2904">
        <f>SUM(M21:M23)</f>
        <v>0</v>
      </c>
      <c r="N24" s="2904"/>
      <c r="O24" s="2905"/>
      <c r="P24" s="2918" t="s">
        <v>2428</v>
      </c>
      <c r="Q24" s="2885">
        <v>0</v>
      </c>
      <c r="R24" s="2919">
        <f>ROUND(IF(P24="按比例",R14*Q24,SUM(R21:R23)),0)</f>
        <v>0</v>
      </c>
      <c r="S24" s="2841"/>
      <c r="T24" s="2841"/>
      <c r="U24" s="2841"/>
      <c r="V24" s="2849"/>
    </row>
    <row r="25" spans="1:22" s="2950" customFormat="1" ht="13.35" customHeight="1">
      <c r="A25" s="2938"/>
      <c r="B25" s="2939"/>
      <c r="C25" s="2940"/>
      <c r="D25" s="2941"/>
      <c r="E25" s="2942"/>
      <c r="F25" s="2943"/>
      <c r="G25" s="2930"/>
      <c r="H25" s="2848"/>
      <c r="I25" s="2849"/>
      <c r="J25" s="2944">
        <v>4</v>
      </c>
      <c r="K25" s="2945" t="s">
        <v>2404</v>
      </c>
      <c r="L25" s="2946"/>
      <c r="M25" s="2946"/>
      <c r="N25" s="2946"/>
      <c r="O25" s="2946"/>
      <c r="P25" s="2947"/>
      <c r="Q25" s="2948">
        <v>0</v>
      </c>
      <c r="R25" s="2919">
        <f>ROUND(R14*Q25,0)</f>
        <v>0</v>
      </c>
      <c r="S25" s="2841"/>
      <c r="T25" s="2841"/>
      <c r="U25" s="2841"/>
      <c r="V25" s="2949"/>
    </row>
    <row r="26" spans="1:22" s="2950" customFormat="1" ht="13.35" customHeight="1">
      <c r="A26" s="2931">
        <v>2</v>
      </c>
      <c r="B26" s="2932" t="s">
        <v>2405</v>
      </c>
      <c r="C26" s="2933">
        <f>D7</f>
        <v>0</v>
      </c>
      <c r="D26" s="2934">
        <f>D23*D27</f>
        <v>0</v>
      </c>
      <c r="E26" s="2935">
        <f>E23*E27</f>
        <v>0</v>
      </c>
      <c r="F26" s="2936"/>
      <c r="G26" s="2937"/>
      <c r="H26" s="2848"/>
      <c r="I26" s="2849"/>
      <c r="J26" s="3684">
        <v>5</v>
      </c>
      <c r="K26" s="2951" t="s">
        <v>2406</v>
      </c>
      <c r="L26" s="2952"/>
      <c r="M26" s="2953"/>
      <c r="N26" s="2954" t="s">
        <v>2407</v>
      </c>
      <c r="O26" s="2954" t="s">
        <v>2408</v>
      </c>
      <c r="P26" s="2955" t="s">
        <v>2409</v>
      </c>
      <c r="Q26" s="2955" t="s">
        <v>2410</v>
      </c>
      <c r="R26" s="2858" t="s">
        <v>2335</v>
      </c>
      <c r="S26" s="2956"/>
      <c r="T26" s="2956"/>
      <c r="U26" s="2956"/>
      <c r="V26" s="2949"/>
    </row>
    <row r="27" spans="1:22" s="2853" customFormat="1" ht="13.35" customHeight="1">
      <c r="A27" s="2938"/>
      <c r="B27" s="2939" t="s">
        <v>2411</v>
      </c>
      <c r="C27" s="2957" t="e">
        <f>E7</f>
        <v>#DIV/0!</v>
      </c>
      <c r="D27" s="2941"/>
      <c r="E27" s="2942"/>
      <c r="F27" s="2943"/>
      <c r="G27" s="2937"/>
      <c r="H27" s="2958"/>
      <c r="I27" s="2949"/>
      <c r="J27" s="3685"/>
      <c r="K27" s="2959"/>
      <c r="L27" s="2960"/>
      <c r="M27" s="2961"/>
      <c r="N27" s="2962"/>
      <c r="O27" s="2962"/>
      <c r="P27" s="2962"/>
      <c r="Q27" s="2963"/>
      <c r="R27" s="2919">
        <f>ROUND(O27*N27*P27*(1-Q27)/10000,0)</f>
        <v>0</v>
      </c>
      <c r="S27" s="2841"/>
      <c r="T27" s="2841"/>
      <c r="U27" s="2841"/>
      <c r="V27" s="2849"/>
    </row>
    <row r="28" spans="1:22" s="2950" customFormat="1" ht="13.35" customHeight="1" thickBot="1">
      <c r="A28" s="2938"/>
      <c r="B28" s="2939"/>
      <c r="C28" s="2957"/>
      <c r="D28" s="2941"/>
      <c r="E28" s="2942" t="s">
        <v>2412</v>
      </c>
      <c r="F28" s="2943"/>
      <c r="G28" s="2930"/>
      <c r="H28" s="2958"/>
      <c r="I28" s="2949"/>
      <c r="J28" s="2964">
        <v>6</v>
      </c>
      <c r="K28" s="2965" t="s">
        <v>2413</v>
      </c>
      <c r="L28" s="2966" t="s">
        <v>2414</v>
      </c>
      <c r="M28" s="2967"/>
      <c r="N28" s="2966" t="s">
        <v>2415</v>
      </c>
      <c r="O28" s="2968"/>
      <c r="P28" s="2966" t="s">
        <v>2416</v>
      </c>
      <c r="Q28" s="2969">
        <v>1.4999999999999999E-2</v>
      </c>
      <c r="R28" s="2970"/>
      <c r="S28" s="2922"/>
      <c r="T28" s="2922"/>
      <c r="U28" s="2922"/>
      <c r="V28" s="2949"/>
    </row>
    <row r="29" spans="1:22" s="2950" customFormat="1" ht="13.35" customHeight="1">
      <c r="A29" s="2931">
        <v>3</v>
      </c>
      <c r="B29" s="2932" t="s">
        <v>2417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35" customHeight="1" thickBot="1">
      <c r="A30" s="2938"/>
      <c r="B30" s="2939" t="s">
        <v>2411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35" customHeight="1">
      <c r="A31" s="2938"/>
      <c r="B31" s="2939"/>
      <c r="C31" s="2972"/>
      <c r="D31" s="2971"/>
      <c r="E31" s="2902"/>
      <c r="F31" s="2943"/>
      <c r="G31" s="2930"/>
      <c r="H31" s="2958"/>
      <c r="I31" s="2949"/>
      <c r="J31" s="2838" t="s">
        <v>2418</v>
      </c>
      <c r="K31" s="2839"/>
      <c r="L31" s="2839"/>
      <c r="M31" s="2839"/>
      <c r="N31" s="2839"/>
      <c r="O31" s="2839"/>
      <c r="P31" s="2839"/>
      <c r="Q31" s="2839"/>
      <c r="R31" s="2840"/>
      <c r="S31" s="2922"/>
      <c r="T31" s="2841"/>
      <c r="U31" s="2841"/>
      <c r="V31" s="2949"/>
    </row>
    <row r="32" spans="1:22" s="2950" customFormat="1" ht="13.35" customHeight="1">
      <c r="A32" s="2931">
        <v>4</v>
      </c>
      <c r="B32" s="2932" t="s">
        <v>2419</v>
      </c>
      <c r="C32" s="2933">
        <f>C23-C26-C29</f>
        <v>0</v>
      </c>
      <c r="D32" s="2934">
        <f>D23-D26-D29</f>
        <v>0</v>
      </c>
      <c r="E32" s="2935">
        <f>E23-E26-E29</f>
        <v>0</v>
      </c>
      <c r="F32" s="2936"/>
      <c r="G32" s="2930"/>
      <c r="H32" s="2848"/>
      <c r="I32" s="2849"/>
      <c r="J32" s="3667" t="s">
        <v>2311</v>
      </c>
      <c r="K32" s="3668"/>
      <c r="L32" s="2850" t="s">
        <v>2312</v>
      </c>
      <c r="M32" s="2850" t="s">
        <v>2313</v>
      </c>
      <c r="N32" s="2850" t="s">
        <v>2314</v>
      </c>
      <c r="O32" s="2850" t="s">
        <v>2315</v>
      </c>
      <c r="P32" s="2850" t="s">
        <v>2316</v>
      </c>
      <c r="Q32" s="2851" t="s">
        <v>2317</v>
      </c>
      <c r="R32" s="2973" t="s">
        <v>2318</v>
      </c>
      <c r="S32" s="2922"/>
      <c r="T32" s="2841"/>
      <c r="U32" s="2841"/>
      <c r="V32" s="2949"/>
    </row>
    <row r="33" spans="1:23" s="2853" customFormat="1" ht="13.35" customHeight="1">
      <c r="A33" s="2931"/>
      <c r="B33" s="2932"/>
      <c r="C33" s="2933"/>
      <c r="D33" s="2974"/>
      <c r="E33" s="2975"/>
      <c r="F33" s="2936"/>
      <c r="G33" s="2930"/>
      <c r="H33" s="2958"/>
      <c r="I33" s="2949"/>
      <c r="J33" s="3669" t="s">
        <v>2321</v>
      </c>
      <c r="K33" s="3670"/>
      <c r="L33" s="2856"/>
      <c r="M33" s="2856"/>
      <c r="N33" s="2856"/>
      <c r="O33" s="2856"/>
      <c r="P33" s="2856"/>
      <c r="Q33" s="2857"/>
      <c r="R33" s="2976">
        <f>SUM(L33:Q33)</f>
        <v>0</v>
      </c>
      <c r="S33" s="2922"/>
      <c r="T33" s="2841"/>
      <c r="U33" s="2841"/>
      <c r="V33" s="2849"/>
    </row>
    <row r="34" spans="1:23" s="2853" customFormat="1" ht="13.35" customHeight="1">
      <c r="A34" s="2931">
        <v>5</v>
      </c>
      <c r="B34" s="2932" t="s">
        <v>2420</v>
      </c>
      <c r="C34" s="2977"/>
      <c r="D34" s="2978"/>
      <c r="E34" s="2979"/>
      <c r="F34" s="2936"/>
      <c r="G34" s="2930"/>
      <c r="H34" s="2958"/>
      <c r="I34" s="2949"/>
      <c r="J34" s="3669" t="s">
        <v>2323</v>
      </c>
      <c r="K34" s="3670"/>
      <c r="L34" s="2861"/>
      <c r="M34" s="2861"/>
      <c r="N34" s="2861"/>
      <c r="O34" s="2861"/>
      <c r="P34" s="2861"/>
      <c r="Q34" s="2862"/>
      <c r="R34" s="2980">
        <f>SUM(L34:Q34)</f>
        <v>0</v>
      </c>
      <c r="S34" s="2922"/>
      <c r="T34" s="2841"/>
      <c r="U34" s="2841" t="e">
        <f>ROUND(R35*10000/365/R33,1)</f>
        <v>#DIV/0!</v>
      </c>
      <c r="V34" s="2849"/>
    </row>
    <row r="35" spans="1:23" s="2853" customFormat="1" ht="13.35" customHeight="1">
      <c r="A35" s="2931">
        <v>6</v>
      </c>
      <c r="B35" s="2932" t="s">
        <v>2421</v>
      </c>
      <c r="C35" s="2981"/>
      <c r="D35" s="2982"/>
      <c r="E35" s="2983"/>
      <c r="F35" s="2936"/>
      <c r="G35" s="2984"/>
      <c r="H35" s="2848"/>
      <c r="I35" s="2949"/>
      <c r="J35" s="2867" t="s">
        <v>2325</v>
      </c>
      <c r="K35" s="2868"/>
      <c r="L35" s="2868"/>
      <c r="M35" s="2869"/>
      <c r="N35" s="2869"/>
      <c r="O35" s="2869"/>
      <c r="P35" s="2869"/>
      <c r="Q35" s="2869"/>
      <c r="R35" s="2985">
        <f>R40+R41+R43</f>
        <v>0</v>
      </c>
      <c r="S35" s="2922"/>
      <c r="T35" s="2841" t="s">
        <v>2326</v>
      </c>
      <c r="U35" s="2841"/>
      <c r="V35" s="2849"/>
    </row>
    <row r="36" spans="1:23" s="2853" customFormat="1" ht="13.35" customHeight="1" thickBot="1">
      <c r="A36" s="2931">
        <v>7</v>
      </c>
      <c r="B36" s="2986" t="s">
        <v>2422</v>
      </c>
      <c r="C36" s="2987"/>
      <c r="D36" s="2988"/>
      <c r="E36" s="2989"/>
      <c r="F36" s="2990">
        <f>C36+D36+E36</f>
        <v>0</v>
      </c>
      <c r="G36" s="2930"/>
      <c r="H36" s="2848"/>
      <c r="I36" s="2849"/>
      <c r="J36" s="3674">
        <v>1</v>
      </c>
      <c r="K36" s="3675" t="s">
        <v>2423</v>
      </c>
      <c r="L36" s="2874"/>
      <c r="M36" s="2875"/>
      <c r="N36" s="2875"/>
      <c r="O36" s="2875"/>
      <c r="P36" s="2875"/>
      <c r="Q36" s="2875"/>
      <c r="R36" s="2858" t="s">
        <v>2335</v>
      </c>
      <c r="S36" s="2922"/>
      <c r="T36" s="2841" t="s">
        <v>2336</v>
      </c>
      <c r="U36" s="2841"/>
      <c r="V36" s="2849"/>
    </row>
    <row r="37" spans="1:23" s="2853" customFormat="1" ht="13.35" customHeight="1">
      <c r="A37" s="2931"/>
      <c r="B37" s="2932"/>
      <c r="C37" s="2932"/>
      <c r="D37" s="2932"/>
      <c r="E37" s="2932"/>
      <c r="F37" s="2936"/>
      <c r="G37" s="2930"/>
      <c r="H37" s="2848"/>
      <c r="I37" s="2849"/>
      <c r="J37" s="3674"/>
      <c r="K37" s="3676"/>
      <c r="L37" s="2883"/>
      <c r="M37" s="2884"/>
      <c r="N37" s="2860"/>
      <c r="O37" s="2885"/>
      <c r="P37" s="2885"/>
      <c r="Q37" s="2886"/>
      <c r="R37" s="2887"/>
      <c r="S37" s="2922"/>
      <c r="T37" s="2841" t="s">
        <v>2339</v>
      </c>
      <c r="U37" s="2841"/>
      <c r="V37" s="2849"/>
    </row>
    <row r="38" spans="1:23" s="2853" customFormat="1" ht="13.35" customHeight="1">
      <c r="A38" s="2931">
        <v>8</v>
      </c>
      <c r="B38" s="2932"/>
      <c r="C38" s="2889" t="e">
        <f>ROUND(C32*(1-((1+C35)/(1+C34))^C36)/(C34-C35),0)</f>
        <v>#DIV/0!</v>
      </c>
      <c r="D38" s="2889">
        <f>IF(D23=0,0,ROUND(D32*(1-((1+D35)/(1+D34))^D36)/(D34-D35),0))</f>
        <v>0</v>
      </c>
      <c r="E38" s="2889">
        <f>IF(E23=0,0,ROUND(E32*(1-((1+E35)/(1+E34))^E36)/(E34-E35),0))</f>
        <v>0</v>
      </c>
      <c r="F38" s="2936"/>
      <c r="G38" s="2930"/>
      <c r="H38" s="2848"/>
      <c r="I38" s="2849"/>
      <c r="J38" s="3674"/>
      <c r="K38" s="3676"/>
      <c r="L38" s="2883"/>
      <c r="M38" s="2884"/>
      <c r="N38" s="2860"/>
      <c r="O38" s="2885"/>
      <c r="P38" s="2885"/>
      <c r="Q38" s="2886"/>
      <c r="R38" s="2887"/>
      <c r="S38" s="2922"/>
      <c r="T38" s="2841" t="s">
        <v>2346</v>
      </c>
      <c r="U38" s="2841"/>
      <c r="V38" s="2849"/>
    </row>
    <row r="39" spans="1:23" s="2853" customFormat="1" ht="13.35" customHeight="1">
      <c r="A39" s="2931">
        <v>9</v>
      </c>
      <c r="B39" s="2932" t="s">
        <v>2424</v>
      </c>
      <c r="C39" s="2897" t="e">
        <f>C38</f>
        <v>#DIV/0!</v>
      </c>
      <c r="D39" s="2932">
        <f>D38/(1+D34)^C36</f>
        <v>0</v>
      </c>
      <c r="E39" s="2932">
        <f>E38/(1+E34)^(C36+D36)</f>
        <v>0</v>
      </c>
      <c r="F39" s="2936"/>
      <c r="G39" s="2991"/>
      <c r="H39" s="2848"/>
      <c r="I39" s="2849"/>
      <c r="J39" s="3674"/>
      <c r="K39" s="3676"/>
      <c r="L39" s="2883"/>
      <c r="M39" s="2884"/>
      <c r="N39" s="2860"/>
      <c r="O39" s="2885"/>
      <c r="P39" s="2885"/>
      <c r="Q39" s="2886"/>
      <c r="R39" s="2887"/>
      <c r="S39" s="2922"/>
      <c r="T39" s="2841"/>
      <c r="U39" s="2841"/>
      <c r="V39" s="2849"/>
    </row>
    <row r="40" spans="1:23" s="2853" customFormat="1" ht="13.35" customHeight="1">
      <c r="A40" s="2992">
        <v>10</v>
      </c>
      <c r="B40" s="2932" t="s">
        <v>2425</v>
      </c>
      <c r="C40" s="2993" t="e">
        <f>C39+D39+E39</f>
        <v>#DIV/0!</v>
      </c>
      <c r="D40" s="2994"/>
      <c r="E40" s="2994"/>
      <c r="F40" s="2995"/>
      <c r="G40" s="2930"/>
      <c r="H40" s="2848"/>
      <c r="I40" s="2849"/>
      <c r="J40" s="3674"/>
      <c r="K40" s="3677"/>
      <c r="L40" s="2903" t="s">
        <v>2364</v>
      </c>
      <c r="M40" s="2904"/>
      <c r="N40" s="2904"/>
      <c r="O40" s="2905"/>
      <c r="P40" s="2905"/>
      <c r="Q40" s="2906"/>
      <c r="R40" s="2852">
        <f>SUM(R37:R39)</f>
        <v>0</v>
      </c>
      <c r="S40" s="2922"/>
      <c r="T40" s="2841"/>
      <c r="U40" s="2841"/>
      <c r="V40" s="2849"/>
    </row>
    <row r="41" spans="1:23" s="2853" customFormat="1" ht="13.35" customHeight="1" thickBot="1">
      <c r="A41" s="2996">
        <v>11</v>
      </c>
      <c r="B41" s="2997" t="s">
        <v>2426</v>
      </c>
      <c r="C41" s="2997" t="e">
        <f>ROUND(C40*10000/B4,0)</f>
        <v>#DIV/0!</v>
      </c>
      <c r="D41" s="2998"/>
      <c r="E41" s="2998"/>
      <c r="F41" s="2999"/>
      <c r="G41" s="3000"/>
      <c r="H41" s="2848"/>
      <c r="I41" s="2849"/>
      <c r="J41" s="2944">
        <v>2</v>
      </c>
      <c r="K41" s="2945" t="s">
        <v>2404</v>
      </c>
      <c r="L41" s="2946"/>
      <c r="M41" s="2946"/>
      <c r="N41" s="2946"/>
      <c r="O41" s="2946"/>
      <c r="P41" s="2947"/>
      <c r="Q41" s="2948"/>
      <c r="R41" s="2919">
        <f>ROUND(R40*Q41,0)</f>
        <v>0</v>
      </c>
      <c r="S41" s="2922"/>
      <c r="T41" s="2841"/>
      <c r="U41" s="2956"/>
      <c r="V41" s="2849"/>
    </row>
    <row r="42" spans="1:23" s="2853" customFormat="1" ht="13.35" customHeight="1">
      <c r="G42" s="3000"/>
      <c r="H42" s="2848"/>
      <c r="I42" s="2849"/>
      <c r="J42" s="3684">
        <v>3</v>
      </c>
      <c r="K42" s="2951" t="s">
        <v>2406</v>
      </c>
      <c r="L42" s="2952"/>
      <c r="M42" s="2953"/>
      <c r="N42" s="2954" t="s">
        <v>2407</v>
      </c>
      <c r="O42" s="2954" t="s">
        <v>2408</v>
      </c>
      <c r="P42" s="2955" t="s">
        <v>2409</v>
      </c>
      <c r="Q42" s="2955" t="s">
        <v>2410</v>
      </c>
      <c r="R42" s="2858" t="s">
        <v>2335</v>
      </c>
      <c r="S42" s="2956"/>
      <c r="T42" s="2956"/>
      <c r="U42" s="2841"/>
      <c r="V42" s="2849"/>
    </row>
    <row r="43" spans="1:23" ht="13.35" customHeight="1">
      <c r="A43" s="2853"/>
      <c r="B43" s="2853"/>
      <c r="C43" s="2853"/>
      <c r="D43" s="2853"/>
      <c r="E43" s="2853"/>
      <c r="F43" s="2853"/>
      <c r="I43" s="2836"/>
      <c r="J43" s="3685"/>
      <c r="K43" s="2959"/>
      <c r="L43" s="2960"/>
      <c r="M43" s="2961"/>
      <c r="N43" s="2884"/>
      <c r="O43" s="2884"/>
      <c r="P43" s="2884"/>
      <c r="Q43" s="2948"/>
      <c r="R43" s="2919">
        <f>ROUND(O43*N43*P43*(1-Q43)/10000,0)</f>
        <v>0</v>
      </c>
      <c r="S43" s="2922"/>
      <c r="T43" s="2841"/>
      <c r="V43" s="3002"/>
      <c r="W43" s="3003"/>
    </row>
    <row r="44" spans="1:23" ht="13.35" customHeight="1" thickBot="1">
      <c r="J44" s="2964">
        <v>6</v>
      </c>
      <c r="K44" s="2965" t="s">
        <v>2413</v>
      </c>
      <c r="L44" s="3004" t="s">
        <v>2414</v>
      </c>
      <c r="M44" s="2967"/>
      <c r="N44" s="3004" t="s">
        <v>2415</v>
      </c>
      <c r="O44" s="2967"/>
      <c r="P44" s="3004" t="s">
        <v>2416</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8032</v>
      </c>
      <c r="C2" s="1872" t="s">
        <v>1651</v>
      </c>
      <c r="D2" s="1873" t="s">
        <v>1652</v>
      </c>
      <c r="E2" s="2607">
        <f>SUM(E6:E13)</f>
        <v>25739.82</v>
      </c>
      <c r="F2" s="2707"/>
      <c r="G2" s="1489"/>
      <c r="H2" s="1489"/>
      <c r="I2" s="1489"/>
      <c r="J2" s="1489"/>
      <c r="K2" s="1489"/>
      <c r="L2" s="1489"/>
      <c r="M2" s="1489"/>
      <c r="N2" s="1489"/>
      <c r="O2" s="1489"/>
      <c r="P2" s="1489"/>
      <c r="Q2" s="1489"/>
      <c r="R2" s="1489"/>
      <c r="S2" s="1489"/>
    </row>
    <row r="3" spans="1:22" ht="15.75">
      <c r="A3" s="1870" t="s">
        <v>686</v>
      </c>
      <c r="B3" s="2601">
        <f ca="1">ROUND(B2*10000/E2,0)</f>
        <v>3120</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86" t="s">
        <v>1654</v>
      </c>
      <c r="C5" s="3687"/>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8032</v>
      </c>
      <c r="C6" s="1872" t="s">
        <v>1651</v>
      </c>
      <c r="D6" s="2709"/>
      <c r="E6" s="2606">
        <f>IF(OR(A6=0,F6="否"),0,'数据-取费表'!K6+'数据-取费表'!S6)</f>
        <v>25739.82</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70" zoomScaleNormal="60" zoomScaleSheetLayoutView="70" workbookViewId="0">
      <selection activeCell="D1" sqref="D1:F1"/>
    </sheetView>
  </sheetViews>
  <sheetFormatPr defaultColWidth="9" defaultRowHeight="14.25"/>
  <cols>
    <col min="1" max="1" width="10.5" style="357" customWidth="1"/>
    <col min="2" max="3" width="15.625" style="357" customWidth="1"/>
    <col min="4" max="4" width="12.125" style="357" customWidth="1"/>
    <col min="5" max="5" width="17.125" style="357" customWidth="1"/>
    <col min="6" max="6" width="12.125" style="357" customWidth="1"/>
    <col min="7" max="7" width="16.5" style="357" customWidth="1"/>
    <col min="8" max="8" width="12.125" style="357" customWidth="1"/>
    <col min="9" max="9" width="15.625" style="357" customWidth="1"/>
    <col min="10" max="10" width="12.125" style="357" customWidth="1"/>
    <col min="11" max="11" width="12.125" style="444" customWidth="1"/>
    <col min="12" max="12" width="12.125" style="445" customWidth="1"/>
    <col min="13" max="15" width="12.125" style="357" customWidth="1"/>
    <col min="16" max="16" width="4.625" style="1916"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8"/>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9"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25739.82</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06" t="s">
        <v>1667</v>
      </c>
      <c r="D4" s="3707"/>
      <c r="E4" s="3708" t="s">
        <v>1668</v>
      </c>
      <c r="F4" s="3709"/>
      <c r="G4" s="3706" t="s">
        <v>1669</v>
      </c>
      <c r="H4" s="3707"/>
      <c r="I4" s="3706" t="s">
        <v>1670</v>
      </c>
      <c r="J4" s="3707"/>
      <c r="K4" s="1889" t="s">
        <v>1671</v>
      </c>
      <c r="L4" s="2715"/>
      <c r="M4" s="2716"/>
      <c r="N4" s="2716"/>
      <c r="O4" s="2716"/>
      <c r="P4" s="3710" t="s">
        <v>1672</v>
      </c>
      <c r="Q4" s="3711"/>
      <c r="R4" s="3693" t="s">
        <v>1668</v>
      </c>
      <c r="S4" s="3694"/>
      <c r="T4" s="3693" t="s">
        <v>1669</v>
      </c>
      <c r="U4" s="3694"/>
      <c r="V4" s="3718" t="s">
        <v>1670</v>
      </c>
      <c r="W4" s="3718"/>
      <c r="X4" s="1355"/>
      <c r="Y4" s="3693" t="s">
        <v>1672</v>
      </c>
      <c r="Z4" s="3694"/>
      <c r="AA4" s="3688" t="s">
        <v>1668</v>
      </c>
      <c r="AB4" s="3688" t="s">
        <v>1669</v>
      </c>
      <c r="AC4" s="3688" t="s">
        <v>1670</v>
      </c>
    </row>
    <row r="5" spans="1:29" ht="15">
      <c r="A5" s="358"/>
      <c r="B5" s="359"/>
      <c r="C5" s="3699" t="s">
        <v>1673</v>
      </c>
      <c r="D5" s="3700"/>
      <c r="E5" s="3697" t="s">
        <v>1674</v>
      </c>
      <c r="F5" s="3698"/>
      <c r="G5" s="3699" t="s">
        <v>1675</v>
      </c>
      <c r="H5" s="3700"/>
      <c r="I5" s="3699" t="s">
        <v>1676</v>
      </c>
      <c r="J5" s="3700"/>
      <c r="K5" s="1890"/>
      <c r="L5" s="2715"/>
      <c r="M5" s="2716"/>
      <c r="N5" s="2716"/>
      <c r="O5" s="2716"/>
      <c r="P5" s="3712"/>
      <c r="Q5" s="3713"/>
      <c r="R5" s="3695"/>
      <c r="S5" s="3696"/>
      <c r="T5" s="3695"/>
      <c r="U5" s="3696"/>
      <c r="V5" s="3718"/>
      <c r="W5" s="3718"/>
      <c r="X5" s="1355"/>
      <c r="Y5" s="3695"/>
      <c r="Z5" s="3696"/>
      <c r="AA5" s="3689"/>
      <c r="AB5" s="3689"/>
      <c r="AC5" s="3689"/>
    </row>
    <row r="6" spans="1:29" ht="15.75" thickBot="1">
      <c r="A6" s="360"/>
      <c r="B6" s="361"/>
      <c r="C6" s="3701" t="s">
        <v>1677</v>
      </c>
      <c r="D6" s="3702"/>
      <c r="E6" s="3703" t="s">
        <v>1677</v>
      </c>
      <c r="F6" s="3704"/>
      <c r="G6" s="3701" t="s">
        <v>1677</v>
      </c>
      <c r="H6" s="3702"/>
      <c r="I6" s="3701" t="s">
        <v>1677</v>
      </c>
      <c r="J6" s="3702"/>
      <c r="K6" s="1890" t="s">
        <v>1678</v>
      </c>
      <c r="L6" s="2715"/>
      <c r="M6" s="2716"/>
      <c r="N6" s="2716"/>
      <c r="O6" s="2716"/>
      <c r="P6" s="3714"/>
      <c r="Q6" s="3715"/>
      <c r="R6" s="3695"/>
      <c r="S6" s="3696"/>
      <c r="T6" s="3716"/>
      <c r="U6" s="3717"/>
      <c r="V6" s="3718"/>
      <c r="W6" s="3718"/>
      <c r="X6" s="1355"/>
      <c r="Y6" s="3716"/>
      <c r="Z6" s="3717"/>
      <c r="AA6" s="3690"/>
      <c r="AB6" s="3690"/>
      <c r="AC6" s="3690"/>
    </row>
    <row r="7" spans="1:29" s="108" customFormat="1" ht="15.75" thickBot="1">
      <c r="A7" s="362" t="s">
        <v>1679</v>
      </c>
      <c r="B7" s="363"/>
      <c r="C7" s="364">
        <f>'数据-取费表'!B2</f>
        <v>44916</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91" t="s">
        <v>1680</v>
      </c>
      <c r="Q7" s="3719"/>
      <c r="R7" s="701" t="s">
        <v>20</v>
      </c>
      <c r="S7" s="702">
        <f t="shared" ref="S7:S15" si="0">F7</f>
        <v>0</v>
      </c>
      <c r="T7" s="701" t="s">
        <v>20</v>
      </c>
      <c r="U7" s="702">
        <f t="shared" ref="U7:U15" si="1">H7</f>
        <v>0</v>
      </c>
      <c r="V7" s="701" t="s">
        <v>20</v>
      </c>
      <c r="W7" s="702">
        <f t="shared" ref="W7:W15" si="2">J7</f>
        <v>0</v>
      </c>
      <c r="X7" s="703"/>
      <c r="Y7" s="3691" t="s">
        <v>1680</v>
      </c>
      <c r="Z7" s="3692"/>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91" t="s">
        <v>1683</v>
      </c>
      <c r="Q8" s="3692"/>
      <c r="R8" s="701" t="s">
        <v>20</v>
      </c>
      <c r="S8" s="702">
        <f t="shared" si="0"/>
        <v>100</v>
      </c>
      <c r="T8" s="701" t="s">
        <v>20</v>
      </c>
      <c r="U8" s="702">
        <f t="shared" si="1"/>
        <v>100</v>
      </c>
      <c r="V8" s="701" t="s">
        <v>20</v>
      </c>
      <c r="W8" s="702">
        <f t="shared" si="2"/>
        <v>100</v>
      </c>
      <c r="X8" s="703"/>
      <c r="Y8" s="3691" t="s">
        <v>1683</v>
      </c>
      <c r="Z8" s="3692"/>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5"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704">
        <f t="shared" si="5"/>
        <v>1</v>
      </c>
    </row>
    <row r="10" spans="1:29" s="378" customFormat="1" ht="27">
      <c r="A10" s="374"/>
      <c r="B10" s="375" t="s">
        <v>1688</v>
      </c>
      <c r="C10" s="3437"/>
      <c r="D10" s="127">
        <v>100</v>
      </c>
      <c r="E10" s="3438"/>
      <c r="F10" s="376">
        <f>SUMIF(65:65,E10,66:66)-SUMIF(65:65,C10,66:66)+100</f>
        <v>100</v>
      </c>
      <c r="G10" s="3437"/>
      <c r="H10" s="127">
        <f>SUMIF(65:65,G10,66:66)-SUMIF(65:65,C10,66:66)+100</f>
        <v>100</v>
      </c>
      <c r="I10" s="3437"/>
      <c r="J10" s="127">
        <f>SUMIF(65:65,I10,66:66)-SUMIF(65:65,C10,66:66)+100</f>
        <v>100</v>
      </c>
      <c r="K10" s="1891"/>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5"/>
      <c r="Q11" s="1343" t="str">
        <f t="shared" si="6"/>
        <v>容积率</v>
      </c>
      <c r="R11" s="701" t="s">
        <v>18</v>
      </c>
      <c r="S11" s="702" t="e">
        <f t="shared" si="0"/>
        <v>#N/A</v>
      </c>
      <c r="T11" s="701" t="s">
        <v>18</v>
      </c>
      <c r="U11" s="702" t="e">
        <f t="shared" si="1"/>
        <v>#N/A</v>
      </c>
      <c r="V11" s="701" t="s">
        <v>18</v>
      </c>
      <c r="W11" s="702" t="e">
        <f t="shared" si="2"/>
        <v>#N/A</v>
      </c>
      <c r="X11" s="703"/>
      <c r="Y11" s="3616"/>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5"/>
      <c r="Q12" s="1343">
        <f t="shared" si="6"/>
        <v>111</v>
      </c>
      <c r="R12" s="701" t="s">
        <v>18</v>
      </c>
      <c r="S12" s="702">
        <f t="shared" si="0"/>
        <v>100</v>
      </c>
      <c r="T12" s="701" t="s">
        <v>18</v>
      </c>
      <c r="U12" s="702">
        <f t="shared" si="1"/>
        <v>100</v>
      </c>
      <c r="V12" s="701" t="s">
        <v>18</v>
      </c>
      <c r="W12" s="702">
        <f t="shared" si="2"/>
        <v>100</v>
      </c>
      <c r="X12" s="703"/>
      <c r="Y12" s="3616"/>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5"/>
      <c r="Q13" s="1343">
        <f t="shared" si="6"/>
        <v>111</v>
      </c>
      <c r="R13" s="701" t="s">
        <v>18</v>
      </c>
      <c r="S13" s="702">
        <f t="shared" si="0"/>
        <v>100</v>
      </c>
      <c r="T13" s="701" t="s">
        <v>18</v>
      </c>
      <c r="U13" s="702">
        <f t="shared" si="1"/>
        <v>100</v>
      </c>
      <c r="V13" s="701" t="s">
        <v>18</v>
      </c>
      <c r="W13" s="702">
        <f t="shared" si="2"/>
        <v>100</v>
      </c>
      <c r="X13" s="703"/>
      <c r="Y13" s="3616"/>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5"/>
      <c r="Q14" s="1343">
        <f t="shared" si="6"/>
        <v>111</v>
      </c>
      <c r="R14" s="701" t="s">
        <v>18</v>
      </c>
      <c r="S14" s="702">
        <f t="shared" si="0"/>
        <v>100</v>
      </c>
      <c r="T14" s="701" t="s">
        <v>18</v>
      </c>
      <c r="U14" s="702">
        <f t="shared" si="1"/>
        <v>100</v>
      </c>
      <c r="V14" s="701" t="s">
        <v>18</v>
      </c>
      <c r="W14" s="702">
        <f t="shared" si="2"/>
        <v>100</v>
      </c>
      <c r="X14" s="703"/>
      <c r="Y14" s="3616"/>
      <c r="Z14" s="52">
        <f t="shared" si="7"/>
        <v>111</v>
      </c>
      <c r="AA14" s="704">
        <f t="shared" si="3"/>
        <v>1</v>
      </c>
      <c r="AB14" s="704">
        <f t="shared" si="4"/>
        <v>1</v>
      </c>
      <c r="AC14" s="704">
        <f t="shared" si="5"/>
        <v>1</v>
      </c>
    </row>
    <row r="15" spans="1:29" ht="15">
      <c r="A15" s="391" t="s">
        <v>1690</v>
      </c>
      <c r="B15" s="61" t="s">
        <v>1257</v>
      </c>
      <c r="C15" s="1896">
        <f>估价对象房地状况!C3</f>
        <v>0</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32" t="s">
        <v>1691</v>
      </c>
      <c r="Q15" s="1352" t="str">
        <f t="shared" si="6"/>
        <v>居住社区成熟度</v>
      </c>
      <c r="R15" s="705" t="s">
        <v>18</v>
      </c>
      <c r="S15" s="706">
        <f t="shared" si="0"/>
        <v>100</v>
      </c>
      <c r="T15" s="705" t="s">
        <v>18</v>
      </c>
      <c r="U15" s="706">
        <f t="shared" si="1"/>
        <v>100</v>
      </c>
      <c r="V15" s="705" t="s">
        <v>18</v>
      </c>
      <c r="W15" s="706">
        <f t="shared" si="2"/>
        <v>100</v>
      </c>
      <c r="X15" s="1355"/>
      <c r="Y15" s="3725"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33"/>
      <c r="Q16" s="1352"/>
      <c r="R16" s="705"/>
      <c r="S16" s="706"/>
      <c r="T16" s="705"/>
      <c r="U16" s="706"/>
      <c r="V16" s="705"/>
      <c r="W16" s="706"/>
      <c r="X16" s="1355"/>
      <c r="Y16" s="3726"/>
      <c r="Z16" s="1356"/>
      <c r="AA16" s="1353">
        <v>1</v>
      </c>
      <c r="AB16" s="1353">
        <v>1</v>
      </c>
      <c r="AC16" s="1353">
        <v>1</v>
      </c>
    </row>
    <row r="17" spans="1:29" ht="15">
      <c r="A17" s="379"/>
      <c r="B17" s="402" t="s">
        <v>1259</v>
      </c>
      <c r="C17" s="1900">
        <f>估价对象房地状况!C6</f>
        <v>0</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33"/>
      <c r="Q17" s="1352" t="str">
        <f>B17</f>
        <v>交通便捷度</v>
      </c>
      <c r="R17" s="705" t="s">
        <v>18</v>
      </c>
      <c r="S17" s="706">
        <f>F17</f>
        <v>100</v>
      </c>
      <c r="T17" s="705" t="s">
        <v>18</v>
      </c>
      <c r="U17" s="706">
        <f>H17</f>
        <v>100</v>
      </c>
      <c r="V17" s="705" t="s">
        <v>18</v>
      </c>
      <c r="W17" s="706">
        <f>J17</f>
        <v>100</v>
      </c>
      <c r="X17" s="1355"/>
      <c r="Y17" s="3726"/>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33"/>
      <c r="Q18" s="1352"/>
      <c r="R18" s="705"/>
      <c r="S18" s="706"/>
      <c r="T18" s="705"/>
      <c r="U18" s="706"/>
      <c r="V18" s="705"/>
      <c r="W18" s="706"/>
      <c r="X18" s="1355"/>
      <c r="Y18" s="3726"/>
      <c r="Z18" s="1356"/>
      <c r="AA18" s="1353">
        <v>1</v>
      </c>
      <c r="AB18" s="1353">
        <v>1</v>
      </c>
      <c r="AC18" s="1353">
        <v>1</v>
      </c>
    </row>
    <row r="19" spans="1:29" ht="15">
      <c r="A19" s="379"/>
      <c r="B19" s="402" t="s">
        <v>1258</v>
      </c>
      <c r="C19" s="1900">
        <f>估价对象房地状况!C7</f>
        <v>0</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33"/>
      <c r="Q19" s="1352" t="str">
        <f>B19</f>
        <v>公共配套设施</v>
      </c>
      <c r="R19" s="705" t="s">
        <v>18</v>
      </c>
      <c r="S19" s="706">
        <f>F19</f>
        <v>100</v>
      </c>
      <c r="T19" s="705" t="s">
        <v>18</v>
      </c>
      <c r="U19" s="706">
        <f>H19</f>
        <v>100</v>
      </c>
      <c r="V19" s="705" t="s">
        <v>18</v>
      </c>
      <c r="W19" s="706">
        <f>J19</f>
        <v>100</v>
      </c>
      <c r="X19" s="1355"/>
      <c r="Y19" s="3726"/>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33"/>
      <c r="Q20" s="1352"/>
      <c r="R20" s="705"/>
      <c r="S20" s="706"/>
      <c r="T20" s="705"/>
      <c r="U20" s="706"/>
      <c r="V20" s="705"/>
      <c r="W20" s="706"/>
      <c r="X20" s="1355"/>
      <c r="Y20" s="3726"/>
      <c r="Z20" s="1356"/>
      <c r="AA20" s="1353">
        <v>1</v>
      </c>
      <c r="AB20" s="1353">
        <v>1</v>
      </c>
      <c r="AC20" s="1353">
        <v>1</v>
      </c>
    </row>
    <row r="21" spans="1:29" ht="15">
      <c r="A21" s="379"/>
      <c r="B21" s="1131" t="s">
        <v>1260</v>
      </c>
      <c r="C21" s="1900">
        <f>估价对象房地状况!C8</f>
        <v>0</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33"/>
      <c r="Q21" s="1352" t="str">
        <f>B21</f>
        <v>基础设施水平</v>
      </c>
      <c r="R21" s="705" t="s">
        <v>14</v>
      </c>
      <c r="S21" s="706">
        <f>F21</f>
        <v>100</v>
      </c>
      <c r="T21" s="705" t="s">
        <v>14</v>
      </c>
      <c r="U21" s="706">
        <f>H21</f>
        <v>100</v>
      </c>
      <c r="V21" s="705" t="s">
        <v>14</v>
      </c>
      <c r="W21" s="706">
        <f>J21</f>
        <v>100</v>
      </c>
      <c r="X21" s="1355"/>
      <c r="Y21" s="3726"/>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33"/>
      <c r="Q22" s="1352"/>
      <c r="R22" s="705"/>
      <c r="S22" s="706"/>
      <c r="T22" s="705"/>
      <c r="U22" s="706"/>
      <c r="V22" s="705"/>
      <c r="W22" s="706"/>
      <c r="X22" s="1355"/>
      <c r="Y22" s="3726"/>
      <c r="Z22" s="1356"/>
      <c r="AA22" s="1353">
        <v>1</v>
      </c>
      <c r="AB22" s="1353">
        <v>1</v>
      </c>
      <c r="AC22" s="1353">
        <v>1</v>
      </c>
    </row>
    <row r="23" spans="1:29" ht="15">
      <c r="A23" s="379"/>
      <c r="B23" s="402" t="s">
        <v>1261</v>
      </c>
      <c r="C23" s="1900">
        <f>估价对象房地状况!C9</f>
        <v>0</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33"/>
      <c r="Q23" s="1352" t="str">
        <f>B23</f>
        <v>自然及人文环境</v>
      </c>
      <c r="R23" s="705" t="s">
        <v>18</v>
      </c>
      <c r="S23" s="706">
        <f>F23</f>
        <v>100</v>
      </c>
      <c r="T23" s="705" t="s">
        <v>18</v>
      </c>
      <c r="U23" s="706">
        <f>H23</f>
        <v>100</v>
      </c>
      <c r="V23" s="705" t="s">
        <v>18</v>
      </c>
      <c r="W23" s="706">
        <f>J23</f>
        <v>100</v>
      </c>
      <c r="X23" s="1355"/>
      <c r="Y23" s="3726"/>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33"/>
      <c r="Q24" s="1352"/>
      <c r="R24" s="705"/>
      <c r="S24" s="706"/>
      <c r="T24" s="705"/>
      <c r="U24" s="706"/>
      <c r="V24" s="705"/>
      <c r="W24" s="706"/>
      <c r="X24" s="1355"/>
      <c r="Y24" s="3726"/>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33"/>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26"/>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33"/>
      <c r="Q26" s="1352" t="str">
        <f t="shared" si="11"/>
        <v>朝向</v>
      </c>
      <c r="R26" s="705" t="s">
        <v>18</v>
      </c>
      <c r="S26" s="706">
        <f t="shared" si="12"/>
        <v>100</v>
      </c>
      <c r="T26" s="705" t="s">
        <v>18</v>
      </c>
      <c r="U26" s="706">
        <f t="shared" si="13"/>
        <v>100</v>
      </c>
      <c r="V26" s="705" t="s">
        <v>18</v>
      </c>
      <c r="W26" s="706">
        <f t="shared" si="14"/>
        <v>100</v>
      </c>
      <c r="X26" s="1355"/>
      <c r="Y26" s="3726"/>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33"/>
      <c r="Q27" s="1343">
        <f t="shared" si="11"/>
        <v>111</v>
      </c>
      <c r="R27" s="701" t="s">
        <v>18</v>
      </c>
      <c r="S27" s="702">
        <f t="shared" si="12"/>
        <v>100</v>
      </c>
      <c r="T27" s="701" t="s">
        <v>18</v>
      </c>
      <c r="U27" s="702">
        <f t="shared" si="13"/>
        <v>100</v>
      </c>
      <c r="V27" s="701" t="s">
        <v>18</v>
      </c>
      <c r="W27" s="702">
        <f t="shared" si="14"/>
        <v>100</v>
      </c>
      <c r="X27" s="703"/>
      <c r="Y27" s="3726"/>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33"/>
      <c r="Q28" s="1352">
        <f t="shared" si="11"/>
        <v>111</v>
      </c>
      <c r="R28" s="705" t="s">
        <v>18</v>
      </c>
      <c r="S28" s="706">
        <f t="shared" si="12"/>
        <v>100</v>
      </c>
      <c r="T28" s="705" t="s">
        <v>18</v>
      </c>
      <c r="U28" s="706">
        <f t="shared" si="13"/>
        <v>100</v>
      </c>
      <c r="V28" s="705" t="s">
        <v>18</v>
      </c>
      <c r="W28" s="706">
        <f t="shared" si="14"/>
        <v>100</v>
      </c>
      <c r="X28" s="1355"/>
      <c r="Y28" s="3726"/>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33"/>
      <c r="Q29" s="1352">
        <f t="shared" si="11"/>
        <v>111</v>
      </c>
      <c r="R29" s="705" t="s">
        <v>18</v>
      </c>
      <c r="S29" s="706">
        <f t="shared" si="12"/>
        <v>100</v>
      </c>
      <c r="T29" s="705" t="s">
        <v>18</v>
      </c>
      <c r="U29" s="706">
        <f t="shared" si="13"/>
        <v>100</v>
      </c>
      <c r="V29" s="705" t="s">
        <v>18</v>
      </c>
      <c r="W29" s="706">
        <f t="shared" si="14"/>
        <v>100</v>
      </c>
      <c r="X29" s="1355"/>
      <c r="Y29" s="3726"/>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33"/>
      <c r="Q30" s="1352">
        <f t="shared" si="11"/>
        <v>111</v>
      </c>
      <c r="R30" s="705" t="s">
        <v>18</v>
      </c>
      <c r="S30" s="706">
        <f t="shared" si="12"/>
        <v>100</v>
      </c>
      <c r="T30" s="705" t="s">
        <v>18</v>
      </c>
      <c r="U30" s="706">
        <f t="shared" si="13"/>
        <v>100</v>
      </c>
      <c r="V30" s="705" t="s">
        <v>18</v>
      </c>
      <c r="W30" s="706">
        <f t="shared" si="14"/>
        <v>100</v>
      </c>
      <c r="X30" s="1355"/>
      <c r="Y30" s="3726"/>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33"/>
      <c r="Q31" s="1352">
        <f t="shared" si="11"/>
        <v>111</v>
      </c>
      <c r="R31" s="705" t="s">
        <v>18</v>
      </c>
      <c r="S31" s="706">
        <f t="shared" si="12"/>
        <v>100</v>
      </c>
      <c r="T31" s="705" t="s">
        <v>18</v>
      </c>
      <c r="U31" s="706">
        <f t="shared" si="13"/>
        <v>100</v>
      </c>
      <c r="V31" s="705" t="s">
        <v>18</v>
      </c>
      <c r="W31" s="706">
        <f t="shared" si="14"/>
        <v>100</v>
      </c>
      <c r="X31" s="1355"/>
      <c r="Y31" s="3726"/>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27" t="s">
        <v>1696</v>
      </c>
      <c r="Q32" s="1352" t="str">
        <f t="shared" si="11"/>
        <v>建筑类型</v>
      </c>
      <c r="R32" s="705" t="s">
        <v>18</v>
      </c>
      <c r="S32" s="706">
        <f t="shared" si="12"/>
        <v>100</v>
      </c>
      <c r="T32" s="705" t="s">
        <v>18</v>
      </c>
      <c r="U32" s="706">
        <f t="shared" si="13"/>
        <v>100</v>
      </c>
      <c r="V32" s="705" t="s">
        <v>18</v>
      </c>
      <c r="W32" s="706">
        <f t="shared" si="14"/>
        <v>100</v>
      </c>
      <c r="X32" s="1355"/>
      <c r="Y32" s="3730"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28"/>
      <c r="Q33" s="707" t="str">
        <f t="shared" si="11"/>
        <v>项目建筑规模</v>
      </c>
      <c r="R33" s="708" t="s">
        <v>18</v>
      </c>
      <c r="S33" s="709" t="e">
        <f t="shared" si="12"/>
        <v>#N/A</v>
      </c>
      <c r="T33" s="708" t="s">
        <v>18</v>
      </c>
      <c r="U33" s="709" t="e">
        <f t="shared" si="13"/>
        <v>#N/A</v>
      </c>
      <c r="V33" s="708" t="s">
        <v>18</v>
      </c>
      <c r="W33" s="709" t="e">
        <f t="shared" si="14"/>
        <v>#N/A</v>
      </c>
      <c r="X33" s="710"/>
      <c r="Y33" s="3730"/>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28"/>
      <c r="Q34" s="1352" t="str">
        <f t="shared" si="11"/>
        <v>建筑结构</v>
      </c>
      <c r="R34" s="705" t="s">
        <v>18</v>
      </c>
      <c r="S34" s="706">
        <f t="shared" si="12"/>
        <v>100</v>
      </c>
      <c r="T34" s="705" t="s">
        <v>18</v>
      </c>
      <c r="U34" s="706">
        <f t="shared" si="13"/>
        <v>100</v>
      </c>
      <c r="V34" s="705" t="s">
        <v>18</v>
      </c>
      <c r="W34" s="706">
        <f t="shared" si="14"/>
        <v>100</v>
      </c>
      <c r="X34" s="1355"/>
      <c r="Y34" s="3730"/>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28"/>
      <c r="Q35" s="1352" t="str">
        <f t="shared" si="11"/>
        <v>建筑品质</v>
      </c>
      <c r="R35" s="705" t="s">
        <v>18</v>
      </c>
      <c r="S35" s="706">
        <f t="shared" si="12"/>
        <v>100</v>
      </c>
      <c r="T35" s="705" t="s">
        <v>18</v>
      </c>
      <c r="U35" s="706">
        <f t="shared" si="13"/>
        <v>100</v>
      </c>
      <c r="V35" s="705" t="s">
        <v>18</v>
      </c>
      <c r="W35" s="706">
        <f t="shared" si="14"/>
        <v>100</v>
      </c>
      <c r="X35" s="1355"/>
      <c r="Y35" s="3730"/>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28"/>
      <c r="Q36" s="1352" t="str">
        <f t="shared" si="11"/>
        <v>公共部分装修</v>
      </c>
      <c r="R36" s="705" t="s">
        <v>18</v>
      </c>
      <c r="S36" s="706">
        <f t="shared" si="12"/>
        <v>100</v>
      </c>
      <c r="T36" s="705" t="s">
        <v>18</v>
      </c>
      <c r="U36" s="706">
        <f t="shared" si="13"/>
        <v>100</v>
      </c>
      <c r="V36" s="705" t="s">
        <v>18</v>
      </c>
      <c r="W36" s="706">
        <f t="shared" si="14"/>
        <v>100</v>
      </c>
      <c r="X36" s="1355"/>
      <c r="Y36" s="3730"/>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28"/>
      <c r="Q37" s="1343" t="str">
        <f t="shared" si="11"/>
        <v>成新度</v>
      </c>
      <c r="R37" s="701" t="s">
        <v>18</v>
      </c>
      <c r="S37" s="702" t="e">
        <f t="shared" si="12"/>
        <v>#N/A</v>
      </c>
      <c r="T37" s="701" t="s">
        <v>18</v>
      </c>
      <c r="U37" s="702" t="e">
        <f t="shared" si="13"/>
        <v>#N/A</v>
      </c>
      <c r="V37" s="701" t="s">
        <v>18</v>
      </c>
      <c r="W37" s="702" t="e">
        <f t="shared" si="14"/>
        <v>#N/A</v>
      </c>
      <c r="X37" s="703"/>
      <c r="Y37" s="3730"/>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28" t="s">
        <v>1696</v>
      </c>
      <c r="Q38" s="1352" t="str">
        <f t="shared" si="11"/>
        <v>物业管理</v>
      </c>
      <c r="R38" s="705" t="s">
        <v>18</v>
      </c>
      <c r="S38" s="706">
        <f t="shared" si="12"/>
        <v>100</v>
      </c>
      <c r="T38" s="705" t="s">
        <v>18</v>
      </c>
      <c r="U38" s="706">
        <f t="shared" si="13"/>
        <v>100</v>
      </c>
      <c r="V38" s="705" t="s">
        <v>18</v>
      </c>
      <c r="W38" s="706">
        <f t="shared" si="14"/>
        <v>100</v>
      </c>
      <c r="X38" s="1355"/>
      <c r="Y38" s="3730"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28"/>
      <c r="Q39" s="1352" t="str">
        <f t="shared" si="11"/>
        <v>市政基础设施</v>
      </c>
      <c r="R39" s="705" t="s">
        <v>18</v>
      </c>
      <c r="S39" s="706">
        <f t="shared" si="12"/>
        <v>100</v>
      </c>
      <c r="T39" s="705" t="s">
        <v>18</v>
      </c>
      <c r="U39" s="706">
        <f t="shared" si="13"/>
        <v>100</v>
      </c>
      <c r="V39" s="705" t="s">
        <v>18</v>
      </c>
      <c r="W39" s="706">
        <f t="shared" si="14"/>
        <v>100</v>
      </c>
      <c r="X39" s="1355"/>
      <c r="Y39" s="3730"/>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28"/>
      <c r="Q40" s="1352" t="str">
        <f t="shared" si="11"/>
        <v>房型</v>
      </c>
      <c r="R40" s="705" t="s">
        <v>18</v>
      </c>
      <c r="S40" s="706">
        <f t="shared" si="12"/>
        <v>100</v>
      </c>
      <c r="T40" s="705" t="s">
        <v>18</v>
      </c>
      <c r="U40" s="706">
        <f t="shared" si="13"/>
        <v>100</v>
      </c>
      <c r="V40" s="705" t="s">
        <v>18</v>
      </c>
      <c r="W40" s="706">
        <f t="shared" si="14"/>
        <v>100</v>
      </c>
      <c r="X40" s="1355"/>
      <c r="Y40" s="3730"/>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28"/>
      <c r="Q41" s="707" t="str">
        <f t="shared" si="11"/>
        <v>单套/主力户型建筑面积</v>
      </c>
      <c r="R41" s="708" t="s">
        <v>18</v>
      </c>
      <c r="S41" s="709">
        <f t="shared" si="12"/>
        <v>100</v>
      </c>
      <c r="T41" s="708" t="s">
        <v>18</v>
      </c>
      <c r="U41" s="709">
        <f t="shared" si="13"/>
        <v>100</v>
      </c>
      <c r="V41" s="708" t="s">
        <v>18</v>
      </c>
      <c r="W41" s="709">
        <f t="shared" si="14"/>
        <v>100</v>
      </c>
      <c r="X41" s="710"/>
      <c r="Y41" s="3730"/>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28"/>
      <c r="Q42" s="1352" t="str">
        <f t="shared" si="11"/>
        <v>内部装修</v>
      </c>
      <c r="R42" s="705" t="s">
        <v>18</v>
      </c>
      <c r="S42" s="706">
        <f t="shared" si="12"/>
        <v>100</v>
      </c>
      <c r="T42" s="705" t="s">
        <v>18</v>
      </c>
      <c r="U42" s="706">
        <f t="shared" si="13"/>
        <v>100</v>
      </c>
      <c r="V42" s="705" t="s">
        <v>18</v>
      </c>
      <c r="W42" s="706">
        <f t="shared" si="14"/>
        <v>100</v>
      </c>
      <c r="X42" s="1355"/>
      <c r="Y42" s="3730"/>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28"/>
      <c r="Q43" s="1352" t="str">
        <f t="shared" si="11"/>
        <v>内部装修维护情况</v>
      </c>
      <c r="R43" s="705" t="s">
        <v>18</v>
      </c>
      <c r="S43" s="706">
        <f t="shared" si="12"/>
        <v>100</v>
      </c>
      <c r="T43" s="705" t="s">
        <v>18</v>
      </c>
      <c r="U43" s="706">
        <f t="shared" si="13"/>
        <v>100</v>
      </c>
      <c r="V43" s="705" t="s">
        <v>18</v>
      </c>
      <c r="W43" s="706">
        <f t="shared" si="14"/>
        <v>100</v>
      </c>
      <c r="X43" s="1355"/>
      <c r="Y43" s="3730"/>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28"/>
      <c r="Q44" s="1343">
        <f t="shared" si="11"/>
        <v>111</v>
      </c>
      <c r="R44" s="701" t="s">
        <v>18</v>
      </c>
      <c r="S44" s="702">
        <f t="shared" si="12"/>
        <v>100</v>
      </c>
      <c r="T44" s="701" t="s">
        <v>18</v>
      </c>
      <c r="U44" s="702">
        <f t="shared" si="13"/>
        <v>100</v>
      </c>
      <c r="V44" s="701" t="s">
        <v>18</v>
      </c>
      <c r="W44" s="702">
        <f t="shared" si="14"/>
        <v>100</v>
      </c>
      <c r="X44" s="703"/>
      <c r="Y44" s="3730"/>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28"/>
      <c r="Q45" s="1352">
        <f t="shared" si="11"/>
        <v>111</v>
      </c>
      <c r="R45" s="705" t="s">
        <v>18</v>
      </c>
      <c r="S45" s="706">
        <f t="shared" si="12"/>
        <v>100</v>
      </c>
      <c r="T45" s="705" t="s">
        <v>18</v>
      </c>
      <c r="U45" s="706">
        <f t="shared" si="13"/>
        <v>100</v>
      </c>
      <c r="V45" s="705" t="s">
        <v>18</v>
      </c>
      <c r="W45" s="706">
        <f t="shared" si="14"/>
        <v>100</v>
      </c>
      <c r="X45" s="1355"/>
      <c r="Y45" s="3730"/>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29"/>
      <c r="Q46" s="1352">
        <f t="shared" si="11"/>
        <v>111</v>
      </c>
      <c r="R46" s="705" t="s">
        <v>17</v>
      </c>
      <c r="S46" s="706">
        <f t="shared" si="12"/>
        <v>100</v>
      </c>
      <c r="T46" s="705" t="s">
        <v>17</v>
      </c>
      <c r="U46" s="706">
        <f t="shared" si="13"/>
        <v>100</v>
      </c>
      <c r="V46" s="705" t="s">
        <v>17</v>
      </c>
      <c r="W46" s="706">
        <f t="shared" si="14"/>
        <v>100</v>
      </c>
      <c r="X46" s="1355"/>
      <c r="Y46" s="3731"/>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23" t="str">
        <f>A47</f>
        <v>成交单价（元/平方米）</v>
      </c>
      <c r="Q47" s="3723"/>
      <c r="R47" s="3724">
        <f>E47</f>
        <v>0</v>
      </c>
      <c r="S47" s="3724"/>
      <c r="T47" s="3724">
        <f>G47</f>
        <v>0</v>
      </c>
      <c r="U47" s="3724"/>
      <c r="V47" s="3724">
        <f>I47</f>
        <v>0</v>
      </c>
      <c r="W47" s="3724"/>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23" t="str">
        <f>A48</f>
        <v>比较价值（元/平方米）</v>
      </c>
      <c r="Q48" s="3723"/>
      <c r="R48" s="3724" t="e">
        <f>IF(F1="售价",ROUND(PRODUCT(R47,AA7:AA46),0),ROUND(PRODUCT(R47,AA7:AA46),1))</f>
        <v>#DIV/0!</v>
      </c>
      <c r="S48" s="3724"/>
      <c r="T48" s="3724" t="e">
        <f>IF(F1="售价",ROUND(PRODUCT(T47,AB7:AB46),0),ROUND(PRODUCT(T47,AB7:AB46),1))</f>
        <v>#DIV/0!</v>
      </c>
      <c r="U48" s="3724"/>
      <c r="V48" s="3724" t="e">
        <f>IF(F1="售价",ROUND(PRODUCT(V47,AC7:AC46),0),ROUND(PRODUCT(V47,AC7:AC46),1))</f>
        <v>#DIV/0!</v>
      </c>
      <c r="W48" s="3724"/>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20" t="str">
        <f>A49</f>
        <v>估价对象XX用房的比较价值（楼面单价，元/平方米）</v>
      </c>
      <c r="Q49" s="3721"/>
      <c r="R49" s="3722" t="e">
        <f>IF(F1="售价",ROUND(IF(D48="简单平均",AVERAGE(R48:V48),R48*F48+T48*H48+V48*J48),0),ROUND(IF(D48="简单平均",AVERAGE(R48:V48),R48*F48+T48*H48+V48*J48),1))</f>
        <v>#DIV/0!</v>
      </c>
      <c r="S49" s="3722"/>
      <c r="T49" s="3722"/>
      <c r="U49" s="3722"/>
      <c r="V49" s="3722"/>
      <c r="W49" s="3722"/>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2022-12</v>
      </c>
      <c r="D58" s="1185">
        <f>EDATE(C58,-1)</f>
        <v>44866</v>
      </c>
      <c r="E58" s="1185">
        <f>EDATE(D58,-1)</f>
        <v>44835</v>
      </c>
      <c r="F58" s="1185">
        <f t="shared" ref="F58:O58" si="19">EDATE(E58,-1)</f>
        <v>44805</v>
      </c>
      <c r="G58" s="1185">
        <f t="shared" si="19"/>
        <v>44774</v>
      </c>
      <c r="H58" s="1185">
        <f t="shared" si="19"/>
        <v>44743</v>
      </c>
      <c r="I58" s="1185">
        <f t="shared" si="19"/>
        <v>44713</v>
      </c>
      <c r="J58" s="1185">
        <f t="shared" si="19"/>
        <v>44682</v>
      </c>
      <c r="K58" s="1185">
        <f t="shared" si="19"/>
        <v>44652</v>
      </c>
      <c r="L58" s="1185">
        <f t="shared" si="19"/>
        <v>44621</v>
      </c>
      <c r="M58" s="1185">
        <f t="shared" si="19"/>
        <v>44593</v>
      </c>
      <c r="N58" s="1185">
        <f t="shared" si="19"/>
        <v>44562</v>
      </c>
      <c r="O58" s="1185">
        <f t="shared" si="19"/>
        <v>44531</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1" sqref="D1:F1"/>
    </sheetView>
  </sheetViews>
  <sheetFormatPr defaultColWidth="9" defaultRowHeight="14.25"/>
  <cols>
    <col min="1" max="1" width="10.5" style="357" customWidth="1"/>
    <col min="2" max="2" width="15.625" style="357" customWidth="1"/>
    <col min="3" max="3" width="15.125" style="357" customWidth="1"/>
    <col min="4" max="4" width="12.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1916"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8"/>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25739.82</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06" t="s">
        <v>1770</v>
      </c>
      <c r="D4" s="3707"/>
      <c r="E4" s="3708" t="s">
        <v>1771</v>
      </c>
      <c r="F4" s="3709"/>
      <c r="G4" s="3706" t="s">
        <v>1772</v>
      </c>
      <c r="H4" s="3707"/>
      <c r="I4" s="3706" t="s">
        <v>1773</v>
      </c>
      <c r="J4" s="3707"/>
      <c r="K4" s="559" t="s">
        <v>1774</v>
      </c>
      <c r="L4" s="2715"/>
      <c r="M4" s="2716"/>
      <c r="N4" s="2716"/>
      <c r="O4" s="2716"/>
      <c r="P4" s="3710" t="s">
        <v>1775</v>
      </c>
      <c r="Q4" s="3711"/>
      <c r="R4" s="3693" t="s">
        <v>1771</v>
      </c>
      <c r="S4" s="3694"/>
      <c r="T4" s="3693" t="s">
        <v>1772</v>
      </c>
      <c r="U4" s="3694"/>
      <c r="V4" s="3718" t="s">
        <v>1773</v>
      </c>
      <c r="W4" s="3718"/>
      <c r="X4" s="1355"/>
      <c r="Y4" s="3693" t="s">
        <v>1775</v>
      </c>
      <c r="Z4" s="3694"/>
      <c r="AA4" s="3688" t="s">
        <v>1771</v>
      </c>
      <c r="AB4" s="3718" t="s">
        <v>1772</v>
      </c>
      <c r="AC4" s="3688" t="s">
        <v>1773</v>
      </c>
    </row>
    <row r="5" spans="1:29" ht="15">
      <c r="A5" s="358"/>
      <c r="B5" s="359"/>
      <c r="C5" s="3699" t="s">
        <v>1673</v>
      </c>
      <c r="D5" s="3700"/>
      <c r="E5" s="3697" t="s">
        <v>1674</v>
      </c>
      <c r="F5" s="3698"/>
      <c r="G5" s="3699" t="s">
        <v>1675</v>
      </c>
      <c r="H5" s="3700"/>
      <c r="I5" s="3699" t="s">
        <v>1676</v>
      </c>
      <c r="J5" s="3700"/>
      <c r="K5" s="559"/>
      <c r="L5" s="2715"/>
      <c r="M5" s="2716"/>
      <c r="N5" s="2716"/>
      <c r="O5" s="2716"/>
      <c r="P5" s="3712"/>
      <c r="Q5" s="3713"/>
      <c r="R5" s="3695"/>
      <c r="S5" s="3696"/>
      <c r="T5" s="3695"/>
      <c r="U5" s="3696"/>
      <c r="V5" s="3718"/>
      <c r="W5" s="3718"/>
      <c r="X5" s="1355"/>
      <c r="Y5" s="3695"/>
      <c r="Z5" s="3696"/>
      <c r="AA5" s="3689"/>
      <c r="AB5" s="3718"/>
      <c r="AC5" s="3689"/>
    </row>
    <row r="6" spans="1:29" ht="15.75" thickBot="1">
      <c r="A6" s="360"/>
      <c r="B6" s="361"/>
      <c r="C6" s="3701" t="s">
        <v>1677</v>
      </c>
      <c r="D6" s="3702"/>
      <c r="E6" s="3703" t="s">
        <v>1677</v>
      </c>
      <c r="F6" s="3704"/>
      <c r="G6" s="3701" t="s">
        <v>1677</v>
      </c>
      <c r="H6" s="3702"/>
      <c r="I6" s="3701" t="s">
        <v>1677</v>
      </c>
      <c r="J6" s="3702"/>
      <c r="K6" s="559" t="s">
        <v>1678</v>
      </c>
      <c r="L6" s="2715"/>
      <c r="M6" s="2716"/>
      <c r="N6" s="2716"/>
      <c r="O6" s="2716"/>
      <c r="P6" s="3714"/>
      <c r="Q6" s="3715"/>
      <c r="R6" s="3695"/>
      <c r="S6" s="3696"/>
      <c r="T6" s="3716"/>
      <c r="U6" s="3717"/>
      <c r="V6" s="3718"/>
      <c r="W6" s="3718"/>
      <c r="X6" s="1355"/>
      <c r="Y6" s="3716"/>
      <c r="Z6" s="3717"/>
      <c r="AA6" s="3690"/>
      <c r="AB6" s="3718"/>
      <c r="AC6" s="3690"/>
    </row>
    <row r="7" spans="1:29" s="108" customFormat="1" ht="15.75" thickBot="1">
      <c r="A7" s="362" t="s">
        <v>1679</v>
      </c>
      <c r="B7" s="363"/>
      <c r="C7" s="364">
        <f>'数据-取费表'!B2</f>
        <v>44916</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91" t="s">
        <v>1680</v>
      </c>
      <c r="Q7" s="3719"/>
      <c r="R7" s="701" t="s">
        <v>14</v>
      </c>
      <c r="S7" s="702">
        <f t="shared" ref="S7:S15" si="0">F7</f>
        <v>0</v>
      </c>
      <c r="T7" s="701" t="s">
        <v>14</v>
      </c>
      <c r="U7" s="702">
        <f t="shared" ref="U7:U15" si="1">H7</f>
        <v>0</v>
      </c>
      <c r="V7" s="701" t="s">
        <v>14</v>
      </c>
      <c r="W7" s="702">
        <f t="shared" ref="W7:W15" si="2">J7</f>
        <v>0</v>
      </c>
      <c r="X7" s="703"/>
      <c r="Y7" s="3691" t="s">
        <v>1680</v>
      </c>
      <c r="Z7" s="3692"/>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91" t="s">
        <v>1683</v>
      </c>
      <c r="Q8" s="3692"/>
      <c r="R8" s="701" t="s">
        <v>14</v>
      </c>
      <c r="S8" s="702">
        <f t="shared" si="0"/>
        <v>100</v>
      </c>
      <c r="T8" s="701" t="s">
        <v>14</v>
      </c>
      <c r="U8" s="702">
        <f t="shared" si="1"/>
        <v>100</v>
      </c>
      <c r="V8" s="701" t="s">
        <v>14</v>
      </c>
      <c r="W8" s="702">
        <f t="shared" si="2"/>
        <v>100</v>
      </c>
      <c r="X8" s="703"/>
      <c r="Y8" s="3691" t="s">
        <v>1683</v>
      </c>
      <c r="Z8" s="3692"/>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5"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704">
        <f t="shared" si="5"/>
        <v>1</v>
      </c>
    </row>
    <row r="10" spans="1:29" s="378" customFormat="1" ht="27">
      <c r="A10" s="374"/>
      <c r="B10" s="375" t="s">
        <v>1688</v>
      </c>
      <c r="C10" s="3437"/>
      <c r="D10" s="127">
        <v>100</v>
      </c>
      <c r="E10" s="3438"/>
      <c r="F10" s="376">
        <f>SUMIF(65:65,E10,66:66)-SUMIF(65:65,C10,66:66)+100</f>
        <v>100</v>
      </c>
      <c r="G10" s="3437"/>
      <c r="H10" s="127">
        <f>SUMIF(65:65,G10,66:66)-SUMIF(65:65,C10,66:66)+100</f>
        <v>100</v>
      </c>
      <c r="I10" s="3437"/>
      <c r="J10" s="127">
        <f>SUMIF(65:65,I10,66:66)-SUMIF(65:65,C10,66:66)+100</f>
        <v>100</v>
      </c>
      <c r="K10" s="560"/>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5"/>
      <c r="Q11" s="1343" t="str">
        <f t="shared" si="6"/>
        <v>容积率</v>
      </c>
      <c r="R11" s="701" t="s">
        <v>14</v>
      </c>
      <c r="S11" s="702" t="e">
        <f t="shared" si="0"/>
        <v>#N/A</v>
      </c>
      <c r="T11" s="701" t="s">
        <v>14</v>
      </c>
      <c r="U11" s="702" t="e">
        <f t="shared" si="1"/>
        <v>#N/A</v>
      </c>
      <c r="V11" s="701" t="s">
        <v>14</v>
      </c>
      <c r="W11" s="702" t="e">
        <f t="shared" si="2"/>
        <v>#N/A</v>
      </c>
      <c r="X11" s="703"/>
      <c r="Y11" s="3616"/>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5"/>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5"/>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5"/>
      <c r="Q14" s="1343">
        <f t="shared" si="6"/>
        <v>111</v>
      </c>
      <c r="R14" s="701" t="s">
        <v>14</v>
      </c>
      <c r="S14" s="702">
        <f t="shared" si="0"/>
        <v>100</v>
      </c>
      <c r="T14" s="701" t="s">
        <v>14</v>
      </c>
      <c r="U14" s="702">
        <f t="shared" si="1"/>
        <v>100</v>
      </c>
      <c r="V14" s="701" t="s">
        <v>14</v>
      </c>
      <c r="W14" s="702">
        <f t="shared" si="2"/>
        <v>100</v>
      </c>
      <c r="X14" s="703"/>
      <c r="Y14" s="3616"/>
      <c r="Z14" s="52">
        <f t="shared" si="7"/>
        <v>111</v>
      </c>
      <c r="AA14" s="704">
        <f t="shared" si="3"/>
        <v>1</v>
      </c>
      <c r="AB14" s="704">
        <f t="shared" si="4"/>
        <v>1</v>
      </c>
      <c r="AC14" s="704">
        <f t="shared" si="5"/>
        <v>1</v>
      </c>
    </row>
    <row r="15" spans="1:29" ht="15">
      <c r="A15" s="391" t="s">
        <v>1690</v>
      </c>
      <c r="B15" s="61" t="s">
        <v>1777</v>
      </c>
      <c r="C15" s="1896">
        <f>估价对象房地状况!C4</f>
        <v>0</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32" t="s">
        <v>1691</v>
      </c>
      <c r="Q15" s="1352" t="str">
        <f t="shared" si="6"/>
        <v>商业繁华度</v>
      </c>
      <c r="R15" s="705" t="s">
        <v>14</v>
      </c>
      <c r="S15" s="706">
        <f t="shared" si="0"/>
        <v>100</v>
      </c>
      <c r="T15" s="705" t="s">
        <v>14</v>
      </c>
      <c r="U15" s="706">
        <f t="shared" si="1"/>
        <v>100</v>
      </c>
      <c r="V15" s="705" t="s">
        <v>14</v>
      </c>
      <c r="W15" s="706">
        <f t="shared" si="2"/>
        <v>100</v>
      </c>
      <c r="X15" s="1355"/>
      <c r="Y15" s="3725"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33"/>
      <c r="Q16" s="1352"/>
      <c r="R16" s="705"/>
      <c r="S16" s="706"/>
      <c r="T16" s="705"/>
      <c r="U16" s="706"/>
      <c r="V16" s="705"/>
      <c r="W16" s="706"/>
      <c r="X16" s="1355"/>
      <c r="Y16" s="3726"/>
      <c r="Z16" s="1356"/>
      <c r="AA16" s="1353">
        <v>1</v>
      </c>
      <c r="AB16" s="1353">
        <v>1</v>
      </c>
      <c r="AC16" s="1353">
        <v>1</v>
      </c>
    </row>
    <row r="17" spans="1:29" ht="15">
      <c r="A17" s="379"/>
      <c r="B17" s="402" t="s">
        <v>1259</v>
      </c>
      <c r="C17" s="1900">
        <f>估价对象房地状况!C6</f>
        <v>0</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33"/>
      <c r="Q17" s="1352" t="str">
        <f>B17</f>
        <v>交通便捷度</v>
      </c>
      <c r="R17" s="705" t="s">
        <v>14</v>
      </c>
      <c r="S17" s="706">
        <f>F17</f>
        <v>100</v>
      </c>
      <c r="T17" s="705" t="s">
        <v>14</v>
      </c>
      <c r="U17" s="706">
        <f>H17</f>
        <v>100</v>
      </c>
      <c r="V17" s="705" t="s">
        <v>14</v>
      </c>
      <c r="W17" s="706">
        <f>J17</f>
        <v>100</v>
      </c>
      <c r="X17" s="1355"/>
      <c r="Y17" s="3726"/>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33"/>
      <c r="Q18" s="1352"/>
      <c r="R18" s="705"/>
      <c r="S18" s="706"/>
      <c r="T18" s="705"/>
      <c r="U18" s="706"/>
      <c r="V18" s="705"/>
      <c r="W18" s="706"/>
      <c r="X18" s="1355"/>
      <c r="Y18" s="3726"/>
      <c r="Z18" s="1356"/>
      <c r="AA18" s="1353">
        <v>1</v>
      </c>
      <c r="AB18" s="1353">
        <v>1</v>
      </c>
      <c r="AC18" s="1353">
        <v>1</v>
      </c>
    </row>
    <row r="19" spans="1:29" ht="15">
      <c r="A19" s="379"/>
      <c r="B19" s="402" t="s">
        <v>1778</v>
      </c>
      <c r="C19" s="1900">
        <f>估价对象房地状况!C7</f>
        <v>0</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33"/>
      <c r="Q19" s="1352" t="str">
        <f>B19</f>
        <v>公共配套设施</v>
      </c>
      <c r="R19" s="705" t="s">
        <v>14</v>
      </c>
      <c r="S19" s="706">
        <f>F19</f>
        <v>100</v>
      </c>
      <c r="T19" s="705" t="s">
        <v>14</v>
      </c>
      <c r="U19" s="706">
        <f>H19</f>
        <v>100</v>
      </c>
      <c r="V19" s="705" t="s">
        <v>14</v>
      </c>
      <c r="W19" s="706">
        <f>J19</f>
        <v>100</v>
      </c>
      <c r="X19" s="1355"/>
      <c r="Y19" s="3726"/>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33"/>
      <c r="Q20" s="1352"/>
      <c r="R20" s="705"/>
      <c r="S20" s="706"/>
      <c r="T20" s="705"/>
      <c r="U20" s="706"/>
      <c r="V20" s="705"/>
      <c r="W20" s="706"/>
      <c r="X20" s="1355"/>
      <c r="Y20" s="3726"/>
      <c r="Z20" s="1356"/>
      <c r="AA20" s="1353">
        <v>1</v>
      </c>
      <c r="AB20" s="1353">
        <v>1</v>
      </c>
      <c r="AC20" s="1353">
        <v>1</v>
      </c>
    </row>
    <row r="21" spans="1:29" ht="15">
      <c r="A21" s="379"/>
      <c r="B21" s="1131" t="s">
        <v>1779</v>
      </c>
      <c r="C21" s="1900">
        <f>估价对象房地状况!C8</f>
        <v>0</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33"/>
      <c r="Q21" s="1352" t="str">
        <f>B21</f>
        <v>基础设施水平</v>
      </c>
      <c r="R21" s="705" t="s">
        <v>14</v>
      </c>
      <c r="S21" s="706">
        <f>F21</f>
        <v>100</v>
      </c>
      <c r="T21" s="705" t="s">
        <v>14</v>
      </c>
      <c r="U21" s="706">
        <f>H21</f>
        <v>100</v>
      </c>
      <c r="V21" s="705" t="s">
        <v>14</v>
      </c>
      <c r="W21" s="706">
        <f>J21</f>
        <v>100</v>
      </c>
      <c r="X21" s="1355"/>
      <c r="Y21" s="3726"/>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33"/>
      <c r="Q22" s="1352"/>
      <c r="R22" s="705"/>
      <c r="S22" s="706"/>
      <c r="T22" s="705"/>
      <c r="U22" s="706"/>
      <c r="V22" s="705"/>
      <c r="W22" s="706"/>
      <c r="X22" s="1355"/>
      <c r="Y22" s="3726"/>
      <c r="Z22" s="1356"/>
      <c r="AA22" s="1353">
        <v>1</v>
      </c>
      <c r="AB22" s="1353">
        <v>1</v>
      </c>
      <c r="AC22" s="1353">
        <v>1</v>
      </c>
    </row>
    <row r="23" spans="1:29" ht="15">
      <c r="A23" s="379"/>
      <c r="B23" s="402" t="s">
        <v>1261</v>
      </c>
      <c r="C23" s="1955">
        <f>估价对象房地状况!C9</f>
        <v>0</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33"/>
      <c r="Q23" s="1352" t="str">
        <f>B23</f>
        <v>自然及人文环境</v>
      </c>
      <c r="R23" s="705" t="s">
        <v>14</v>
      </c>
      <c r="S23" s="706">
        <f>F23</f>
        <v>100</v>
      </c>
      <c r="T23" s="705" t="s">
        <v>14</v>
      </c>
      <c r="U23" s="706">
        <f>H23</f>
        <v>100</v>
      </c>
      <c r="V23" s="705" t="s">
        <v>14</v>
      </c>
      <c r="W23" s="706">
        <f>J23</f>
        <v>100</v>
      </c>
      <c r="X23" s="1355"/>
      <c r="Y23" s="3726"/>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33"/>
      <c r="Q24" s="1352"/>
      <c r="R24" s="705"/>
      <c r="S24" s="706"/>
      <c r="T24" s="705"/>
      <c r="U24" s="706"/>
      <c r="V24" s="705"/>
      <c r="W24" s="706"/>
      <c r="X24" s="1355"/>
      <c r="Y24" s="3726"/>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33"/>
      <c r="Q25" s="1352" t="str">
        <f t="shared" ref="Q25:Q46" si="11">B25</f>
        <v>临街状况</v>
      </c>
      <c r="R25" s="705" t="s">
        <v>14</v>
      </c>
      <c r="S25" s="706">
        <f>F25</f>
        <v>100</v>
      </c>
      <c r="T25" s="705" t="s">
        <v>14</v>
      </c>
      <c r="U25" s="706">
        <f>H25</f>
        <v>100</v>
      </c>
      <c r="V25" s="705" t="s">
        <v>14</v>
      </c>
      <c r="W25" s="706">
        <f>J25</f>
        <v>100</v>
      </c>
      <c r="X25" s="1355"/>
      <c r="Y25" s="3726"/>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33"/>
      <c r="Q26" s="1352" t="str">
        <f t="shared" si="11"/>
        <v>平面位置/可视性</v>
      </c>
      <c r="R26" s="705" t="s">
        <v>14</v>
      </c>
      <c r="S26" s="706">
        <f>F26</f>
        <v>100</v>
      </c>
      <c r="T26" s="705" t="s">
        <v>14</v>
      </c>
      <c r="U26" s="706">
        <f>H26</f>
        <v>100</v>
      </c>
      <c r="V26" s="705" t="s">
        <v>14</v>
      </c>
      <c r="W26" s="706">
        <f>J26</f>
        <v>100</v>
      </c>
      <c r="X26" s="1355"/>
      <c r="Y26" s="3726"/>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33"/>
      <c r="Q27" s="1343" t="str">
        <f t="shared" si="11"/>
        <v>人流量</v>
      </c>
      <c r="R27" s="701" t="s">
        <v>14</v>
      </c>
      <c r="S27" s="702">
        <f>F27</f>
        <v>100</v>
      </c>
      <c r="T27" s="701" t="s">
        <v>14</v>
      </c>
      <c r="U27" s="702">
        <f>H27</f>
        <v>100</v>
      </c>
      <c r="V27" s="701" t="s">
        <v>14</v>
      </c>
      <c r="W27" s="702">
        <f>J27</f>
        <v>100</v>
      </c>
      <c r="X27" s="703"/>
      <c r="Y27" s="3726"/>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33"/>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26"/>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33"/>
      <c r="Q29" s="1352">
        <f t="shared" si="11"/>
        <v>111</v>
      </c>
      <c r="R29" s="705" t="s">
        <v>14</v>
      </c>
      <c r="S29" s="706">
        <f t="shared" si="12"/>
        <v>100</v>
      </c>
      <c r="T29" s="705" t="s">
        <v>14</v>
      </c>
      <c r="U29" s="706">
        <f t="shared" si="13"/>
        <v>100</v>
      </c>
      <c r="V29" s="705" t="s">
        <v>14</v>
      </c>
      <c r="W29" s="706">
        <f t="shared" si="14"/>
        <v>100</v>
      </c>
      <c r="X29" s="1355"/>
      <c r="Y29" s="3726"/>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33"/>
      <c r="Q30" s="1352">
        <f t="shared" si="11"/>
        <v>111</v>
      </c>
      <c r="R30" s="705" t="s">
        <v>14</v>
      </c>
      <c r="S30" s="706">
        <f t="shared" si="12"/>
        <v>100</v>
      </c>
      <c r="T30" s="705" t="s">
        <v>14</v>
      </c>
      <c r="U30" s="706">
        <f t="shared" si="13"/>
        <v>100</v>
      </c>
      <c r="V30" s="705" t="s">
        <v>14</v>
      </c>
      <c r="W30" s="706">
        <f t="shared" si="14"/>
        <v>100</v>
      </c>
      <c r="X30" s="1355"/>
      <c r="Y30" s="3726"/>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33"/>
      <c r="Q31" s="1352">
        <f t="shared" si="11"/>
        <v>111</v>
      </c>
      <c r="R31" s="705" t="s">
        <v>14</v>
      </c>
      <c r="S31" s="706">
        <f t="shared" si="12"/>
        <v>100</v>
      </c>
      <c r="T31" s="705" t="s">
        <v>14</v>
      </c>
      <c r="U31" s="706">
        <f t="shared" si="13"/>
        <v>100</v>
      </c>
      <c r="V31" s="705" t="s">
        <v>14</v>
      </c>
      <c r="W31" s="706">
        <f t="shared" si="14"/>
        <v>100</v>
      </c>
      <c r="X31" s="1355"/>
      <c r="Y31" s="3726"/>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27" t="s">
        <v>1696</v>
      </c>
      <c r="Q32" s="1352" t="str">
        <f t="shared" si="11"/>
        <v>商业类型</v>
      </c>
      <c r="R32" s="705" t="s">
        <v>14</v>
      </c>
      <c r="S32" s="706">
        <f t="shared" si="12"/>
        <v>100</v>
      </c>
      <c r="T32" s="705" t="s">
        <v>14</v>
      </c>
      <c r="U32" s="706">
        <f t="shared" si="13"/>
        <v>100</v>
      </c>
      <c r="V32" s="705" t="s">
        <v>14</v>
      </c>
      <c r="W32" s="706">
        <f t="shared" si="14"/>
        <v>100</v>
      </c>
      <c r="X32" s="1355"/>
      <c r="Y32" s="3730"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28"/>
      <c r="Q33" s="707" t="str">
        <f t="shared" si="11"/>
        <v>项目建筑规模</v>
      </c>
      <c r="R33" s="708" t="s">
        <v>14</v>
      </c>
      <c r="S33" s="709" t="e">
        <f t="shared" si="12"/>
        <v>#N/A</v>
      </c>
      <c r="T33" s="708" t="s">
        <v>14</v>
      </c>
      <c r="U33" s="709" t="e">
        <f t="shared" si="13"/>
        <v>#N/A</v>
      </c>
      <c r="V33" s="708" t="s">
        <v>14</v>
      </c>
      <c r="W33" s="709" t="e">
        <f t="shared" si="14"/>
        <v>#N/A</v>
      </c>
      <c r="X33" s="710"/>
      <c r="Y33" s="3730"/>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28"/>
      <c r="Q34" s="1352" t="str">
        <f t="shared" si="11"/>
        <v>建筑结构</v>
      </c>
      <c r="R34" s="705" t="s">
        <v>14</v>
      </c>
      <c r="S34" s="706">
        <f t="shared" si="12"/>
        <v>100</v>
      </c>
      <c r="T34" s="705" t="s">
        <v>14</v>
      </c>
      <c r="U34" s="706">
        <f t="shared" si="13"/>
        <v>100</v>
      </c>
      <c r="V34" s="705" t="s">
        <v>14</v>
      </c>
      <c r="W34" s="706">
        <f t="shared" si="14"/>
        <v>100</v>
      </c>
      <c r="X34" s="1355"/>
      <c r="Y34" s="3730"/>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28"/>
      <c r="Q35" s="1352" t="str">
        <f t="shared" si="11"/>
        <v>公共部分装修</v>
      </c>
      <c r="R35" s="705" t="s">
        <v>14</v>
      </c>
      <c r="S35" s="706">
        <f t="shared" si="12"/>
        <v>100</v>
      </c>
      <c r="T35" s="705" t="s">
        <v>14</v>
      </c>
      <c r="U35" s="706">
        <f t="shared" si="13"/>
        <v>100</v>
      </c>
      <c r="V35" s="705" t="s">
        <v>14</v>
      </c>
      <c r="W35" s="706">
        <f t="shared" si="14"/>
        <v>100</v>
      </c>
      <c r="X35" s="1355"/>
      <c r="Y35" s="3730"/>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28"/>
      <c r="Q36" s="1352" t="str">
        <f t="shared" si="11"/>
        <v>成新度</v>
      </c>
      <c r="R36" s="705" t="s">
        <v>14</v>
      </c>
      <c r="S36" s="706" t="e">
        <f t="shared" si="12"/>
        <v>#N/A</v>
      </c>
      <c r="T36" s="705" t="s">
        <v>14</v>
      </c>
      <c r="U36" s="706" t="e">
        <f t="shared" si="13"/>
        <v>#N/A</v>
      </c>
      <c r="V36" s="705" t="s">
        <v>14</v>
      </c>
      <c r="W36" s="706" t="e">
        <f t="shared" si="14"/>
        <v>#N/A</v>
      </c>
      <c r="X36" s="1355"/>
      <c r="Y36" s="3730"/>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28"/>
      <c r="Q37" s="1343" t="str">
        <f t="shared" si="11"/>
        <v>市政基础设施</v>
      </c>
      <c r="R37" s="701" t="s">
        <v>14</v>
      </c>
      <c r="S37" s="702">
        <f t="shared" si="12"/>
        <v>100</v>
      </c>
      <c r="T37" s="701" t="s">
        <v>14</v>
      </c>
      <c r="U37" s="702">
        <f t="shared" si="13"/>
        <v>100</v>
      </c>
      <c r="V37" s="701" t="s">
        <v>14</v>
      </c>
      <c r="W37" s="702">
        <f t="shared" si="14"/>
        <v>100</v>
      </c>
      <c r="X37" s="703"/>
      <c r="Y37" s="3730"/>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28" t="s">
        <v>1696</v>
      </c>
      <c r="Q38" s="1352" t="str">
        <f t="shared" si="11"/>
        <v>业态</v>
      </c>
      <c r="R38" s="705" t="s">
        <v>14</v>
      </c>
      <c r="S38" s="706">
        <f t="shared" si="12"/>
        <v>100</v>
      </c>
      <c r="T38" s="705" t="s">
        <v>14</v>
      </c>
      <c r="U38" s="706">
        <f t="shared" si="13"/>
        <v>100</v>
      </c>
      <c r="V38" s="705" t="s">
        <v>14</v>
      </c>
      <c r="W38" s="706">
        <f t="shared" si="14"/>
        <v>100</v>
      </c>
      <c r="X38" s="1355"/>
      <c r="Y38" s="3730"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28"/>
      <c r="Q39" s="1352" t="str">
        <f t="shared" si="11"/>
        <v>层高</v>
      </c>
      <c r="R39" s="705" t="s">
        <v>14</v>
      </c>
      <c r="S39" s="706">
        <f t="shared" si="12"/>
        <v>100</v>
      </c>
      <c r="T39" s="705" t="s">
        <v>14</v>
      </c>
      <c r="U39" s="706">
        <f t="shared" si="13"/>
        <v>100</v>
      </c>
      <c r="V39" s="705" t="s">
        <v>14</v>
      </c>
      <c r="W39" s="706">
        <f t="shared" si="14"/>
        <v>100</v>
      </c>
      <c r="X39" s="1355"/>
      <c r="Y39" s="3730"/>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28"/>
      <c r="Q40" s="1352" t="str">
        <f t="shared" si="11"/>
        <v>单套建筑面积</v>
      </c>
      <c r="R40" s="705" t="s">
        <v>14</v>
      </c>
      <c r="S40" s="706">
        <f t="shared" si="12"/>
        <v>100</v>
      </c>
      <c r="T40" s="705" t="s">
        <v>14</v>
      </c>
      <c r="U40" s="706">
        <f t="shared" si="13"/>
        <v>100</v>
      </c>
      <c r="V40" s="705" t="s">
        <v>14</v>
      </c>
      <c r="W40" s="706">
        <f t="shared" si="14"/>
        <v>100</v>
      </c>
      <c r="X40" s="1355"/>
      <c r="Y40" s="3730"/>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28"/>
      <c r="Q41" s="707" t="str">
        <f t="shared" si="11"/>
        <v>进深比</v>
      </c>
      <c r="R41" s="708" t="s">
        <v>14</v>
      </c>
      <c r="S41" s="709">
        <f t="shared" si="12"/>
        <v>100</v>
      </c>
      <c r="T41" s="708" t="s">
        <v>14</v>
      </c>
      <c r="U41" s="709">
        <f t="shared" si="13"/>
        <v>100</v>
      </c>
      <c r="V41" s="708" t="s">
        <v>14</v>
      </c>
      <c r="W41" s="709">
        <f t="shared" si="14"/>
        <v>100</v>
      </c>
      <c r="X41" s="710"/>
      <c r="Y41" s="3730"/>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28"/>
      <c r="Q42" s="1352" t="str">
        <f t="shared" si="11"/>
        <v>内部装修</v>
      </c>
      <c r="R42" s="705" t="s">
        <v>14</v>
      </c>
      <c r="S42" s="706">
        <f t="shared" si="12"/>
        <v>100</v>
      </c>
      <c r="T42" s="705" t="s">
        <v>14</v>
      </c>
      <c r="U42" s="706">
        <f t="shared" si="13"/>
        <v>100</v>
      </c>
      <c r="V42" s="705" t="s">
        <v>14</v>
      </c>
      <c r="W42" s="706">
        <f t="shared" si="14"/>
        <v>100</v>
      </c>
      <c r="X42" s="1355"/>
      <c r="Y42" s="3730"/>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28"/>
      <c r="Q43" s="1352" t="str">
        <f t="shared" si="11"/>
        <v>内部装修维护情况</v>
      </c>
      <c r="R43" s="705" t="s">
        <v>14</v>
      </c>
      <c r="S43" s="706">
        <f t="shared" si="12"/>
        <v>100</v>
      </c>
      <c r="T43" s="705" t="s">
        <v>14</v>
      </c>
      <c r="U43" s="706">
        <f t="shared" si="13"/>
        <v>100</v>
      </c>
      <c r="V43" s="705" t="s">
        <v>14</v>
      </c>
      <c r="W43" s="706">
        <f t="shared" si="14"/>
        <v>100</v>
      </c>
      <c r="X43" s="1355"/>
      <c r="Y43" s="3730"/>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28"/>
      <c r="Q44" s="1343">
        <f t="shared" si="11"/>
        <v>111</v>
      </c>
      <c r="R44" s="701" t="s">
        <v>14</v>
      </c>
      <c r="S44" s="702">
        <f t="shared" si="12"/>
        <v>100</v>
      </c>
      <c r="T44" s="701" t="s">
        <v>14</v>
      </c>
      <c r="U44" s="702">
        <f t="shared" si="13"/>
        <v>100</v>
      </c>
      <c r="V44" s="701" t="s">
        <v>14</v>
      </c>
      <c r="W44" s="702">
        <f t="shared" si="14"/>
        <v>100</v>
      </c>
      <c r="X44" s="703"/>
      <c r="Y44" s="3730"/>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28"/>
      <c r="Q45" s="1352">
        <f t="shared" si="11"/>
        <v>111</v>
      </c>
      <c r="R45" s="705" t="s">
        <v>14</v>
      </c>
      <c r="S45" s="706">
        <f t="shared" si="12"/>
        <v>100</v>
      </c>
      <c r="T45" s="705" t="s">
        <v>14</v>
      </c>
      <c r="U45" s="706">
        <f t="shared" si="13"/>
        <v>100</v>
      </c>
      <c r="V45" s="705" t="s">
        <v>14</v>
      </c>
      <c r="W45" s="706">
        <f t="shared" si="14"/>
        <v>100</v>
      </c>
      <c r="X45" s="1355"/>
      <c r="Y45" s="3730"/>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29"/>
      <c r="Q46" s="1352">
        <f t="shared" si="11"/>
        <v>111</v>
      </c>
      <c r="R46" s="705" t="s">
        <v>14</v>
      </c>
      <c r="S46" s="706">
        <f t="shared" si="12"/>
        <v>100</v>
      </c>
      <c r="T46" s="705" t="s">
        <v>14</v>
      </c>
      <c r="U46" s="706">
        <f t="shared" si="13"/>
        <v>100</v>
      </c>
      <c r="V46" s="705" t="s">
        <v>14</v>
      </c>
      <c r="W46" s="706">
        <f t="shared" si="14"/>
        <v>100</v>
      </c>
      <c r="X46" s="1355"/>
      <c r="Y46" s="3731"/>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23" t="str">
        <f>A47</f>
        <v>成交单价（元/平方米）</v>
      </c>
      <c r="Q47" s="3723"/>
      <c r="R47" s="3718">
        <f>E47</f>
        <v>0</v>
      </c>
      <c r="S47" s="3718"/>
      <c r="T47" s="3718">
        <f>G47</f>
        <v>0</v>
      </c>
      <c r="U47" s="3718"/>
      <c r="V47" s="3718">
        <f>I47</f>
        <v>0</v>
      </c>
      <c r="W47" s="3718"/>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23" t="str">
        <f>A48</f>
        <v>比较价值（元/平方米）</v>
      </c>
      <c r="Q48" s="3723"/>
      <c r="R48" s="3724" t="e">
        <f>IF(F1="售价",ROUND(PRODUCT(R47,AA7:AA46),0),ROUND(PRODUCT(R47,AA7:AA46),1))</f>
        <v>#DIV/0!</v>
      </c>
      <c r="S48" s="3724"/>
      <c r="T48" s="3724" t="e">
        <f>IF(F1="售价",ROUND(PRODUCT(T47,AB7:AB46),0),ROUND(PRODUCT(T47,AB7:AB46),1))</f>
        <v>#DIV/0!</v>
      </c>
      <c r="U48" s="3724"/>
      <c r="V48" s="3724" t="e">
        <f>IF(F1="售价",ROUND(PRODUCT(V47,AC7:AC46),0),ROUND(PRODUCT(V47,AC7:AC46),1))</f>
        <v>#DIV/0!</v>
      </c>
      <c r="W48" s="3724"/>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20" t="str">
        <f>A49</f>
        <v>估价对象XX用房的比较价值（楼面单价，元/平方米）</v>
      </c>
      <c r="Q49" s="3721"/>
      <c r="R49" s="3722" t="e">
        <f>IF(F1="售价",ROUND(IF(D48="简单平均",AVERAGE(R48:V48),R48*F48+T48*H48+V48*J48),0),ROUND(IF(D48="简单平均",AVERAGE(R48:V48),R48*F48+T48*H48+V48*J48),1))</f>
        <v>#DIV/0!</v>
      </c>
      <c r="S49" s="3722"/>
      <c r="T49" s="3722"/>
      <c r="U49" s="3722"/>
      <c r="V49" s="3722"/>
      <c r="W49" s="3722"/>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2022-12</v>
      </c>
      <c r="D58" s="1185">
        <f>EDATE(C58,-1)</f>
        <v>44866</v>
      </c>
      <c r="E58" s="1185">
        <f t="shared" ref="E58:N58" si="16">EDATE(D58,-1)</f>
        <v>44835</v>
      </c>
      <c r="F58" s="1185">
        <f t="shared" si="16"/>
        <v>44805</v>
      </c>
      <c r="G58" s="1185">
        <f t="shared" si="16"/>
        <v>44774</v>
      </c>
      <c r="H58" s="1185">
        <f t="shared" si="16"/>
        <v>44743</v>
      </c>
      <c r="I58" s="1185">
        <f t="shared" si="16"/>
        <v>44713</v>
      </c>
      <c r="J58" s="1185">
        <f t="shared" si="16"/>
        <v>44682</v>
      </c>
      <c r="K58" s="1185">
        <f t="shared" si="16"/>
        <v>44652</v>
      </c>
      <c r="L58" s="1185">
        <f t="shared" si="16"/>
        <v>44621</v>
      </c>
      <c r="M58" s="1185">
        <f t="shared" si="16"/>
        <v>44593</v>
      </c>
      <c r="N58" s="1185">
        <f t="shared" si="16"/>
        <v>44562</v>
      </c>
      <c r="O58" s="1185">
        <f>EDATE(N58,-1)</f>
        <v>44531</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60" zoomScaleNormal="70" workbookViewId="0">
      <selection activeCell="N112" sqref="N112"/>
    </sheetView>
  </sheetViews>
  <sheetFormatPr defaultColWidth="9" defaultRowHeight="14.25"/>
  <cols>
    <col min="1" max="1" width="10.5" style="357" customWidth="1"/>
    <col min="2" max="3" width="15.625" style="357" customWidth="1"/>
    <col min="4" max="4" width="12.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906"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5"/>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25739.82</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06" t="s">
        <v>1770</v>
      </c>
      <c r="D4" s="3707"/>
      <c r="E4" s="3708" t="s">
        <v>1771</v>
      </c>
      <c r="F4" s="3709"/>
      <c r="G4" s="3706" t="s">
        <v>1772</v>
      </c>
      <c r="H4" s="3707"/>
      <c r="I4" s="3706" t="s">
        <v>1773</v>
      </c>
      <c r="J4" s="3707"/>
      <c r="K4" s="559" t="s">
        <v>1774</v>
      </c>
      <c r="L4" s="2715"/>
      <c r="M4" s="2716"/>
      <c r="N4" s="2716"/>
      <c r="O4" s="2716"/>
      <c r="P4" s="3740" t="s">
        <v>1775</v>
      </c>
      <c r="Q4" s="3741"/>
      <c r="R4" s="3735" t="s">
        <v>1771</v>
      </c>
      <c r="S4" s="3736"/>
      <c r="T4" s="3735" t="s">
        <v>1772</v>
      </c>
      <c r="U4" s="3736"/>
      <c r="V4" s="3744" t="s">
        <v>1773</v>
      </c>
      <c r="W4" s="3744"/>
      <c r="X4" s="1958"/>
      <c r="Y4" s="3735" t="s">
        <v>1775</v>
      </c>
      <c r="Z4" s="3736"/>
      <c r="AA4" s="3734" t="s">
        <v>1771</v>
      </c>
      <c r="AB4" s="3734" t="s">
        <v>1772</v>
      </c>
      <c r="AC4" s="3737" t="s">
        <v>1773</v>
      </c>
    </row>
    <row r="5" spans="1:29" ht="15">
      <c r="A5" s="358"/>
      <c r="B5" s="359"/>
      <c r="C5" s="3699" t="s">
        <v>1673</v>
      </c>
      <c r="D5" s="3700"/>
      <c r="E5" s="3697" t="s">
        <v>1674</v>
      </c>
      <c r="F5" s="3698"/>
      <c r="G5" s="3699" t="s">
        <v>1675</v>
      </c>
      <c r="H5" s="3700"/>
      <c r="I5" s="3699" t="s">
        <v>1676</v>
      </c>
      <c r="J5" s="3700"/>
      <c r="K5" s="559"/>
      <c r="L5" s="2715"/>
      <c r="M5" s="2716"/>
      <c r="N5" s="2716"/>
      <c r="O5" s="2716"/>
      <c r="P5" s="3742"/>
      <c r="Q5" s="3713"/>
      <c r="R5" s="3695"/>
      <c r="S5" s="3696"/>
      <c r="T5" s="3695"/>
      <c r="U5" s="3696"/>
      <c r="V5" s="3718"/>
      <c r="W5" s="3718"/>
      <c r="X5" s="1355"/>
      <c r="Y5" s="3695"/>
      <c r="Z5" s="3696"/>
      <c r="AA5" s="3689"/>
      <c r="AB5" s="3689"/>
      <c r="AC5" s="3738"/>
    </row>
    <row r="6" spans="1:29" ht="15.75" thickBot="1">
      <c r="A6" s="360"/>
      <c r="B6" s="361"/>
      <c r="C6" s="3701" t="s">
        <v>1677</v>
      </c>
      <c r="D6" s="3702"/>
      <c r="E6" s="3703" t="s">
        <v>1677</v>
      </c>
      <c r="F6" s="3704"/>
      <c r="G6" s="3701" t="s">
        <v>1677</v>
      </c>
      <c r="H6" s="3702"/>
      <c r="I6" s="3701" t="s">
        <v>1677</v>
      </c>
      <c r="J6" s="3702"/>
      <c r="K6" s="559" t="s">
        <v>1678</v>
      </c>
      <c r="L6" s="2715"/>
      <c r="M6" s="2716"/>
      <c r="N6" s="2716"/>
      <c r="O6" s="2716"/>
      <c r="P6" s="3743"/>
      <c r="Q6" s="3715"/>
      <c r="R6" s="3695"/>
      <c r="S6" s="3696"/>
      <c r="T6" s="3716"/>
      <c r="U6" s="3717"/>
      <c r="V6" s="3718"/>
      <c r="W6" s="3718"/>
      <c r="X6" s="1355"/>
      <c r="Y6" s="3716"/>
      <c r="Z6" s="3717"/>
      <c r="AA6" s="3690"/>
      <c r="AB6" s="3690"/>
      <c r="AC6" s="3739"/>
    </row>
    <row r="7" spans="1:29" s="108" customFormat="1" ht="15.75" thickBot="1">
      <c r="A7" s="362" t="s">
        <v>1679</v>
      </c>
      <c r="B7" s="363"/>
      <c r="C7" s="364">
        <f>'数据-取费表'!B2</f>
        <v>44916</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45" t="s">
        <v>1680</v>
      </c>
      <c r="Q7" s="3719"/>
      <c r="R7" s="701" t="s">
        <v>14</v>
      </c>
      <c r="S7" s="702">
        <f t="shared" ref="S7:S15" si="0">F7</f>
        <v>0</v>
      </c>
      <c r="T7" s="701" t="s">
        <v>14</v>
      </c>
      <c r="U7" s="702">
        <f t="shared" ref="U7:U15" si="1">H7</f>
        <v>0</v>
      </c>
      <c r="V7" s="701" t="s">
        <v>14</v>
      </c>
      <c r="W7" s="702">
        <f t="shared" ref="W7:W15" si="2">J7</f>
        <v>0</v>
      </c>
      <c r="X7" s="703"/>
      <c r="Y7" s="3691" t="s">
        <v>1680</v>
      </c>
      <c r="Z7" s="3692"/>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45" t="s">
        <v>1683</v>
      </c>
      <c r="Q8" s="3692"/>
      <c r="R8" s="701" t="s">
        <v>14</v>
      </c>
      <c r="S8" s="702">
        <f t="shared" si="0"/>
        <v>100</v>
      </c>
      <c r="T8" s="701" t="s">
        <v>14</v>
      </c>
      <c r="U8" s="702">
        <f t="shared" si="1"/>
        <v>100</v>
      </c>
      <c r="V8" s="701" t="s">
        <v>14</v>
      </c>
      <c r="W8" s="702">
        <f t="shared" si="2"/>
        <v>100</v>
      </c>
      <c r="X8" s="703"/>
      <c r="Y8" s="3691" t="s">
        <v>1683</v>
      </c>
      <c r="Z8" s="3692"/>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5"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1959">
        <f t="shared" si="5"/>
        <v>1</v>
      </c>
    </row>
    <row r="10" spans="1:29" s="378" customFormat="1" ht="27">
      <c r="A10" s="374"/>
      <c r="B10" s="375" t="s">
        <v>1688</v>
      </c>
      <c r="C10" s="3437"/>
      <c r="D10" s="127">
        <v>100</v>
      </c>
      <c r="E10" s="3437"/>
      <c r="F10" s="127">
        <f>SUMIF(66:66,E10,67:67)-SUMIF(66:66,C10,67:67)+100</f>
        <v>100</v>
      </c>
      <c r="G10" s="3438"/>
      <c r="H10" s="127">
        <f>SUMIF(66:66,G10,67:67)-SUMIF(66:66,C10,67:67)+100</f>
        <v>100</v>
      </c>
      <c r="I10" s="3437"/>
      <c r="J10" s="127">
        <f>SUMIF(66:66,I10,67:67)-SUMIF(66:66,C10,67:67)+100</f>
        <v>100</v>
      </c>
      <c r="K10" s="560"/>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5"/>
      <c r="Q11" s="1343" t="str">
        <f t="shared" si="6"/>
        <v>容积率</v>
      </c>
      <c r="R11" s="701" t="s">
        <v>14</v>
      </c>
      <c r="S11" s="702">
        <f t="shared" si="0"/>
        <v>100</v>
      </c>
      <c r="T11" s="701" t="s">
        <v>14</v>
      </c>
      <c r="U11" s="702">
        <f t="shared" si="1"/>
        <v>100</v>
      </c>
      <c r="V11" s="701" t="s">
        <v>14</v>
      </c>
      <c r="W11" s="702">
        <f t="shared" si="2"/>
        <v>100</v>
      </c>
      <c r="X11" s="703"/>
      <c r="Y11" s="3616"/>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5"/>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5"/>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5"/>
      <c r="Q14" s="1343">
        <f t="shared" si="6"/>
        <v>111</v>
      </c>
      <c r="R14" s="701" t="s">
        <v>14</v>
      </c>
      <c r="S14" s="702">
        <f t="shared" si="0"/>
        <v>100</v>
      </c>
      <c r="T14" s="701" t="s">
        <v>14</v>
      </c>
      <c r="U14" s="702">
        <f t="shared" si="1"/>
        <v>100</v>
      </c>
      <c r="V14" s="701" t="s">
        <v>14</v>
      </c>
      <c r="W14" s="702">
        <f t="shared" si="2"/>
        <v>100</v>
      </c>
      <c r="X14" s="703"/>
      <c r="Y14" s="3616"/>
      <c r="Z14" s="52">
        <f t="shared" si="7"/>
        <v>111</v>
      </c>
      <c r="AA14" s="704">
        <f t="shared" si="3"/>
        <v>1</v>
      </c>
      <c r="AB14" s="704">
        <f t="shared" si="4"/>
        <v>1</v>
      </c>
      <c r="AC14" s="1959">
        <f t="shared" si="5"/>
        <v>1</v>
      </c>
    </row>
    <row r="15" spans="1:29" ht="15">
      <c r="A15" s="391" t="s">
        <v>1690</v>
      </c>
      <c r="B15" s="577" t="s">
        <v>1811</v>
      </c>
      <c r="C15" s="1961">
        <f>估价对象房地状况!C5</f>
        <v>0</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32" t="s">
        <v>1691</v>
      </c>
      <c r="Q15" s="1352" t="str">
        <f t="shared" si="6"/>
        <v>办公集聚程度</v>
      </c>
      <c r="R15" s="705" t="s">
        <v>14</v>
      </c>
      <c r="S15" s="706">
        <f t="shared" si="0"/>
        <v>100</v>
      </c>
      <c r="T15" s="705" t="s">
        <v>14</v>
      </c>
      <c r="U15" s="706">
        <f t="shared" si="1"/>
        <v>100</v>
      </c>
      <c r="V15" s="705" t="s">
        <v>14</v>
      </c>
      <c r="W15" s="706">
        <f t="shared" si="2"/>
        <v>100</v>
      </c>
      <c r="X15" s="1355"/>
      <c r="Y15" s="3725"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33"/>
      <c r="Q16" s="1352"/>
      <c r="R16" s="705"/>
      <c r="S16" s="706"/>
      <c r="T16" s="705"/>
      <c r="U16" s="706"/>
      <c r="V16" s="705"/>
      <c r="W16" s="706"/>
      <c r="X16" s="1355"/>
      <c r="Y16" s="3726"/>
      <c r="Z16" s="1356"/>
      <c r="AA16" s="1353">
        <v>1</v>
      </c>
      <c r="AB16" s="1353">
        <v>1</v>
      </c>
      <c r="AC16" s="1962">
        <v>1</v>
      </c>
    </row>
    <row r="17" spans="1:29" ht="15">
      <c r="A17" s="379"/>
      <c r="B17" s="579" t="s">
        <v>1259</v>
      </c>
      <c r="C17" s="1963">
        <f>估价对象房地状况!C6</f>
        <v>0</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33"/>
      <c r="Q17" s="1352" t="str">
        <f>B17</f>
        <v>交通便捷度</v>
      </c>
      <c r="R17" s="705" t="s">
        <v>14</v>
      </c>
      <c r="S17" s="706">
        <f>F17</f>
        <v>100</v>
      </c>
      <c r="T17" s="705" t="s">
        <v>14</v>
      </c>
      <c r="U17" s="706">
        <f>H17</f>
        <v>100</v>
      </c>
      <c r="V17" s="705" t="s">
        <v>14</v>
      </c>
      <c r="W17" s="706">
        <f>J17</f>
        <v>100</v>
      </c>
      <c r="X17" s="1355"/>
      <c r="Y17" s="3726"/>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33"/>
      <c r="Q18" s="1352"/>
      <c r="R18" s="705"/>
      <c r="S18" s="706"/>
      <c r="T18" s="705"/>
      <c r="U18" s="706"/>
      <c r="V18" s="705"/>
      <c r="W18" s="706"/>
      <c r="X18" s="1355"/>
      <c r="Y18" s="3726"/>
      <c r="Z18" s="1356"/>
      <c r="AA18" s="1353">
        <v>1</v>
      </c>
      <c r="AB18" s="1353">
        <v>1</v>
      </c>
      <c r="AC18" s="1962">
        <v>1</v>
      </c>
    </row>
    <row r="19" spans="1:29" ht="15">
      <c r="A19" s="379"/>
      <c r="B19" s="579" t="s">
        <v>1812</v>
      </c>
      <c r="C19" s="1963">
        <f>估价对象房地状况!C7</f>
        <v>0</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33"/>
      <c r="Q19" s="1352" t="str">
        <f>B19</f>
        <v>公共配套设施</v>
      </c>
      <c r="R19" s="705" t="s">
        <v>14</v>
      </c>
      <c r="S19" s="706">
        <f>F19</f>
        <v>100</v>
      </c>
      <c r="T19" s="705" t="s">
        <v>14</v>
      </c>
      <c r="U19" s="706">
        <f>H19</f>
        <v>100</v>
      </c>
      <c r="V19" s="705" t="s">
        <v>14</v>
      </c>
      <c r="W19" s="706">
        <f>J19</f>
        <v>100</v>
      </c>
      <c r="X19" s="1355"/>
      <c r="Y19" s="3726"/>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33"/>
      <c r="Q20" s="1352"/>
      <c r="R20" s="705"/>
      <c r="S20" s="706"/>
      <c r="T20" s="705"/>
      <c r="U20" s="706"/>
      <c r="V20" s="705"/>
      <c r="W20" s="706"/>
      <c r="X20" s="1355"/>
      <c r="Y20" s="3726"/>
      <c r="Z20" s="1356"/>
      <c r="AA20" s="1353">
        <v>1</v>
      </c>
      <c r="AB20" s="1353">
        <v>1</v>
      </c>
      <c r="AC20" s="1962">
        <v>1</v>
      </c>
    </row>
    <row r="21" spans="1:29" ht="15">
      <c r="A21" s="379"/>
      <c r="B21" s="581" t="s">
        <v>1813</v>
      </c>
      <c r="C21" s="1963">
        <f>估价对象房地状况!C8</f>
        <v>0</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33"/>
      <c r="Q21" s="1352" t="str">
        <f>B21</f>
        <v>基础设施水平</v>
      </c>
      <c r="R21" s="705" t="s">
        <v>14</v>
      </c>
      <c r="S21" s="706">
        <f>F21</f>
        <v>100</v>
      </c>
      <c r="T21" s="705" t="s">
        <v>14</v>
      </c>
      <c r="U21" s="706">
        <f>H21</f>
        <v>100</v>
      </c>
      <c r="V21" s="705" t="s">
        <v>14</v>
      </c>
      <c r="W21" s="706">
        <f>J21</f>
        <v>100</v>
      </c>
      <c r="X21" s="1355"/>
      <c r="Y21" s="3726"/>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33"/>
      <c r="Q22" s="1352"/>
      <c r="R22" s="705"/>
      <c r="S22" s="706"/>
      <c r="T22" s="705"/>
      <c r="U22" s="706"/>
      <c r="V22" s="705"/>
      <c r="W22" s="706"/>
      <c r="X22" s="1355"/>
      <c r="Y22" s="3726"/>
      <c r="Z22" s="1356"/>
      <c r="AA22" s="1353">
        <v>1</v>
      </c>
      <c r="AB22" s="1353">
        <v>1</v>
      </c>
      <c r="AC22" s="1962">
        <v>1</v>
      </c>
    </row>
    <row r="23" spans="1:29" ht="15">
      <c r="A23" s="379"/>
      <c r="B23" s="579" t="s">
        <v>1814</v>
      </c>
      <c r="C23" s="1963">
        <f>估价对象房地状况!C9</f>
        <v>0</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33"/>
      <c r="Q23" s="1352" t="str">
        <f>B23</f>
        <v>环境质量</v>
      </c>
      <c r="R23" s="705" t="s">
        <v>14</v>
      </c>
      <c r="S23" s="706">
        <f>F23</f>
        <v>100</v>
      </c>
      <c r="T23" s="705" t="s">
        <v>14</v>
      </c>
      <c r="U23" s="706">
        <f>H23</f>
        <v>100</v>
      </c>
      <c r="V23" s="705" t="s">
        <v>14</v>
      </c>
      <c r="W23" s="706">
        <f>J23</f>
        <v>100</v>
      </c>
      <c r="X23" s="1355"/>
      <c r="Y23" s="3726"/>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33"/>
      <c r="Q24" s="1352"/>
      <c r="R24" s="705"/>
      <c r="S24" s="706"/>
      <c r="T24" s="705"/>
      <c r="U24" s="706"/>
      <c r="V24" s="705"/>
      <c r="W24" s="706"/>
      <c r="X24" s="1355"/>
      <c r="Y24" s="3726"/>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33"/>
      <c r="Q25" s="1352" t="str">
        <f>B25</f>
        <v>毗邻道路的类型与等级</v>
      </c>
      <c r="R25" s="705" t="s">
        <v>14</v>
      </c>
      <c r="S25" s="706">
        <f>F25</f>
        <v>100</v>
      </c>
      <c r="T25" s="705" t="s">
        <v>14</v>
      </c>
      <c r="U25" s="706">
        <f>H25</f>
        <v>100</v>
      </c>
      <c r="V25" s="705" t="s">
        <v>14</v>
      </c>
      <c r="W25" s="706">
        <f>J25</f>
        <v>100</v>
      </c>
      <c r="X25" s="1355"/>
      <c r="Y25" s="3726"/>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33"/>
      <c r="Q26" s="1352"/>
      <c r="R26" s="705"/>
      <c r="S26" s="706"/>
      <c r="T26" s="705"/>
      <c r="U26" s="706"/>
      <c r="V26" s="705"/>
      <c r="W26" s="706"/>
      <c r="X26" s="1355"/>
      <c r="Y26" s="3726"/>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33"/>
      <c r="Q27" s="1352" t="str">
        <f t="shared" ref="Q27:Q47" si="11">B27</f>
        <v>楼层</v>
      </c>
      <c r="R27" s="705" t="s">
        <v>14</v>
      </c>
      <c r="S27" s="706">
        <f>F27</f>
        <v>100</v>
      </c>
      <c r="T27" s="705" t="s">
        <v>14</v>
      </c>
      <c r="U27" s="706">
        <f>H27</f>
        <v>100</v>
      </c>
      <c r="V27" s="705" t="s">
        <v>14</v>
      </c>
      <c r="W27" s="706">
        <f>J27</f>
        <v>100</v>
      </c>
      <c r="X27" s="1355"/>
      <c r="Y27" s="3726"/>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33"/>
      <c r="Q28" s="1343" t="str">
        <f t="shared" si="11"/>
        <v>朝向</v>
      </c>
      <c r="R28" s="701" t="s">
        <v>14</v>
      </c>
      <c r="S28" s="702">
        <f>F28</f>
        <v>100</v>
      </c>
      <c r="T28" s="701" t="s">
        <v>14</v>
      </c>
      <c r="U28" s="702">
        <f>H28</f>
        <v>100</v>
      </c>
      <c r="V28" s="701" t="s">
        <v>14</v>
      </c>
      <c r="W28" s="702">
        <f>J28</f>
        <v>100</v>
      </c>
      <c r="X28" s="703"/>
      <c r="Y28" s="3726"/>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33"/>
      <c r="Q29" s="1352">
        <f t="shared" si="11"/>
        <v>111</v>
      </c>
      <c r="R29" s="705" t="s">
        <v>14</v>
      </c>
      <c r="S29" s="706">
        <f t="shared" ref="S29:S47" si="12">F29</f>
        <v>100</v>
      </c>
      <c r="T29" s="705" t="s">
        <v>14</v>
      </c>
      <c r="U29" s="706">
        <f t="shared" ref="U29:U47" si="13">H29</f>
        <v>100</v>
      </c>
      <c r="V29" s="705" t="s">
        <v>14</v>
      </c>
      <c r="W29" s="706">
        <f t="shared" ref="W29:W47" si="14">J29</f>
        <v>100</v>
      </c>
      <c r="X29" s="1355"/>
      <c r="Y29" s="3726"/>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33"/>
      <c r="Q30" s="1352">
        <f t="shared" si="11"/>
        <v>111</v>
      </c>
      <c r="R30" s="705" t="s">
        <v>14</v>
      </c>
      <c r="S30" s="706">
        <f t="shared" si="12"/>
        <v>100</v>
      </c>
      <c r="T30" s="705" t="s">
        <v>14</v>
      </c>
      <c r="U30" s="706">
        <f t="shared" si="13"/>
        <v>100</v>
      </c>
      <c r="V30" s="705" t="s">
        <v>14</v>
      </c>
      <c r="W30" s="706">
        <f t="shared" si="14"/>
        <v>100</v>
      </c>
      <c r="X30" s="1355"/>
      <c r="Y30" s="3726"/>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33"/>
      <c r="Q31" s="1352">
        <f t="shared" si="11"/>
        <v>111</v>
      </c>
      <c r="R31" s="705" t="s">
        <v>14</v>
      </c>
      <c r="S31" s="706">
        <f t="shared" si="12"/>
        <v>100</v>
      </c>
      <c r="T31" s="705" t="s">
        <v>14</v>
      </c>
      <c r="U31" s="706">
        <f t="shared" si="13"/>
        <v>100</v>
      </c>
      <c r="V31" s="705" t="s">
        <v>14</v>
      </c>
      <c r="W31" s="706">
        <f t="shared" si="14"/>
        <v>100</v>
      </c>
      <c r="X31" s="1355"/>
      <c r="Y31" s="3726"/>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33"/>
      <c r="Q32" s="1352">
        <f t="shared" si="11"/>
        <v>111</v>
      </c>
      <c r="R32" s="705" t="s">
        <v>14</v>
      </c>
      <c r="S32" s="706">
        <f t="shared" si="12"/>
        <v>100</v>
      </c>
      <c r="T32" s="705" t="s">
        <v>14</v>
      </c>
      <c r="U32" s="706">
        <f t="shared" si="13"/>
        <v>100</v>
      </c>
      <c r="V32" s="705" t="s">
        <v>14</v>
      </c>
      <c r="W32" s="706">
        <f t="shared" si="14"/>
        <v>100</v>
      </c>
      <c r="X32" s="1355"/>
      <c r="Y32" s="3726"/>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27" t="s">
        <v>1696</v>
      </c>
      <c r="Q33" s="1352" t="str">
        <f t="shared" si="11"/>
        <v>建筑类型</v>
      </c>
      <c r="R33" s="705" t="s">
        <v>14</v>
      </c>
      <c r="S33" s="706">
        <f t="shared" si="12"/>
        <v>100</v>
      </c>
      <c r="T33" s="705" t="s">
        <v>14</v>
      </c>
      <c r="U33" s="706">
        <f t="shared" si="13"/>
        <v>100</v>
      </c>
      <c r="V33" s="705" t="s">
        <v>14</v>
      </c>
      <c r="W33" s="706">
        <f t="shared" si="14"/>
        <v>100</v>
      </c>
      <c r="X33" s="1355"/>
      <c r="Y33" s="3730"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28"/>
      <c r="Q34" s="707" t="str">
        <f t="shared" si="11"/>
        <v>项目建筑规模</v>
      </c>
      <c r="R34" s="708" t="s">
        <v>14</v>
      </c>
      <c r="S34" s="709" t="e">
        <f t="shared" si="12"/>
        <v>#N/A</v>
      </c>
      <c r="T34" s="708" t="s">
        <v>14</v>
      </c>
      <c r="U34" s="709" t="e">
        <f t="shared" si="13"/>
        <v>#N/A</v>
      </c>
      <c r="V34" s="708" t="s">
        <v>14</v>
      </c>
      <c r="W34" s="709" t="e">
        <f t="shared" si="14"/>
        <v>#N/A</v>
      </c>
      <c r="X34" s="710"/>
      <c r="Y34" s="3730"/>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28"/>
      <c r="Q35" s="1352" t="str">
        <f t="shared" si="11"/>
        <v>建筑结构</v>
      </c>
      <c r="R35" s="705" t="s">
        <v>14</v>
      </c>
      <c r="S35" s="706">
        <f t="shared" si="12"/>
        <v>100</v>
      </c>
      <c r="T35" s="705" t="s">
        <v>14</v>
      </c>
      <c r="U35" s="706">
        <f t="shared" si="13"/>
        <v>100</v>
      </c>
      <c r="V35" s="705" t="s">
        <v>14</v>
      </c>
      <c r="W35" s="706">
        <f t="shared" si="14"/>
        <v>100</v>
      </c>
      <c r="X35" s="1355"/>
      <c r="Y35" s="3730"/>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28"/>
      <c r="Q36" s="1352" t="str">
        <f t="shared" si="11"/>
        <v>公共部分装修</v>
      </c>
      <c r="R36" s="705" t="s">
        <v>14</v>
      </c>
      <c r="S36" s="706">
        <f t="shared" si="12"/>
        <v>100</v>
      </c>
      <c r="T36" s="705" t="s">
        <v>14</v>
      </c>
      <c r="U36" s="706">
        <f t="shared" si="13"/>
        <v>100</v>
      </c>
      <c r="V36" s="705" t="s">
        <v>14</v>
      </c>
      <c r="W36" s="706">
        <f t="shared" si="14"/>
        <v>100</v>
      </c>
      <c r="X36" s="1355"/>
      <c r="Y36" s="3730"/>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28"/>
      <c r="Q37" s="1352" t="str">
        <f t="shared" si="11"/>
        <v>成新度</v>
      </c>
      <c r="R37" s="705" t="s">
        <v>14</v>
      </c>
      <c r="S37" s="706" t="e">
        <f t="shared" si="12"/>
        <v>#N/A</v>
      </c>
      <c r="T37" s="705" t="s">
        <v>14</v>
      </c>
      <c r="U37" s="706" t="e">
        <f t="shared" si="13"/>
        <v>#N/A</v>
      </c>
      <c r="V37" s="705" t="s">
        <v>14</v>
      </c>
      <c r="W37" s="706" t="e">
        <f t="shared" si="14"/>
        <v>#N/A</v>
      </c>
      <c r="X37" s="1355"/>
      <c r="Y37" s="3730"/>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28"/>
      <c r="Q38" s="1343" t="str">
        <f t="shared" si="11"/>
        <v>写字楼等级</v>
      </c>
      <c r="R38" s="701" t="s">
        <v>14</v>
      </c>
      <c r="S38" s="702">
        <f t="shared" si="12"/>
        <v>100</v>
      </c>
      <c r="T38" s="701" t="s">
        <v>14</v>
      </c>
      <c r="U38" s="702">
        <f t="shared" si="13"/>
        <v>100</v>
      </c>
      <c r="V38" s="701" t="s">
        <v>14</v>
      </c>
      <c r="W38" s="702">
        <f t="shared" si="14"/>
        <v>100</v>
      </c>
      <c r="X38" s="703"/>
      <c r="Y38" s="3730"/>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28" t="s">
        <v>1696</v>
      </c>
      <c r="Q39" s="1352" t="str">
        <f t="shared" si="11"/>
        <v>物业管理</v>
      </c>
      <c r="R39" s="705" t="s">
        <v>14</v>
      </c>
      <c r="S39" s="706">
        <f t="shared" si="12"/>
        <v>100</v>
      </c>
      <c r="T39" s="705" t="s">
        <v>14</v>
      </c>
      <c r="U39" s="706">
        <f t="shared" si="13"/>
        <v>100</v>
      </c>
      <c r="V39" s="705" t="s">
        <v>14</v>
      </c>
      <c r="W39" s="706">
        <f t="shared" si="14"/>
        <v>100</v>
      </c>
      <c r="X39" s="1355"/>
      <c r="Y39" s="3730"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28"/>
      <c r="Q40" s="1352" t="str">
        <f t="shared" si="11"/>
        <v>市政基础设施</v>
      </c>
      <c r="R40" s="705" t="s">
        <v>14</v>
      </c>
      <c r="S40" s="706">
        <f t="shared" si="12"/>
        <v>100</v>
      </c>
      <c r="T40" s="705" t="s">
        <v>14</v>
      </c>
      <c r="U40" s="706">
        <f t="shared" si="13"/>
        <v>100</v>
      </c>
      <c r="V40" s="705" t="s">
        <v>14</v>
      </c>
      <c r="W40" s="706">
        <f t="shared" si="14"/>
        <v>100</v>
      </c>
      <c r="X40" s="1355"/>
      <c r="Y40" s="3730"/>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28"/>
      <c r="Q41" s="1352" t="str">
        <f t="shared" si="11"/>
        <v>层高</v>
      </c>
      <c r="R41" s="705" t="s">
        <v>14</v>
      </c>
      <c r="S41" s="706">
        <f t="shared" si="12"/>
        <v>100</v>
      </c>
      <c r="T41" s="705" t="s">
        <v>14</v>
      </c>
      <c r="U41" s="706">
        <f t="shared" si="13"/>
        <v>100</v>
      </c>
      <c r="V41" s="705" t="s">
        <v>14</v>
      </c>
      <c r="W41" s="706">
        <f t="shared" si="14"/>
        <v>100</v>
      </c>
      <c r="X41" s="1355"/>
      <c r="Y41" s="3730"/>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28"/>
      <c r="Q42" s="707" t="str">
        <f t="shared" si="11"/>
        <v>单套建筑面积</v>
      </c>
      <c r="R42" s="708" t="s">
        <v>14</v>
      </c>
      <c r="S42" s="709">
        <f t="shared" si="12"/>
        <v>100</v>
      </c>
      <c r="T42" s="708" t="s">
        <v>14</v>
      </c>
      <c r="U42" s="709">
        <f t="shared" si="13"/>
        <v>100</v>
      </c>
      <c r="V42" s="708" t="s">
        <v>14</v>
      </c>
      <c r="W42" s="709">
        <f t="shared" si="14"/>
        <v>100</v>
      </c>
      <c r="X42" s="710"/>
      <c r="Y42" s="3730"/>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28"/>
      <c r="Q43" s="1352" t="str">
        <f t="shared" si="11"/>
        <v>内部装修</v>
      </c>
      <c r="R43" s="705" t="s">
        <v>14</v>
      </c>
      <c r="S43" s="706">
        <f t="shared" si="12"/>
        <v>100</v>
      </c>
      <c r="T43" s="705" t="s">
        <v>14</v>
      </c>
      <c r="U43" s="706">
        <f t="shared" si="13"/>
        <v>100</v>
      </c>
      <c r="V43" s="705" t="s">
        <v>14</v>
      </c>
      <c r="W43" s="706">
        <f t="shared" si="14"/>
        <v>100</v>
      </c>
      <c r="X43" s="1355"/>
      <c r="Y43" s="3730"/>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28"/>
      <c r="Q44" s="1352" t="str">
        <f t="shared" si="11"/>
        <v>内部装修维护情况</v>
      </c>
      <c r="R44" s="705" t="s">
        <v>14</v>
      </c>
      <c r="S44" s="706">
        <f t="shared" si="12"/>
        <v>100</v>
      </c>
      <c r="T44" s="705" t="s">
        <v>14</v>
      </c>
      <c r="U44" s="706">
        <f t="shared" si="13"/>
        <v>100</v>
      </c>
      <c r="V44" s="705" t="s">
        <v>14</v>
      </c>
      <c r="W44" s="706">
        <f t="shared" si="14"/>
        <v>100</v>
      </c>
      <c r="X44" s="1355"/>
      <c r="Y44" s="3730"/>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28"/>
      <c r="Q45" s="1343">
        <f t="shared" si="11"/>
        <v>111</v>
      </c>
      <c r="R45" s="701" t="s">
        <v>14</v>
      </c>
      <c r="S45" s="702">
        <f t="shared" si="12"/>
        <v>100</v>
      </c>
      <c r="T45" s="701" t="s">
        <v>14</v>
      </c>
      <c r="U45" s="702">
        <f t="shared" si="13"/>
        <v>100</v>
      </c>
      <c r="V45" s="701" t="s">
        <v>14</v>
      </c>
      <c r="W45" s="702">
        <f t="shared" si="14"/>
        <v>100</v>
      </c>
      <c r="X45" s="703"/>
      <c r="Y45" s="3730"/>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28"/>
      <c r="Q46" s="1352">
        <f t="shared" si="11"/>
        <v>111</v>
      </c>
      <c r="R46" s="705" t="s">
        <v>14</v>
      </c>
      <c r="S46" s="706">
        <f t="shared" si="12"/>
        <v>100</v>
      </c>
      <c r="T46" s="705" t="s">
        <v>14</v>
      </c>
      <c r="U46" s="706">
        <f t="shared" si="13"/>
        <v>100</v>
      </c>
      <c r="V46" s="705" t="s">
        <v>14</v>
      </c>
      <c r="W46" s="706">
        <f t="shared" si="14"/>
        <v>100</v>
      </c>
      <c r="X46" s="1355"/>
      <c r="Y46" s="3730"/>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29"/>
      <c r="Q47" s="1352">
        <f t="shared" si="11"/>
        <v>111</v>
      </c>
      <c r="R47" s="705" t="s">
        <v>14</v>
      </c>
      <c r="S47" s="706">
        <f t="shared" si="12"/>
        <v>100</v>
      </c>
      <c r="T47" s="705" t="s">
        <v>14</v>
      </c>
      <c r="U47" s="706">
        <f t="shared" si="13"/>
        <v>100</v>
      </c>
      <c r="V47" s="705" t="s">
        <v>14</v>
      </c>
      <c r="W47" s="706">
        <f t="shared" si="14"/>
        <v>100</v>
      </c>
      <c r="X47" s="1355"/>
      <c r="Y47" s="3731"/>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705" t="str">
        <f>A48</f>
        <v>成交单价（元/平方米）</v>
      </c>
      <c r="Q48" s="3723"/>
      <c r="R48" s="3724">
        <f>E48</f>
        <v>0</v>
      </c>
      <c r="S48" s="3724"/>
      <c r="T48" s="3724">
        <f>G48</f>
        <v>0</v>
      </c>
      <c r="U48" s="3724"/>
      <c r="V48" s="3724">
        <f>I48</f>
        <v>0</v>
      </c>
      <c r="W48" s="3724"/>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05" t="str">
        <f>A49</f>
        <v>比较价值（元/平方米）</v>
      </c>
      <c r="Q49" s="3723"/>
      <c r="R49" s="3724" t="e">
        <f>IF(F1="售价",ROUND(PRODUCT(R48,AA7:AA47),0),ROUND(PRODUCT(R48,AA7:AA47),1))</f>
        <v>#DIV/0!</v>
      </c>
      <c r="S49" s="3724"/>
      <c r="T49" s="3724" t="e">
        <f>IF(F1="售价",ROUND(PRODUCT(T48,AB7:AB47),0),ROUND(PRODUCT(T48,AB7:AB47),1))</f>
        <v>#DIV/0!</v>
      </c>
      <c r="U49" s="3724"/>
      <c r="V49" s="3724" t="e">
        <f>IF(F1="售价",ROUND(PRODUCT(V48,AC7:AC47),0),ROUND(PRODUCT(V48,AC7:AC47),1))</f>
        <v>#DIV/0!</v>
      </c>
      <c r="W49" s="3724"/>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46" t="str">
        <f>A50</f>
        <v>估价对象XX用房的比较价值（楼面单价，元/平方米）</v>
      </c>
      <c r="Q50" s="3747"/>
      <c r="R50" s="3748" t="e">
        <f>IF(F1="售价",ROUND(IF(D49="简单平均",AVERAGE(R49:V49),R49*F49+T49*H49+V49*J49),0),ROUND(IF(D49="简单平均",AVERAGE(R49:V49),R49*F49+T49*H49+V49*J49),1))</f>
        <v>#DIV/0!</v>
      </c>
      <c r="S50" s="3748"/>
      <c r="T50" s="3748"/>
      <c r="U50" s="3748"/>
      <c r="V50" s="3748"/>
      <c r="W50" s="3748"/>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2022-12</v>
      </c>
      <c r="D59" s="1185">
        <f>EDATE(C59,-1)</f>
        <v>44866</v>
      </c>
      <c r="E59" s="1185">
        <f>EDATE(D59,-1)</f>
        <v>44835</v>
      </c>
      <c r="F59" s="1185">
        <f t="shared" ref="F59:O59" si="16">EDATE(E59,-1)</f>
        <v>44805</v>
      </c>
      <c r="G59" s="1185">
        <f t="shared" si="16"/>
        <v>44774</v>
      </c>
      <c r="H59" s="1185">
        <f t="shared" si="16"/>
        <v>44743</v>
      </c>
      <c r="I59" s="1185">
        <f t="shared" si="16"/>
        <v>44713</v>
      </c>
      <c r="J59" s="1185">
        <f t="shared" si="16"/>
        <v>44682</v>
      </c>
      <c r="K59" s="1185">
        <f t="shared" si="16"/>
        <v>44652</v>
      </c>
      <c r="L59" s="1185">
        <f t="shared" si="16"/>
        <v>44621</v>
      </c>
      <c r="M59" s="1185">
        <f t="shared" si="16"/>
        <v>44593</v>
      </c>
      <c r="N59" s="1185">
        <f t="shared" si="16"/>
        <v>44562</v>
      </c>
      <c r="O59" s="1185">
        <f t="shared" si="16"/>
        <v>44531</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估价对象为北京市房地产，为所有。根据《国有土地使用证》[]，估价对象（分摊）出让国有建设用地使用权面积为74231.63平方米，建筑面积为25739.82平方米。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估价对象为北京市房地产,为开发建设的，该项目尚在开发建设中。根据《国有土地使用证》[]，估价对象（分摊）出让国有建设用地使用权面积为74231.63平方米，规划建筑面积为25739.82平方米。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2022年12月21日（评估专业人员实地查勘之日）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2022年12月21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95" sqref="P95"/>
    </sheetView>
  </sheetViews>
  <sheetFormatPr defaultColWidth="9" defaultRowHeight="14.25"/>
  <cols>
    <col min="1" max="1" width="10.5" style="357" customWidth="1"/>
    <col min="2" max="2" width="15.625" style="357" customWidth="1"/>
    <col min="3" max="3" width="14.375" style="357" customWidth="1"/>
    <col min="4" max="4" width="12.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357"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5"/>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25739.82</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06" t="s">
        <v>1770</v>
      </c>
      <c r="D4" s="3707"/>
      <c r="E4" s="3708" t="s">
        <v>1771</v>
      </c>
      <c r="F4" s="3709"/>
      <c r="G4" s="3706" t="s">
        <v>1772</v>
      </c>
      <c r="H4" s="3707"/>
      <c r="I4" s="3706" t="s">
        <v>1773</v>
      </c>
      <c r="J4" s="3707"/>
      <c r="K4" s="559" t="s">
        <v>1774</v>
      </c>
      <c r="L4" s="913"/>
      <c r="M4" s="914"/>
      <c r="N4" s="914"/>
      <c r="O4" s="914"/>
      <c r="P4" s="3710" t="s">
        <v>1775</v>
      </c>
      <c r="Q4" s="3711"/>
      <c r="R4" s="3693" t="s">
        <v>1771</v>
      </c>
      <c r="S4" s="3694"/>
      <c r="T4" s="3693" t="s">
        <v>1772</v>
      </c>
      <c r="U4" s="3694"/>
      <c r="V4" s="3718" t="s">
        <v>1773</v>
      </c>
      <c r="W4" s="3718"/>
      <c r="X4" s="1355"/>
      <c r="Y4" s="3693" t="s">
        <v>1775</v>
      </c>
      <c r="Z4" s="3694"/>
      <c r="AA4" s="3688" t="s">
        <v>1771</v>
      </c>
      <c r="AB4" s="3689" t="s">
        <v>1772</v>
      </c>
      <c r="AC4" s="3688" t="s">
        <v>1773</v>
      </c>
    </row>
    <row r="5" spans="1:29" ht="15">
      <c r="A5" s="358"/>
      <c r="B5" s="359"/>
      <c r="C5" s="3699" t="s">
        <v>1673</v>
      </c>
      <c r="D5" s="3700"/>
      <c r="E5" s="3697" t="s">
        <v>1674</v>
      </c>
      <c r="F5" s="3698"/>
      <c r="G5" s="3699" t="s">
        <v>1675</v>
      </c>
      <c r="H5" s="3700"/>
      <c r="I5" s="3699" t="s">
        <v>1676</v>
      </c>
      <c r="J5" s="3700"/>
      <c r="K5" s="559"/>
      <c r="L5" s="913"/>
      <c r="M5" s="914"/>
      <c r="N5" s="914"/>
      <c r="O5" s="914"/>
      <c r="P5" s="3712"/>
      <c r="Q5" s="3713"/>
      <c r="R5" s="3695"/>
      <c r="S5" s="3696"/>
      <c r="T5" s="3695"/>
      <c r="U5" s="3696"/>
      <c r="V5" s="3718"/>
      <c r="W5" s="3718"/>
      <c r="X5" s="1355"/>
      <c r="Y5" s="3695"/>
      <c r="Z5" s="3696"/>
      <c r="AA5" s="3689"/>
      <c r="AB5" s="3689"/>
      <c r="AC5" s="3689"/>
    </row>
    <row r="6" spans="1:29" ht="15.75" thickBot="1">
      <c r="A6" s="360"/>
      <c r="B6" s="361"/>
      <c r="C6" s="3701" t="s">
        <v>1677</v>
      </c>
      <c r="D6" s="3702"/>
      <c r="E6" s="3703" t="s">
        <v>1677</v>
      </c>
      <c r="F6" s="3704"/>
      <c r="G6" s="3701" t="s">
        <v>1677</v>
      </c>
      <c r="H6" s="3702"/>
      <c r="I6" s="3701" t="s">
        <v>1677</v>
      </c>
      <c r="J6" s="3702"/>
      <c r="K6" s="559" t="s">
        <v>1678</v>
      </c>
      <c r="L6" s="913"/>
      <c r="M6" s="914"/>
      <c r="N6" s="914"/>
      <c r="O6" s="914"/>
      <c r="P6" s="3714"/>
      <c r="Q6" s="3715"/>
      <c r="R6" s="3695"/>
      <c r="S6" s="3696"/>
      <c r="T6" s="3716"/>
      <c r="U6" s="3717"/>
      <c r="V6" s="3718"/>
      <c r="W6" s="3718"/>
      <c r="X6" s="1355"/>
      <c r="Y6" s="3716"/>
      <c r="Z6" s="3717"/>
      <c r="AA6" s="3690"/>
      <c r="AB6" s="3690"/>
      <c r="AC6" s="3690"/>
    </row>
    <row r="7" spans="1:29" s="108" customFormat="1" ht="15.75" thickBot="1">
      <c r="A7" s="362" t="s">
        <v>1679</v>
      </c>
      <c r="B7" s="363"/>
      <c r="C7" s="364">
        <f>'数据-取费表'!B2</f>
        <v>44916</v>
      </c>
      <c r="D7" s="365">
        <v>100</v>
      </c>
      <c r="E7" s="366"/>
      <c r="F7" s="367">
        <f>SUMIF(52:52,YEAR(E7)&amp;"-"&amp;MONTH(E7),53:53)</f>
        <v>0</v>
      </c>
      <c r="G7" s="366"/>
      <c r="H7" s="365">
        <f>SUMIF(52:52,YEAR(G7)&amp;"-"&amp;MONTH(G7),53:53)</f>
        <v>0</v>
      </c>
      <c r="I7" s="366"/>
      <c r="J7" s="365">
        <f>SUMIF(52:52,YEAR(I7)&amp;"-"&amp;MONTH(I7),53:53)</f>
        <v>0</v>
      </c>
      <c r="K7" s="560"/>
      <c r="L7" s="915"/>
      <c r="M7" s="916"/>
      <c r="N7" s="916"/>
      <c r="O7" s="916"/>
      <c r="P7" s="3691" t="s">
        <v>1680</v>
      </c>
      <c r="Q7" s="3719"/>
      <c r="R7" s="701" t="s">
        <v>14</v>
      </c>
      <c r="S7" s="702">
        <f t="shared" ref="S7:S15" si="0">F7</f>
        <v>0</v>
      </c>
      <c r="T7" s="701" t="s">
        <v>14</v>
      </c>
      <c r="U7" s="702">
        <f t="shared" ref="U7:U15" si="1">H7</f>
        <v>0</v>
      </c>
      <c r="V7" s="701" t="s">
        <v>14</v>
      </c>
      <c r="W7" s="702">
        <f t="shared" ref="W7:W15" si="2">J7</f>
        <v>0</v>
      </c>
      <c r="X7" s="703"/>
      <c r="Y7" s="3691" t="s">
        <v>1680</v>
      </c>
      <c r="Z7" s="3692"/>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91" t="s">
        <v>1683</v>
      </c>
      <c r="Q8" s="3692"/>
      <c r="R8" s="701" t="s">
        <v>14</v>
      </c>
      <c r="S8" s="702">
        <f t="shared" si="0"/>
        <v>100</v>
      </c>
      <c r="T8" s="701" t="s">
        <v>14</v>
      </c>
      <c r="U8" s="702">
        <f t="shared" si="1"/>
        <v>100</v>
      </c>
      <c r="V8" s="701" t="s">
        <v>14</v>
      </c>
      <c r="W8" s="702">
        <f t="shared" si="2"/>
        <v>100</v>
      </c>
      <c r="X8" s="703"/>
      <c r="Y8" s="3691" t="s">
        <v>1683</v>
      </c>
      <c r="Z8" s="3692"/>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23"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704">
        <f t="shared" si="5"/>
        <v>1</v>
      </c>
    </row>
    <row r="10" spans="1:29" s="378" customFormat="1" ht="27">
      <c r="A10" s="374"/>
      <c r="B10" s="375" t="s">
        <v>1688</v>
      </c>
      <c r="C10" s="3437"/>
      <c r="D10" s="127">
        <v>100</v>
      </c>
      <c r="E10" s="3437"/>
      <c r="F10" s="127">
        <f>SUMIF(59:59,E10,60:60)-SUMIF(59:59,C10,60:60)+100</f>
        <v>100</v>
      </c>
      <c r="G10" s="3438"/>
      <c r="H10" s="127">
        <f>SUMIF(59:59,G10,60:60)-SUMIF(59:59,C10,60:60)+100</f>
        <v>100</v>
      </c>
      <c r="I10" s="3437"/>
      <c r="J10" s="127">
        <f>SUMIF(59:59,I10,60:60)-SUMIF(59:59,C10,60:60)+100</f>
        <v>100</v>
      </c>
      <c r="K10" s="560"/>
      <c r="L10" s="918"/>
      <c r="M10" s="919"/>
      <c r="N10" s="919"/>
      <c r="O10" s="920"/>
      <c r="P10" s="3723"/>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23"/>
      <c r="Q11" s="1343" t="str">
        <f t="shared" si="6"/>
        <v>容积率</v>
      </c>
      <c r="R11" s="701" t="s">
        <v>14</v>
      </c>
      <c r="S11" s="702">
        <f t="shared" si="0"/>
        <v>100</v>
      </c>
      <c r="T11" s="701" t="s">
        <v>14</v>
      </c>
      <c r="U11" s="702">
        <f t="shared" si="1"/>
        <v>100</v>
      </c>
      <c r="V11" s="701" t="s">
        <v>14</v>
      </c>
      <c r="W11" s="702">
        <f t="shared" si="2"/>
        <v>100</v>
      </c>
      <c r="X11" s="703"/>
      <c r="Y11" s="3616"/>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23"/>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23"/>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23"/>
      <c r="Q14" s="1343">
        <f t="shared" si="6"/>
        <v>111</v>
      </c>
      <c r="R14" s="701" t="s">
        <v>14</v>
      </c>
      <c r="S14" s="702">
        <f t="shared" si="0"/>
        <v>100</v>
      </c>
      <c r="T14" s="701" t="s">
        <v>14</v>
      </c>
      <c r="U14" s="702">
        <f t="shared" si="1"/>
        <v>100</v>
      </c>
      <c r="V14" s="701" t="s">
        <v>14</v>
      </c>
      <c r="W14" s="702">
        <f t="shared" si="2"/>
        <v>100</v>
      </c>
      <c r="X14" s="703"/>
      <c r="Y14" s="3616"/>
      <c r="Z14" s="52">
        <f t="shared" si="7"/>
        <v>111</v>
      </c>
      <c r="AA14" s="704">
        <f t="shared" si="3"/>
        <v>1</v>
      </c>
      <c r="AB14" s="704">
        <f t="shared" si="4"/>
        <v>1</v>
      </c>
      <c r="AC14" s="704">
        <f t="shared" si="5"/>
        <v>1</v>
      </c>
    </row>
    <row r="15" spans="1:29" ht="15">
      <c r="A15" s="391" t="s">
        <v>1690</v>
      </c>
      <c r="B15" s="61" t="s">
        <v>1827</v>
      </c>
      <c r="C15" s="1971">
        <f>估价对象房地状况!G3</f>
        <v>0</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25" t="s">
        <v>1691</v>
      </c>
      <c r="Q15" s="1352" t="str">
        <f t="shared" si="6"/>
        <v>产业集聚程度</v>
      </c>
      <c r="R15" s="705" t="s">
        <v>14</v>
      </c>
      <c r="S15" s="706">
        <f t="shared" si="0"/>
        <v>100</v>
      </c>
      <c r="T15" s="705" t="s">
        <v>14</v>
      </c>
      <c r="U15" s="706">
        <f t="shared" si="1"/>
        <v>100</v>
      </c>
      <c r="V15" s="705" t="s">
        <v>14</v>
      </c>
      <c r="W15" s="706">
        <f t="shared" si="2"/>
        <v>100</v>
      </c>
      <c r="X15" s="1355"/>
      <c r="Y15" s="3725"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26"/>
      <c r="Q16" s="1352"/>
      <c r="R16" s="705"/>
      <c r="S16" s="706"/>
      <c r="T16" s="705"/>
      <c r="U16" s="706"/>
      <c r="V16" s="705"/>
      <c r="W16" s="706"/>
      <c r="X16" s="1355"/>
      <c r="Y16" s="3726"/>
      <c r="Z16" s="1356"/>
      <c r="AA16" s="1353">
        <v>1</v>
      </c>
      <c r="AB16" s="1353">
        <v>1</v>
      </c>
      <c r="AC16" s="1353">
        <v>1</v>
      </c>
    </row>
    <row r="17" spans="1:29" ht="15">
      <c r="A17" s="379"/>
      <c r="B17" s="402" t="s">
        <v>1259</v>
      </c>
      <c r="C17" s="1900">
        <f>估价对象房地状况!G4</f>
        <v>0</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26"/>
      <c r="Q17" s="1352" t="str">
        <f>B17</f>
        <v>交通便捷度</v>
      </c>
      <c r="R17" s="705" t="s">
        <v>14</v>
      </c>
      <c r="S17" s="706">
        <f>F17</f>
        <v>100</v>
      </c>
      <c r="T17" s="705" t="s">
        <v>14</v>
      </c>
      <c r="U17" s="706">
        <f>H17</f>
        <v>100</v>
      </c>
      <c r="V17" s="705" t="s">
        <v>14</v>
      </c>
      <c r="W17" s="706">
        <f>J17</f>
        <v>100</v>
      </c>
      <c r="X17" s="1355"/>
      <c r="Y17" s="3726"/>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26"/>
      <c r="Q18" s="1352"/>
      <c r="R18" s="705"/>
      <c r="S18" s="706"/>
      <c r="T18" s="705"/>
      <c r="U18" s="706"/>
      <c r="V18" s="705"/>
      <c r="W18" s="706"/>
      <c r="X18" s="1355"/>
      <c r="Y18" s="3726"/>
      <c r="Z18" s="1356"/>
      <c r="AA18" s="1353">
        <v>1</v>
      </c>
      <c r="AB18" s="1353">
        <v>1</v>
      </c>
      <c r="AC18" s="1353">
        <v>1</v>
      </c>
    </row>
    <row r="19" spans="1:29" ht="15">
      <c r="A19" s="379"/>
      <c r="B19" s="402" t="s">
        <v>1812</v>
      </c>
      <c r="C19" s="1900">
        <f>估价对象房地状况!G5</f>
        <v>0</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26"/>
      <c r="Q19" s="1352" t="str">
        <f>B19</f>
        <v>公共配套设施</v>
      </c>
      <c r="R19" s="705" t="s">
        <v>14</v>
      </c>
      <c r="S19" s="706">
        <f>F19</f>
        <v>100</v>
      </c>
      <c r="T19" s="705" t="s">
        <v>14</v>
      </c>
      <c r="U19" s="706">
        <f>H19</f>
        <v>100</v>
      </c>
      <c r="V19" s="705" t="s">
        <v>14</v>
      </c>
      <c r="W19" s="706">
        <f>J19</f>
        <v>100</v>
      </c>
      <c r="X19" s="1355"/>
      <c r="Y19" s="3726"/>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26"/>
      <c r="Q20" s="1352"/>
      <c r="R20" s="705"/>
      <c r="S20" s="706"/>
      <c r="T20" s="705"/>
      <c r="U20" s="706"/>
      <c r="V20" s="705"/>
      <c r="W20" s="706"/>
      <c r="X20" s="1355"/>
      <c r="Y20" s="3726"/>
      <c r="Z20" s="1356"/>
      <c r="AA20" s="1353">
        <v>1</v>
      </c>
      <c r="AB20" s="1353">
        <v>1</v>
      </c>
      <c r="AC20" s="1353">
        <v>1</v>
      </c>
    </row>
    <row r="21" spans="1:29" ht="15">
      <c r="A21" s="379"/>
      <c r="B21" s="1131" t="s">
        <v>1813</v>
      </c>
      <c r="C21" s="1900">
        <f>估价对象房地状况!G6</f>
        <v>0</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26"/>
      <c r="Q21" s="1352" t="str">
        <f>B21</f>
        <v>基础设施水平</v>
      </c>
      <c r="R21" s="705" t="s">
        <v>14</v>
      </c>
      <c r="S21" s="706">
        <f>F21</f>
        <v>100</v>
      </c>
      <c r="T21" s="705" t="s">
        <v>14</v>
      </c>
      <c r="U21" s="706">
        <f>H21</f>
        <v>100</v>
      </c>
      <c r="V21" s="705" t="s">
        <v>14</v>
      </c>
      <c r="W21" s="706">
        <f>J21</f>
        <v>100</v>
      </c>
      <c r="X21" s="1355"/>
      <c r="Y21" s="3726"/>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26"/>
      <c r="Q22" s="1352"/>
      <c r="R22" s="705"/>
      <c r="S22" s="706"/>
      <c r="T22" s="705"/>
      <c r="U22" s="706"/>
      <c r="V22" s="705"/>
      <c r="W22" s="706"/>
      <c r="X22" s="1355"/>
      <c r="Y22" s="3726"/>
      <c r="Z22" s="1356"/>
      <c r="AA22" s="1353">
        <v>1</v>
      </c>
      <c r="AB22" s="1353">
        <v>1</v>
      </c>
      <c r="AC22" s="1353">
        <v>1</v>
      </c>
    </row>
    <row r="23" spans="1:29" ht="15">
      <c r="A23" s="379"/>
      <c r="B23" s="402" t="s">
        <v>1814</v>
      </c>
      <c r="C23" s="1900">
        <f>估价对象房地状况!G7</f>
        <v>0</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26"/>
      <c r="Q23" s="1352" t="str">
        <f>B23</f>
        <v>环境质量</v>
      </c>
      <c r="R23" s="705" t="s">
        <v>14</v>
      </c>
      <c r="S23" s="706">
        <f>F23</f>
        <v>100</v>
      </c>
      <c r="T23" s="705" t="s">
        <v>14</v>
      </c>
      <c r="U23" s="706">
        <f>H23</f>
        <v>100</v>
      </c>
      <c r="V23" s="705" t="s">
        <v>14</v>
      </c>
      <c r="W23" s="706">
        <f>J23</f>
        <v>100</v>
      </c>
      <c r="X23" s="1355"/>
      <c r="Y23" s="3726"/>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26"/>
      <c r="Q24" s="1352"/>
      <c r="R24" s="705"/>
      <c r="S24" s="706"/>
      <c r="T24" s="705"/>
      <c r="U24" s="706"/>
      <c r="V24" s="705"/>
      <c r="W24" s="706"/>
      <c r="X24" s="1355"/>
      <c r="Y24" s="3726"/>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26"/>
      <c r="Q25" s="1352">
        <f>B25</f>
        <v>111</v>
      </c>
      <c r="R25" s="705" t="s">
        <v>14</v>
      </c>
      <c r="S25" s="706">
        <f>F25</f>
        <v>100</v>
      </c>
      <c r="T25" s="705" t="s">
        <v>14</v>
      </c>
      <c r="U25" s="706">
        <f>H25</f>
        <v>100</v>
      </c>
      <c r="V25" s="705" t="s">
        <v>14</v>
      </c>
      <c r="W25" s="706">
        <f>J25</f>
        <v>100</v>
      </c>
      <c r="X25" s="1355"/>
      <c r="Y25" s="3726"/>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26"/>
      <c r="Q26" s="1352">
        <f t="shared" ref="Q26:Q40" si="11">B26</f>
        <v>111</v>
      </c>
      <c r="R26" s="705" t="s">
        <v>14</v>
      </c>
      <c r="S26" s="706">
        <f>F26</f>
        <v>100</v>
      </c>
      <c r="T26" s="705" t="s">
        <v>14</v>
      </c>
      <c r="U26" s="706">
        <f>H26</f>
        <v>100</v>
      </c>
      <c r="V26" s="705" t="s">
        <v>14</v>
      </c>
      <c r="W26" s="706">
        <f>J26</f>
        <v>100</v>
      </c>
      <c r="X26" s="1355"/>
      <c r="Y26" s="3726"/>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26"/>
      <c r="Q27" s="1343">
        <f t="shared" si="11"/>
        <v>111</v>
      </c>
      <c r="R27" s="701" t="s">
        <v>14</v>
      </c>
      <c r="S27" s="702">
        <f>F27</f>
        <v>100</v>
      </c>
      <c r="T27" s="701" t="s">
        <v>14</v>
      </c>
      <c r="U27" s="702">
        <f>H27</f>
        <v>100</v>
      </c>
      <c r="V27" s="701" t="s">
        <v>14</v>
      </c>
      <c r="W27" s="702">
        <f>J27</f>
        <v>100</v>
      </c>
      <c r="X27" s="703"/>
      <c r="Y27" s="3726"/>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26"/>
      <c r="Q28" s="1352">
        <f t="shared" si="11"/>
        <v>111</v>
      </c>
      <c r="R28" s="705" t="s">
        <v>14</v>
      </c>
      <c r="S28" s="706">
        <f t="shared" ref="S28:S40" si="12">F28</f>
        <v>100</v>
      </c>
      <c r="T28" s="705" t="s">
        <v>14</v>
      </c>
      <c r="U28" s="706">
        <f t="shared" ref="U28:U40" si="13">H28</f>
        <v>100</v>
      </c>
      <c r="V28" s="705" t="s">
        <v>14</v>
      </c>
      <c r="W28" s="706">
        <f t="shared" ref="W28:W40" si="14">J28</f>
        <v>100</v>
      </c>
      <c r="X28" s="1355"/>
      <c r="Y28" s="3726"/>
      <c r="Z28" s="1356">
        <f t="shared" ref="Z28:Z40" si="15">Q28</f>
        <v>111</v>
      </c>
      <c r="AA28" s="1353">
        <f t="shared" si="3"/>
        <v>1</v>
      </c>
      <c r="AB28" s="1353">
        <f t="shared" si="4"/>
        <v>1</v>
      </c>
      <c r="AC28" s="1353">
        <f t="shared" si="5"/>
        <v>1</v>
      </c>
    </row>
    <row r="29" spans="1:29" ht="1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49" t="s">
        <v>1696</v>
      </c>
      <c r="Q29" s="1352" t="str">
        <f t="shared" si="11"/>
        <v>建筑类型</v>
      </c>
      <c r="R29" s="705" t="s">
        <v>14</v>
      </c>
      <c r="S29" s="706">
        <f t="shared" si="12"/>
        <v>100</v>
      </c>
      <c r="T29" s="705" t="s">
        <v>14</v>
      </c>
      <c r="U29" s="706">
        <f t="shared" si="13"/>
        <v>100</v>
      </c>
      <c r="V29" s="705" t="s">
        <v>14</v>
      </c>
      <c r="W29" s="706">
        <f t="shared" si="14"/>
        <v>100</v>
      </c>
      <c r="X29" s="1355"/>
      <c r="Y29" s="3730"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30"/>
      <c r="Q30" s="707" t="str">
        <f t="shared" si="11"/>
        <v>项目建筑规模</v>
      </c>
      <c r="R30" s="708" t="s">
        <v>14</v>
      </c>
      <c r="S30" s="709" t="e">
        <f t="shared" si="12"/>
        <v>#N/A</v>
      </c>
      <c r="T30" s="708" t="s">
        <v>14</v>
      </c>
      <c r="U30" s="709" t="e">
        <f t="shared" si="13"/>
        <v>#N/A</v>
      </c>
      <c r="V30" s="708" t="s">
        <v>14</v>
      </c>
      <c r="W30" s="709" t="e">
        <f t="shared" si="14"/>
        <v>#N/A</v>
      </c>
      <c r="X30" s="710"/>
      <c r="Y30" s="3730"/>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0"/>
      <c r="Q31" s="1352" t="str">
        <f t="shared" si="11"/>
        <v>建筑结构</v>
      </c>
      <c r="R31" s="705" t="s">
        <v>14</v>
      </c>
      <c r="S31" s="706">
        <f t="shared" si="12"/>
        <v>100</v>
      </c>
      <c r="T31" s="705" t="s">
        <v>14</v>
      </c>
      <c r="U31" s="706">
        <f t="shared" si="13"/>
        <v>100</v>
      </c>
      <c r="V31" s="705" t="s">
        <v>14</v>
      </c>
      <c r="W31" s="706">
        <f t="shared" si="14"/>
        <v>100</v>
      </c>
      <c r="X31" s="1355"/>
      <c r="Y31" s="3730"/>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0"/>
      <c r="Q32" s="1352" t="str">
        <f t="shared" si="11"/>
        <v>公共部分装修</v>
      </c>
      <c r="R32" s="705" t="s">
        <v>14</v>
      </c>
      <c r="S32" s="706">
        <f t="shared" si="12"/>
        <v>100</v>
      </c>
      <c r="T32" s="705" t="s">
        <v>14</v>
      </c>
      <c r="U32" s="706">
        <f t="shared" si="13"/>
        <v>100</v>
      </c>
      <c r="V32" s="705" t="s">
        <v>14</v>
      </c>
      <c r="W32" s="706">
        <f t="shared" si="14"/>
        <v>100</v>
      </c>
      <c r="X32" s="1355"/>
      <c r="Y32" s="3730"/>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30"/>
      <c r="Q33" s="1352" t="str">
        <f t="shared" si="11"/>
        <v>成新度</v>
      </c>
      <c r="R33" s="705" t="s">
        <v>14</v>
      </c>
      <c r="S33" s="706" t="e">
        <f t="shared" si="12"/>
        <v>#N/A</v>
      </c>
      <c r="T33" s="705" t="s">
        <v>14</v>
      </c>
      <c r="U33" s="706" t="e">
        <f t="shared" si="13"/>
        <v>#N/A</v>
      </c>
      <c r="V33" s="705" t="s">
        <v>14</v>
      </c>
      <c r="W33" s="706" t="e">
        <f t="shared" si="14"/>
        <v>#N/A</v>
      </c>
      <c r="X33" s="1355"/>
      <c r="Y33" s="3730"/>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0"/>
      <c r="Q34" s="1343" t="str">
        <f t="shared" si="11"/>
        <v>物业管理</v>
      </c>
      <c r="R34" s="701" t="s">
        <v>14</v>
      </c>
      <c r="S34" s="702">
        <f t="shared" si="12"/>
        <v>100</v>
      </c>
      <c r="T34" s="701" t="s">
        <v>14</v>
      </c>
      <c r="U34" s="702">
        <f t="shared" si="13"/>
        <v>100</v>
      </c>
      <c r="V34" s="701" t="s">
        <v>14</v>
      </c>
      <c r="W34" s="702">
        <f t="shared" si="14"/>
        <v>100</v>
      </c>
      <c r="X34" s="703"/>
      <c r="Y34" s="3730"/>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0" t="s">
        <v>1696</v>
      </c>
      <c r="Q35" s="1352" t="str">
        <f t="shared" si="11"/>
        <v>市政基础设施</v>
      </c>
      <c r="R35" s="705" t="s">
        <v>14</v>
      </c>
      <c r="S35" s="706">
        <f t="shared" si="12"/>
        <v>100</v>
      </c>
      <c r="T35" s="705" t="s">
        <v>14</v>
      </c>
      <c r="U35" s="706">
        <f t="shared" si="13"/>
        <v>100</v>
      </c>
      <c r="V35" s="705" t="s">
        <v>14</v>
      </c>
      <c r="W35" s="706">
        <f t="shared" si="14"/>
        <v>100</v>
      </c>
      <c r="X35" s="1355"/>
      <c r="Y35" s="3730"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0"/>
      <c r="Q36" s="1352" t="str">
        <f t="shared" si="11"/>
        <v>内部装修</v>
      </c>
      <c r="R36" s="705" t="s">
        <v>14</v>
      </c>
      <c r="S36" s="706">
        <f t="shared" si="12"/>
        <v>100</v>
      </c>
      <c r="T36" s="705" t="s">
        <v>14</v>
      </c>
      <c r="U36" s="706">
        <f t="shared" si="13"/>
        <v>100</v>
      </c>
      <c r="V36" s="705" t="s">
        <v>14</v>
      </c>
      <c r="W36" s="706">
        <f t="shared" si="14"/>
        <v>100</v>
      </c>
      <c r="X36" s="1355"/>
      <c r="Y36" s="3730"/>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0"/>
      <c r="Q37" s="1352" t="str">
        <f t="shared" si="11"/>
        <v>内部装修状况</v>
      </c>
      <c r="R37" s="705" t="s">
        <v>14</v>
      </c>
      <c r="S37" s="706">
        <f t="shared" si="12"/>
        <v>100</v>
      </c>
      <c r="T37" s="705" t="s">
        <v>14</v>
      </c>
      <c r="U37" s="706">
        <f t="shared" si="13"/>
        <v>100</v>
      </c>
      <c r="V37" s="705" t="s">
        <v>14</v>
      </c>
      <c r="W37" s="706">
        <f t="shared" si="14"/>
        <v>100</v>
      </c>
      <c r="X37" s="1355"/>
      <c r="Y37" s="3730"/>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30"/>
      <c r="Q38" s="707">
        <f t="shared" si="11"/>
        <v>111</v>
      </c>
      <c r="R38" s="708" t="s">
        <v>14</v>
      </c>
      <c r="S38" s="709">
        <f t="shared" si="12"/>
        <v>100</v>
      </c>
      <c r="T38" s="708" t="s">
        <v>14</v>
      </c>
      <c r="U38" s="709">
        <f t="shared" si="13"/>
        <v>100</v>
      </c>
      <c r="V38" s="708" t="s">
        <v>14</v>
      </c>
      <c r="W38" s="709">
        <f t="shared" si="14"/>
        <v>100</v>
      </c>
      <c r="X38" s="710"/>
      <c r="Y38" s="3730"/>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0"/>
      <c r="Q39" s="1352">
        <f t="shared" si="11"/>
        <v>111</v>
      </c>
      <c r="R39" s="705" t="s">
        <v>14</v>
      </c>
      <c r="S39" s="706">
        <f t="shared" si="12"/>
        <v>100</v>
      </c>
      <c r="T39" s="705" t="s">
        <v>14</v>
      </c>
      <c r="U39" s="706">
        <f t="shared" si="13"/>
        <v>100</v>
      </c>
      <c r="V39" s="705" t="s">
        <v>14</v>
      </c>
      <c r="W39" s="706">
        <f t="shared" si="14"/>
        <v>100</v>
      </c>
      <c r="X39" s="1355"/>
      <c r="Y39" s="3730"/>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31"/>
      <c r="Q40" s="1352">
        <f t="shared" si="11"/>
        <v>111</v>
      </c>
      <c r="R40" s="705" t="s">
        <v>14</v>
      </c>
      <c r="S40" s="706">
        <f t="shared" si="12"/>
        <v>100</v>
      </c>
      <c r="T40" s="705" t="s">
        <v>14</v>
      </c>
      <c r="U40" s="706">
        <f t="shared" si="13"/>
        <v>100</v>
      </c>
      <c r="V40" s="705" t="s">
        <v>14</v>
      </c>
      <c r="W40" s="706">
        <f t="shared" si="14"/>
        <v>100</v>
      </c>
      <c r="X40" s="1355"/>
      <c r="Y40" s="3731"/>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23" t="str">
        <f>A41</f>
        <v>成交单价（元/平方米）</v>
      </c>
      <c r="Q41" s="3723"/>
      <c r="R41" s="3724">
        <f>E41</f>
        <v>0</v>
      </c>
      <c r="S41" s="3724"/>
      <c r="T41" s="3724">
        <f>G41</f>
        <v>0</v>
      </c>
      <c r="U41" s="3724"/>
      <c r="V41" s="3724">
        <f>I41</f>
        <v>0</v>
      </c>
      <c r="W41" s="3724"/>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23" t="str">
        <f>A42</f>
        <v>比较价值（元/平方米）</v>
      </c>
      <c r="Q42" s="3723"/>
      <c r="R42" s="3724" t="e">
        <f>IF(F1="售价",ROUND(PRODUCT(R41,AA7:AA40),0),ROUND(PRODUCT(R41,AA7:AA40),1))</f>
        <v>#DIV/0!</v>
      </c>
      <c r="S42" s="3724"/>
      <c r="T42" s="3724" t="e">
        <f>IF(F1="售价",ROUND(PRODUCT(T41,AB7:AB40),0),ROUND(PRODUCT(T41,AB7:AB40),1))</f>
        <v>#DIV/0!</v>
      </c>
      <c r="U42" s="3724"/>
      <c r="V42" s="3724" t="e">
        <f>IF(F1="售价",ROUND(PRODUCT(V41,AC7:AC40),0),ROUND(PRODUCT(V41,AC7:AC40),1))</f>
        <v>#DIV/0!</v>
      </c>
      <c r="W42" s="3724"/>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20" t="str">
        <f>A43</f>
        <v>估价对象XX用房的比较价值（楼面单价，元/平方米）</v>
      </c>
      <c r="Q43" s="3721"/>
      <c r="R43" s="3722" t="e">
        <f>IF(F1="售价",ROUND(IF(D42="简单平均",AVERAGE(R42:V42),R42*F42+T42*H42+V42*J42),0),ROUND(IF(D42="简单平均",AVERAGE(R42:V42),R42*F42+T42*H42+V42*J42),1))</f>
        <v>#DIV/0!</v>
      </c>
      <c r="S43" s="3722"/>
      <c r="T43" s="3722"/>
      <c r="U43" s="3722"/>
      <c r="V43" s="3722"/>
      <c r="W43" s="3722"/>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2022-12</v>
      </c>
      <c r="D52" s="1185">
        <f>EDATE(C52,-1)</f>
        <v>44866</v>
      </c>
      <c r="E52" s="1185">
        <f t="shared" ref="E52:O52" si="16">EDATE(D52,-1)</f>
        <v>44835</v>
      </c>
      <c r="F52" s="1185">
        <f t="shared" si="16"/>
        <v>44805</v>
      </c>
      <c r="G52" s="1185">
        <f t="shared" si="16"/>
        <v>44774</v>
      </c>
      <c r="H52" s="1185">
        <f t="shared" si="16"/>
        <v>44743</v>
      </c>
      <c r="I52" s="1185">
        <f t="shared" si="16"/>
        <v>44713</v>
      </c>
      <c r="J52" s="1185">
        <f t="shared" si="16"/>
        <v>44682</v>
      </c>
      <c r="K52" s="1185">
        <f t="shared" si="16"/>
        <v>44652</v>
      </c>
      <c r="L52" s="1185">
        <f t="shared" si="16"/>
        <v>44621</v>
      </c>
      <c r="M52" s="1185">
        <f t="shared" si="16"/>
        <v>44593</v>
      </c>
      <c r="N52" s="1185">
        <f t="shared" si="16"/>
        <v>44562</v>
      </c>
      <c r="O52" s="1185">
        <f t="shared" si="16"/>
        <v>44531</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91" sqref="P91"/>
    </sheetView>
  </sheetViews>
  <sheetFormatPr defaultColWidth="9" defaultRowHeight="14.25"/>
  <cols>
    <col min="1" max="1" width="10.5" style="357" customWidth="1"/>
    <col min="2" max="2" width="15.625" style="357" customWidth="1"/>
    <col min="3" max="3" width="14.375" style="357" customWidth="1"/>
    <col min="4" max="4" width="12.125" style="357" customWidth="1"/>
    <col min="5" max="5" width="14.375" style="357" customWidth="1"/>
    <col min="6" max="6" width="12.125" style="357" customWidth="1"/>
    <col min="7" max="7" width="14.5" style="357" customWidth="1"/>
    <col min="8" max="8" width="12.125" style="357" customWidth="1"/>
    <col min="9" max="9" width="15.5" style="357" customWidth="1"/>
    <col min="10" max="10" width="12.125" style="357" customWidth="1"/>
    <col min="11" max="11" width="12.125" style="444" customWidth="1"/>
    <col min="12" max="12" width="12.125" style="445" customWidth="1"/>
    <col min="13" max="15" width="12.125" style="357" customWidth="1"/>
    <col min="16" max="16" width="4.625" style="906"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36"/>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06" t="s">
        <v>1770</v>
      </c>
      <c r="D4" s="3707"/>
      <c r="E4" s="3708" t="s">
        <v>1771</v>
      </c>
      <c r="F4" s="3709"/>
      <c r="G4" s="3706" t="s">
        <v>1772</v>
      </c>
      <c r="H4" s="3707"/>
      <c r="I4" s="3706" t="s">
        <v>1773</v>
      </c>
      <c r="J4" s="3707"/>
      <c r="K4" s="559" t="s">
        <v>1774</v>
      </c>
      <c r="L4" s="2715"/>
      <c r="M4" s="2716"/>
      <c r="N4" s="2716"/>
      <c r="O4" s="2716"/>
      <c r="P4" s="3710" t="s">
        <v>1775</v>
      </c>
      <c r="Q4" s="3711"/>
      <c r="R4" s="3693" t="s">
        <v>1771</v>
      </c>
      <c r="S4" s="3694"/>
      <c r="T4" s="3693" t="s">
        <v>1772</v>
      </c>
      <c r="U4" s="3694"/>
      <c r="V4" s="3718" t="s">
        <v>1773</v>
      </c>
      <c r="W4" s="3718"/>
      <c r="X4" s="1355"/>
      <c r="Y4" s="3693" t="s">
        <v>1775</v>
      </c>
      <c r="Z4" s="3694"/>
      <c r="AA4" s="3688" t="s">
        <v>1771</v>
      </c>
      <c r="AB4" s="3689" t="s">
        <v>1772</v>
      </c>
      <c r="AC4" s="3688" t="s">
        <v>1773</v>
      </c>
    </row>
    <row r="5" spans="1:29" ht="15">
      <c r="A5" s="358"/>
      <c r="B5" s="359"/>
      <c r="C5" s="3699" t="s">
        <v>1673</v>
      </c>
      <c r="D5" s="3700"/>
      <c r="E5" s="3697" t="s">
        <v>1674</v>
      </c>
      <c r="F5" s="3698"/>
      <c r="G5" s="3699" t="s">
        <v>1675</v>
      </c>
      <c r="H5" s="3700"/>
      <c r="I5" s="3699" t="s">
        <v>1676</v>
      </c>
      <c r="J5" s="3700"/>
      <c r="K5" s="559"/>
      <c r="L5" s="2715"/>
      <c r="M5" s="2716"/>
      <c r="N5" s="2716"/>
      <c r="O5" s="2716"/>
      <c r="P5" s="3712"/>
      <c r="Q5" s="3713"/>
      <c r="R5" s="3695"/>
      <c r="S5" s="3696"/>
      <c r="T5" s="3695"/>
      <c r="U5" s="3696"/>
      <c r="V5" s="3718"/>
      <c r="W5" s="3718"/>
      <c r="X5" s="1355"/>
      <c r="Y5" s="3695"/>
      <c r="Z5" s="3696"/>
      <c r="AA5" s="3689"/>
      <c r="AB5" s="3689"/>
      <c r="AC5" s="3689"/>
    </row>
    <row r="6" spans="1:29" ht="15.75" thickBot="1">
      <c r="A6" s="360"/>
      <c r="B6" s="361"/>
      <c r="C6" s="3701" t="s">
        <v>1677</v>
      </c>
      <c r="D6" s="3702"/>
      <c r="E6" s="3703" t="s">
        <v>1677</v>
      </c>
      <c r="F6" s="3704"/>
      <c r="G6" s="3701" t="s">
        <v>1677</v>
      </c>
      <c r="H6" s="3702"/>
      <c r="I6" s="3701" t="s">
        <v>1677</v>
      </c>
      <c r="J6" s="3702"/>
      <c r="K6" s="559" t="s">
        <v>1678</v>
      </c>
      <c r="L6" s="2715"/>
      <c r="M6" s="2716"/>
      <c r="N6" s="2716"/>
      <c r="O6" s="2716"/>
      <c r="P6" s="3714"/>
      <c r="Q6" s="3715"/>
      <c r="R6" s="3695"/>
      <c r="S6" s="3696"/>
      <c r="T6" s="3716"/>
      <c r="U6" s="3717"/>
      <c r="V6" s="3718"/>
      <c r="W6" s="3718"/>
      <c r="X6" s="1355"/>
      <c r="Y6" s="3716"/>
      <c r="Z6" s="3717"/>
      <c r="AA6" s="3690"/>
      <c r="AB6" s="3690"/>
      <c r="AC6" s="3690"/>
    </row>
    <row r="7" spans="1:29" s="108" customFormat="1" ht="15.75" thickBot="1">
      <c r="A7" s="362" t="s">
        <v>1679</v>
      </c>
      <c r="B7" s="363"/>
      <c r="C7" s="364">
        <f>'数据-取费表'!B2</f>
        <v>44916</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91" t="s">
        <v>1680</v>
      </c>
      <c r="Q7" s="3719"/>
      <c r="R7" s="701" t="s">
        <v>14</v>
      </c>
      <c r="S7" s="702">
        <f t="shared" ref="S7:S14" si="0">F7</f>
        <v>0</v>
      </c>
      <c r="T7" s="701" t="s">
        <v>14</v>
      </c>
      <c r="U7" s="702">
        <f t="shared" ref="U7:U14" si="1">H7</f>
        <v>0</v>
      </c>
      <c r="V7" s="701" t="s">
        <v>14</v>
      </c>
      <c r="W7" s="702">
        <f t="shared" ref="W7:W14" si="2">J7</f>
        <v>0</v>
      </c>
      <c r="X7" s="703"/>
      <c r="Y7" s="3691" t="s">
        <v>1680</v>
      </c>
      <c r="Z7" s="3692"/>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91" t="s">
        <v>1683</v>
      </c>
      <c r="Q8" s="3692"/>
      <c r="R8" s="701" t="s">
        <v>14</v>
      </c>
      <c r="S8" s="702">
        <f t="shared" si="0"/>
        <v>100</v>
      </c>
      <c r="T8" s="701" t="s">
        <v>14</v>
      </c>
      <c r="U8" s="702">
        <f t="shared" si="1"/>
        <v>100</v>
      </c>
      <c r="V8" s="701" t="s">
        <v>14</v>
      </c>
      <c r="W8" s="702">
        <f t="shared" si="2"/>
        <v>100</v>
      </c>
      <c r="X8" s="703"/>
      <c r="Y8" s="3691" t="s">
        <v>1683</v>
      </c>
      <c r="Z8" s="3692"/>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23" t="s">
        <v>1686</v>
      </c>
      <c r="Q9" s="1343" t="str">
        <f t="shared" ref="Q9:Q14" si="6">B9</f>
        <v>用途</v>
      </c>
      <c r="R9" s="701" t="s">
        <v>14</v>
      </c>
      <c r="S9" s="702">
        <f t="shared" si="0"/>
        <v>100</v>
      </c>
      <c r="T9" s="701" t="s">
        <v>14</v>
      </c>
      <c r="U9" s="702">
        <f t="shared" si="1"/>
        <v>100</v>
      </c>
      <c r="V9" s="701" t="s">
        <v>14</v>
      </c>
      <c r="W9" s="702">
        <f t="shared" si="2"/>
        <v>100</v>
      </c>
      <c r="X9" s="703"/>
      <c r="Y9" s="3616" t="s">
        <v>1687</v>
      </c>
      <c r="Z9" s="52" t="str">
        <f t="shared" ref="Z9:Z14" si="7">Q9</f>
        <v>用途</v>
      </c>
      <c r="AA9" s="704">
        <f t="shared" si="3"/>
        <v>1</v>
      </c>
      <c r="AB9" s="704">
        <f t="shared" si="4"/>
        <v>1</v>
      </c>
      <c r="AC9" s="704">
        <f t="shared" si="5"/>
        <v>1</v>
      </c>
    </row>
    <row r="10" spans="1:29" s="378" customFormat="1" ht="27">
      <c r="A10" s="589"/>
      <c r="B10" s="590" t="s">
        <v>1688</v>
      </c>
      <c r="C10" s="3437"/>
      <c r="D10" s="127">
        <v>100</v>
      </c>
      <c r="E10" s="3437"/>
      <c r="F10" s="127">
        <f>SUMIF(55:55,E10,56:56)-SUMIF(55:55,C10,56:56)+100</f>
        <v>100</v>
      </c>
      <c r="G10" s="3438"/>
      <c r="H10" s="127">
        <f>SUMIF(55:55,G10,56:56)-SUMIF(55:55,C10,56:56)+100</f>
        <v>100</v>
      </c>
      <c r="I10" s="3437"/>
      <c r="J10" s="127">
        <f>SUMIF(55:55,I10,56:56)-SUMIF(55:55,C10,56:56)+100</f>
        <v>100</v>
      </c>
      <c r="K10" s="560"/>
      <c r="L10" s="2719"/>
      <c r="M10" s="2720"/>
      <c r="N10" s="2720"/>
      <c r="O10" s="2720"/>
      <c r="P10" s="3723"/>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23"/>
      <c r="Q11" s="1343">
        <f t="shared" si="6"/>
        <v>111</v>
      </c>
      <c r="R11" s="701" t="s">
        <v>14</v>
      </c>
      <c r="S11" s="702">
        <f t="shared" si="0"/>
        <v>100</v>
      </c>
      <c r="T11" s="701" t="s">
        <v>14</v>
      </c>
      <c r="U11" s="702">
        <f t="shared" si="1"/>
        <v>100</v>
      </c>
      <c r="V11" s="701" t="s">
        <v>14</v>
      </c>
      <c r="W11" s="702">
        <f t="shared" si="2"/>
        <v>100</v>
      </c>
      <c r="X11" s="703"/>
      <c r="Y11" s="3616"/>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23"/>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23"/>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704">
        <f t="shared" si="5"/>
        <v>1</v>
      </c>
    </row>
    <row r="14" spans="1:29" ht="15">
      <c r="A14" s="355" t="s">
        <v>1690</v>
      </c>
      <c r="B14" s="577" t="s">
        <v>1833</v>
      </c>
      <c r="C14" s="1971">
        <f>IF(B1="工业",估价对象房地状况!G4,估价对象房地状况!C6)</f>
        <v>0</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25" t="s">
        <v>1691</v>
      </c>
      <c r="Q14" s="1352" t="str">
        <f t="shared" si="6"/>
        <v>交通便捷度</v>
      </c>
      <c r="R14" s="705" t="s">
        <v>14</v>
      </c>
      <c r="S14" s="706">
        <f t="shared" si="0"/>
        <v>100</v>
      </c>
      <c r="T14" s="705" t="s">
        <v>14</v>
      </c>
      <c r="U14" s="706">
        <f t="shared" si="1"/>
        <v>100</v>
      </c>
      <c r="V14" s="705" t="s">
        <v>14</v>
      </c>
      <c r="W14" s="706">
        <f t="shared" si="2"/>
        <v>100</v>
      </c>
      <c r="X14" s="1355"/>
      <c r="Y14" s="3725"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26"/>
      <c r="Q15" s="1352"/>
      <c r="R15" s="705"/>
      <c r="S15" s="706"/>
      <c r="T15" s="705"/>
      <c r="U15" s="706"/>
      <c r="V15" s="705"/>
      <c r="W15" s="706"/>
      <c r="X15" s="1355"/>
      <c r="Y15" s="3726"/>
      <c r="Z15" s="1356"/>
      <c r="AA15" s="1353">
        <v>1</v>
      </c>
      <c r="AB15" s="1353">
        <v>1</v>
      </c>
      <c r="AC15" s="1353">
        <v>1</v>
      </c>
    </row>
    <row r="16" spans="1:29" ht="15">
      <c r="A16" s="358"/>
      <c r="B16" s="579" t="s">
        <v>1812</v>
      </c>
      <c r="C16" s="1900">
        <f>IF(B1="工业",估价对象房地状况!G5,估价对象房地状况!C7)</f>
        <v>0</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26"/>
      <c r="Q16" s="1352" t="str">
        <f>B16</f>
        <v>公共配套设施</v>
      </c>
      <c r="R16" s="705" t="s">
        <v>14</v>
      </c>
      <c r="S16" s="706">
        <f>F16</f>
        <v>100</v>
      </c>
      <c r="T16" s="705" t="s">
        <v>14</v>
      </c>
      <c r="U16" s="706">
        <f>H16</f>
        <v>100</v>
      </c>
      <c r="V16" s="705" t="s">
        <v>14</v>
      </c>
      <c r="W16" s="706">
        <f>J16</f>
        <v>100</v>
      </c>
      <c r="X16" s="1355"/>
      <c r="Y16" s="3726"/>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26"/>
      <c r="Q17" s="1352"/>
      <c r="R17" s="705"/>
      <c r="S17" s="706"/>
      <c r="T17" s="705"/>
      <c r="U17" s="706"/>
      <c r="V17" s="705"/>
      <c r="W17" s="706"/>
      <c r="X17" s="1355"/>
      <c r="Y17" s="3726"/>
      <c r="Z17" s="1356"/>
      <c r="AA17" s="1353">
        <v>1</v>
      </c>
      <c r="AB17" s="1353">
        <v>1</v>
      </c>
      <c r="AC17" s="1353">
        <v>1</v>
      </c>
    </row>
    <row r="18" spans="1:29" ht="15">
      <c r="A18" s="358"/>
      <c r="B18" s="581" t="s">
        <v>1813</v>
      </c>
      <c r="C18" s="1900">
        <f>IF(B1="工业",估价对象房地状况!G6,估价对象房地状况!C8)</f>
        <v>0</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26"/>
      <c r="Q18" s="1352" t="str">
        <f>B18</f>
        <v>基础设施水平</v>
      </c>
      <c r="R18" s="705" t="s">
        <v>14</v>
      </c>
      <c r="S18" s="706">
        <f>F18</f>
        <v>100</v>
      </c>
      <c r="T18" s="705" t="s">
        <v>14</v>
      </c>
      <c r="U18" s="706">
        <f>H18</f>
        <v>100</v>
      </c>
      <c r="V18" s="705" t="s">
        <v>14</v>
      </c>
      <c r="W18" s="706">
        <f>J18</f>
        <v>100</v>
      </c>
      <c r="X18" s="1355"/>
      <c r="Y18" s="3726"/>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26"/>
      <c r="Q19" s="1352"/>
      <c r="R19" s="705"/>
      <c r="S19" s="706"/>
      <c r="T19" s="705"/>
      <c r="U19" s="706"/>
      <c r="V19" s="705"/>
      <c r="W19" s="706"/>
      <c r="X19" s="1355"/>
      <c r="Y19" s="3726"/>
      <c r="Z19" s="1356"/>
      <c r="AA19" s="1353">
        <v>1</v>
      </c>
      <c r="AB19" s="1353">
        <v>1</v>
      </c>
      <c r="AC19" s="1353">
        <v>1</v>
      </c>
    </row>
    <row r="20" spans="1:29" ht="15">
      <c r="A20" s="358"/>
      <c r="B20" s="579" t="s">
        <v>1834</v>
      </c>
      <c r="C20" s="1900">
        <f>IF(B1="工业",估价对象房地状况!G7,估价对象房地状况!C9)</f>
        <v>0</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26"/>
      <c r="Q20" s="1352" t="str">
        <f>B20</f>
        <v>自然及人文环境</v>
      </c>
      <c r="R20" s="705" t="s">
        <v>14</v>
      </c>
      <c r="S20" s="706">
        <f>F20</f>
        <v>100</v>
      </c>
      <c r="T20" s="705" t="s">
        <v>14</v>
      </c>
      <c r="U20" s="706">
        <f>H20</f>
        <v>100</v>
      </c>
      <c r="V20" s="705" t="s">
        <v>14</v>
      </c>
      <c r="W20" s="706">
        <f>J20</f>
        <v>100</v>
      </c>
      <c r="X20" s="1355"/>
      <c r="Y20" s="3726"/>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26"/>
      <c r="Q21" s="1352"/>
      <c r="R21" s="705"/>
      <c r="S21" s="706"/>
      <c r="T21" s="705"/>
      <c r="U21" s="706"/>
      <c r="V21" s="705"/>
      <c r="W21" s="706"/>
      <c r="X21" s="1355"/>
      <c r="Y21" s="3726"/>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26"/>
      <c r="Q22" s="1352" t="str">
        <f>B22</f>
        <v>楼层</v>
      </c>
      <c r="R22" s="705" t="s">
        <v>14</v>
      </c>
      <c r="S22" s="706">
        <f>F22</f>
        <v>100</v>
      </c>
      <c r="T22" s="705" t="s">
        <v>14</v>
      </c>
      <c r="U22" s="706">
        <f>H22</f>
        <v>100</v>
      </c>
      <c r="V22" s="705" t="s">
        <v>14</v>
      </c>
      <c r="W22" s="706">
        <f>J22</f>
        <v>100</v>
      </c>
      <c r="X22" s="1355"/>
      <c r="Y22" s="3726"/>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26"/>
      <c r="Q23" s="1352">
        <f>B23</f>
        <v>111</v>
      </c>
      <c r="R23" s="705" t="s">
        <v>14</v>
      </c>
      <c r="S23" s="706">
        <f>F23</f>
        <v>100</v>
      </c>
      <c r="T23" s="705" t="s">
        <v>14</v>
      </c>
      <c r="U23" s="706">
        <f>H23</f>
        <v>100</v>
      </c>
      <c r="V23" s="705" t="s">
        <v>14</v>
      </c>
      <c r="W23" s="706">
        <f>J23</f>
        <v>100</v>
      </c>
      <c r="X23" s="1355"/>
      <c r="Y23" s="3726"/>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26"/>
      <c r="Q24" s="1352">
        <f t="shared" ref="Q24:Q36" si="11">B24</f>
        <v>111</v>
      </c>
      <c r="R24" s="705" t="s">
        <v>14</v>
      </c>
      <c r="S24" s="706">
        <f>F24</f>
        <v>100</v>
      </c>
      <c r="T24" s="705" t="s">
        <v>14</v>
      </c>
      <c r="U24" s="706">
        <f>H24</f>
        <v>100</v>
      </c>
      <c r="V24" s="705" t="s">
        <v>14</v>
      </c>
      <c r="W24" s="706">
        <f>J24</f>
        <v>100</v>
      </c>
      <c r="X24" s="1355"/>
      <c r="Y24" s="3726"/>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26"/>
      <c r="Q25" s="1343">
        <f t="shared" si="11"/>
        <v>111</v>
      </c>
      <c r="R25" s="701" t="s">
        <v>14</v>
      </c>
      <c r="S25" s="702">
        <f>F25</f>
        <v>100</v>
      </c>
      <c r="T25" s="701" t="s">
        <v>14</v>
      </c>
      <c r="U25" s="702">
        <f>H25</f>
        <v>100</v>
      </c>
      <c r="V25" s="701" t="s">
        <v>14</v>
      </c>
      <c r="W25" s="702">
        <f>J25</f>
        <v>100</v>
      </c>
      <c r="X25" s="703"/>
      <c r="Y25" s="3726"/>
      <c r="Z25" s="52">
        <f>Q25</f>
        <v>111</v>
      </c>
      <c r="AA25" s="1353">
        <f>D25/F25</f>
        <v>1</v>
      </c>
      <c r="AB25" s="1353">
        <f>D25/H25</f>
        <v>1</v>
      </c>
      <c r="AC25" s="1353">
        <f>D25/J25</f>
        <v>1</v>
      </c>
    </row>
    <row r="26" spans="1:29" ht="1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49"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0"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30"/>
      <c r="Q27" s="707" t="str">
        <f t="shared" si="11"/>
        <v>项目停车位配比</v>
      </c>
      <c r="R27" s="708" t="s">
        <v>14</v>
      </c>
      <c r="S27" s="709">
        <f t="shared" si="12"/>
        <v>100</v>
      </c>
      <c r="T27" s="708" t="s">
        <v>14</v>
      </c>
      <c r="U27" s="709">
        <f t="shared" si="13"/>
        <v>100</v>
      </c>
      <c r="V27" s="708" t="s">
        <v>14</v>
      </c>
      <c r="W27" s="709">
        <f t="shared" si="14"/>
        <v>100</v>
      </c>
      <c r="X27" s="710"/>
      <c r="Y27" s="3730"/>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30"/>
      <c r="Q28" s="1352" t="str">
        <f t="shared" si="11"/>
        <v>公共部分装修</v>
      </c>
      <c r="R28" s="705" t="s">
        <v>14</v>
      </c>
      <c r="S28" s="706">
        <f t="shared" si="12"/>
        <v>100</v>
      </c>
      <c r="T28" s="705" t="s">
        <v>14</v>
      </c>
      <c r="U28" s="706">
        <f t="shared" si="13"/>
        <v>100</v>
      </c>
      <c r="V28" s="705" t="s">
        <v>14</v>
      </c>
      <c r="W28" s="706">
        <f t="shared" si="14"/>
        <v>100</v>
      </c>
      <c r="X28" s="1355"/>
      <c r="Y28" s="3730"/>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30"/>
      <c r="Q29" s="1352" t="str">
        <f t="shared" si="11"/>
        <v>成新率</v>
      </c>
      <c r="R29" s="705" t="s">
        <v>14</v>
      </c>
      <c r="S29" s="706" t="e">
        <f t="shared" si="12"/>
        <v>#N/A</v>
      </c>
      <c r="T29" s="705" t="s">
        <v>14</v>
      </c>
      <c r="U29" s="706" t="e">
        <f t="shared" si="13"/>
        <v>#N/A</v>
      </c>
      <c r="V29" s="705" t="s">
        <v>14</v>
      </c>
      <c r="W29" s="706" t="e">
        <f t="shared" si="14"/>
        <v>#N/A</v>
      </c>
      <c r="X29" s="1355"/>
      <c r="Y29" s="3730"/>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30"/>
      <c r="Q30" s="1352" t="str">
        <f t="shared" si="11"/>
        <v>物业等级</v>
      </c>
      <c r="R30" s="705" t="s">
        <v>14</v>
      </c>
      <c r="S30" s="706">
        <f t="shared" si="12"/>
        <v>100</v>
      </c>
      <c r="T30" s="705" t="s">
        <v>14</v>
      </c>
      <c r="U30" s="706">
        <f t="shared" si="13"/>
        <v>100</v>
      </c>
      <c r="V30" s="705" t="s">
        <v>14</v>
      </c>
      <c r="W30" s="706">
        <f t="shared" si="14"/>
        <v>100</v>
      </c>
      <c r="X30" s="1355"/>
      <c r="Y30" s="3730"/>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30"/>
      <c r="Q31" s="1343" t="str">
        <f t="shared" si="11"/>
        <v>停车位面积</v>
      </c>
      <c r="R31" s="701" t="s">
        <v>14</v>
      </c>
      <c r="S31" s="702" t="e">
        <f t="shared" si="12"/>
        <v>#N/A</v>
      </c>
      <c r="T31" s="701" t="s">
        <v>14</v>
      </c>
      <c r="U31" s="702" t="e">
        <f t="shared" si="13"/>
        <v>#N/A</v>
      </c>
      <c r="V31" s="701" t="s">
        <v>14</v>
      </c>
      <c r="W31" s="702" t="e">
        <f t="shared" si="14"/>
        <v>#N/A</v>
      </c>
      <c r="X31" s="703"/>
      <c r="Y31" s="3730"/>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30" t="s">
        <v>1696</v>
      </c>
      <c r="Q32" s="1352" t="str">
        <f t="shared" si="11"/>
        <v>车位类型</v>
      </c>
      <c r="R32" s="705" t="s">
        <v>14</v>
      </c>
      <c r="S32" s="706">
        <f t="shared" si="12"/>
        <v>100</v>
      </c>
      <c r="T32" s="705" t="s">
        <v>14</v>
      </c>
      <c r="U32" s="706">
        <f t="shared" si="13"/>
        <v>100</v>
      </c>
      <c r="V32" s="705" t="s">
        <v>14</v>
      </c>
      <c r="W32" s="706">
        <f t="shared" si="14"/>
        <v>100</v>
      </c>
      <c r="X32" s="1355"/>
      <c r="Y32" s="3730"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30"/>
      <c r="Q33" s="1352" t="str">
        <f t="shared" si="11"/>
        <v>是否直接入户</v>
      </c>
      <c r="R33" s="705" t="s">
        <v>14</v>
      </c>
      <c r="S33" s="706">
        <f t="shared" si="12"/>
        <v>100</v>
      </c>
      <c r="T33" s="705" t="s">
        <v>14</v>
      </c>
      <c r="U33" s="706">
        <f t="shared" si="13"/>
        <v>100</v>
      </c>
      <c r="V33" s="705" t="s">
        <v>14</v>
      </c>
      <c r="W33" s="706">
        <f t="shared" si="14"/>
        <v>100</v>
      </c>
      <c r="X33" s="1355"/>
      <c r="Y33" s="3730"/>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30"/>
      <c r="Q34" s="1352">
        <f t="shared" si="11"/>
        <v>111</v>
      </c>
      <c r="R34" s="705" t="s">
        <v>14</v>
      </c>
      <c r="S34" s="706">
        <f t="shared" si="12"/>
        <v>100</v>
      </c>
      <c r="T34" s="705" t="s">
        <v>14</v>
      </c>
      <c r="U34" s="706">
        <f t="shared" si="13"/>
        <v>100</v>
      </c>
      <c r="V34" s="705" t="s">
        <v>14</v>
      </c>
      <c r="W34" s="706">
        <f t="shared" si="14"/>
        <v>100</v>
      </c>
      <c r="X34" s="1355"/>
      <c r="Y34" s="3730"/>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30"/>
      <c r="Q35" s="707">
        <f t="shared" si="11"/>
        <v>111</v>
      </c>
      <c r="R35" s="708" t="s">
        <v>14</v>
      </c>
      <c r="S35" s="709">
        <f t="shared" si="12"/>
        <v>100</v>
      </c>
      <c r="T35" s="708" t="s">
        <v>14</v>
      </c>
      <c r="U35" s="709">
        <f t="shared" si="13"/>
        <v>100</v>
      </c>
      <c r="V35" s="708" t="s">
        <v>14</v>
      </c>
      <c r="W35" s="709">
        <f t="shared" si="14"/>
        <v>100</v>
      </c>
      <c r="X35" s="710"/>
      <c r="Y35" s="3730"/>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30"/>
      <c r="Q36" s="1352">
        <f t="shared" si="11"/>
        <v>111</v>
      </c>
      <c r="R36" s="705" t="s">
        <v>14</v>
      </c>
      <c r="S36" s="706">
        <f t="shared" si="12"/>
        <v>100</v>
      </c>
      <c r="T36" s="705" t="s">
        <v>14</v>
      </c>
      <c r="U36" s="706">
        <f t="shared" si="13"/>
        <v>100</v>
      </c>
      <c r="V36" s="705" t="s">
        <v>14</v>
      </c>
      <c r="W36" s="706">
        <f t="shared" si="14"/>
        <v>100</v>
      </c>
      <c r="X36" s="1355"/>
      <c r="Y36" s="3730"/>
      <c r="Z36" s="1356">
        <f t="shared" si="15"/>
        <v>111</v>
      </c>
      <c r="AA36" s="1353">
        <f t="shared" si="3"/>
        <v>1</v>
      </c>
      <c r="AB36" s="1353">
        <f t="shared" si="4"/>
        <v>1</v>
      </c>
      <c r="AC36" s="1353">
        <f t="shared" si="5"/>
        <v>1</v>
      </c>
    </row>
    <row r="37" spans="1:29" ht="15">
      <c r="A37" s="430" t="s">
        <v>1844</v>
      </c>
      <c r="B37" s="1973" t="s">
        <v>3354</v>
      </c>
      <c r="C37" s="1154" t="s">
        <v>0</v>
      </c>
      <c r="D37" s="1155"/>
      <c r="E37" s="1156"/>
      <c r="F37" s="1157"/>
      <c r="G37" s="1158"/>
      <c r="H37" s="1159"/>
      <c r="I37" s="1156"/>
      <c r="J37" s="1159"/>
      <c r="K37" s="568"/>
      <c r="L37" s="2724"/>
      <c r="M37" s="2725"/>
      <c r="N37" s="2716"/>
      <c r="O37" s="2725"/>
      <c r="P37" s="3723" t="str">
        <f>A37</f>
        <v>成交单价</v>
      </c>
      <c r="Q37" s="3723"/>
      <c r="R37" s="3724">
        <f>E37</f>
        <v>0</v>
      </c>
      <c r="S37" s="3724"/>
      <c r="T37" s="3724">
        <f>G37</f>
        <v>0</v>
      </c>
      <c r="U37" s="3724"/>
      <c r="V37" s="3724">
        <f>I37</f>
        <v>0</v>
      </c>
      <c r="W37" s="3724"/>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23" t="str">
        <f>A38</f>
        <v>比较价值（元/平方米）</v>
      </c>
      <c r="Q38" s="3723"/>
      <c r="R38" s="3724" t="e">
        <f>IF(F1="售价",ROUND(PRODUCT(R37,AA7:AA36),0),ROUND(PRODUCT(R37,AA7:AA36),1))</f>
        <v>#DIV/0!</v>
      </c>
      <c r="S38" s="3724"/>
      <c r="T38" s="3724" t="e">
        <f>IF(F1="售价",ROUND(PRODUCT(T37,AB7:AB36),0),ROUND(PRODUCT(T37,AB7:AB36),1))</f>
        <v>#DIV/0!</v>
      </c>
      <c r="U38" s="3724"/>
      <c r="V38" s="3724" t="e">
        <f>IF(F1="售价",ROUND(PRODUCT(V37,AC7:AC36),0),ROUND(PRODUCT(V37,AC7:AC36),1))</f>
        <v>#DIV/0!</v>
      </c>
      <c r="W38" s="3724"/>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20" t="str">
        <f>A39</f>
        <v>估价对象XX用房的比较价值（楼面单价，元/平方米）</v>
      </c>
      <c r="Q39" s="3721"/>
      <c r="R39" s="3750" t="e">
        <f>IF(F1="售价",ROUND(IF(D38="简单平均",AVERAGE(R38:W38),R38*F38+T38*H38+V38*J38),0),ROUND(IF(D38="简单平均",AVERAGE(R38:V38),R38*F38+T38*H38+V38*J38),1))</f>
        <v>#DIV/0!</v>
      </c>
      <c r="S39" s="3750"/>
      <c r="T39" s="3750"/>
      <c r="U39" s="3750"/>
      <c r="V39" s="3750"/>
      <c r="W39" s="3750"/>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2022-12</v>
      </c>
      <c r="D48" s="1185">
        <f>EDATE(C48,-1)</f>
        <v>44866</v>
      </c>
      <c r="E48" s="1185">
        <f t="shared" ref="E48:O48" si="16">EDATE(D48,-1)</f>
        <v>44835</v>
      </c>
      <c r="F48" s="1185">
        <f t="shared" si="16"/>
        <v>44805</v>
      </c>
      <c r="G48" s="1185">
        <f t="shared" si="16"/>
        <v>44774</v>
      </c>
      <c r="H48" s="1185">
        <f t="shared" si="16"/>
        <v>44743</v>
      </c>
      <c r="I48" s="1185">
        <f t="shared" si="16"/>
        <v>44713</v>
      </c>
      <c r="J48" s="1185">
        <f t="shared" si="16"/>
        <v>44682</v>
      </c>
      <c r="K48" s="1185">
        <f t="shared" si="16"/>
        <v>44652</v>
      </c>
      <c r="L48" s="1185">
        <f t="shared" si="16"/>
        <v>44621</v>
      </c>
      <c r="M48" s="1185">
        <f t="shared" si="16"/>
        <v>44593</v>
      </c>
      <c r="N48" s="1185">
        <f t="shared" si="16"/>
        <v>44562</v>
      </c>
      <c r="O48" s="1185">
        <f t="shared" si="16"/>
        <v>44531</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Q90" sqref="Q90"/>
    </sheetView>
  </sheetViews>
  <sheetFormatPr defaultColWidth="9" defaultRowHeight="14.25"/>
  <cols>
    <col min="1" max="1" width="10.5" style="357" customWidth="1"/>
    <col min="2" max="2" width="15.625" style="357" customWidth="1"/>
    <col min="3" max="3" width="14.375" style="357" customWidth="1"/>
    <col min="4" max="4" width="12.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357"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35"/>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06" t="s">
        <v>1770</v>
      </c>
      <c r="D4" s="3707"/>
      <c r="E4" s="3708" t="s">
        <v>1771</v>
      </c>
      <c r="F4" s="3709"/>
      <c r="G4" s="3706" t="s">
        <v>1772</v>
      </c>
      <c r="H4" s="3707"/>
      <c r="I4" s="3706" t="s">
        <v>1773</v>
      </c>
      <c r="J4" s="3707"/>
      <c r="K4" s="559" t="s">
        <v>1774</v>
      </c>
      <c r="L4" s="2715"/>
      <c r="M4" s="2716"/>
      <c r="N4" s="2716"/>
      <c r="O4" s="2716"/>
      <c r="P4" s="3710" t="s">
        <v>1775</v>
      </c>
      <c r="Q4" s="3711"/>
      <c r="R4" s="3693" t="s">
        <v>1771</v>
      </c>
      <c r="S4" s="3694"/>
      <c r="T4" s="3693" t="s">
        <v>1772</v>
      </c>
      <c r="U4" s="3694"/>
      <c r="V4" s="3718" t="s">
        <v>1773</v>
      </c>
      <c r="W4" s="3718"/>
      <c r="X4" s="1355"/>
      <c r="Y4" s="3693" t="s">
        <v>1775</v>
      </c>
      <c r="Z4" s="3694"/>
      <c r="AA4" s="3688" t="s">
        <v>1771</v>
      </c>
      <c r="AB4" s="3689" t="s">
        <v>1772</v>
      </c>
      <c r="AC4" s="3688" t="s">
        <v>1773</v>
      </c>
    </row>
    <row r="5" spans="1:29" ht="15">
      <c r="A5" s="358"/>
      <c r="B5" s="359"/>
      <c r="C5" s="3699" t="s">
        <v>1673</v>
      </c>
      <c r="D5" s="3700"/>
      <c r="E5" s="3697" t="s">
        <v>1674</v>
      </c>
      <c r="F5" s="3698"/>
      <c r="G5" s="3699" t="s">
        <v>1675</v>
      </c>
      <c r="H5" s="3700"/>
      <c r="I5" s="3699" t="s">
        <v>1676</v>
      </c>
      <c r="J5" s="3700"/>
      <c r="K5" s="559"/>
      <c r="L5" s="2715"/>
      <c r="M5" s="2716"/>
      <c r="N5" s="2716"/>
      <c r="O5" s="2716"/>
      <c r="P5" s="3712"/>
      <c r="Q5" s="3713"/>
      <c r="R5" s="3695"/>
      <c r="S5" s="3696"/>
      <c r="T5" s="3695"/>
      <c r="U5" s="3696"/>
      <c r="V5" s="3718"/>
      <c r="W5" s="3718"/>
      <c r="X5" s="1355"/>
      <c r="Y5" s="3695"/>
      <c r="Z5" s="3696"/>
      <c r="AA5" s="3689"/>
      <c r="AB5" s="3689"/>
      <c r="AC5" s="3689"/>
    </row>
    <row r="6" spans="1:29" ht="15.75" thickBot="1">
      <c r="A6" s="360"/>
      <c r="B6" s="361"/>
      <c r="C6" s="3701" t="s">
        <v>1677</v>
      </c>
      <c r="D6" s="3702"/>
      <c r="E6" s="3703" t="s">
        <v>1677</v>
      </c>
      <c r="F6" s="3704"/>
      <c r="G6" s="3701" t="s">
        <v>1677</v>
      </c>
      <c r="H6" s="3702"/>
      <c r="I6" s="3701" t="s">
        <v>1677</v>
      </c>
      <c r="J6" s="3702"/>
      <c r="K6" s="559" t="s">
        <v>1678</v>
      </c>
      <c r="L6" s="2715"/>
      <c r="M6" s="2716"/>
      <c r="N6" s="2716"/>
      <c r="O6" s="2716"/>
      <c r="P6" s="3714"/>
      <c r="Q6" s="3715"/>
      <c r="R6" s="3695"/>
      <c r="S6" s="3696"/>
      <c r="T6" s="3716"/>
      <c r="U6" s="3717"/>
      <c r="V6" s="3718"/>
      <c r="W6" s="3718"/>
      <c r="X6" s="1355"/>
      <c r="Y6" s="3716"/>
      <c r="Z6" s="3717"/>
      <c r="AA6" s="3690"/>
      <c r="AB6" s="3690"/>
      <c r="AC6" s="3690"/>
    </row>
    <row r="7" spans="1:29" s="108" customFormat="1" ht="15.75" thickBot="1">
      <c r="A7" s="362" t="s">
        <v>1679</v>
      </c>
      <c r="B7" s="363"/>
      <c r="C7" s="364">
        <f>'数据-取费表'!B2</f>
        <v>44916</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91" t="s">
        <v>1680</v>
      </c>
      <c r="Q7" s="3719"/>
      <c r="R7" s="701" t="s">
        <v>14</v>
      </c>
      <c r="S7" s="702">
        <f t="shared" ref="S7:S14" si="0">F7</f>
        <v>0</v>
      </c>
      <c r="T7" s="701" t="s">
        <v>14</v>
      </c>
      <c r="U7" s="702">
        <f t="shared" ref="U7:U14" si="1">H7</f>
        <v>0</v>
      </c>
      <c r="V7" s="701" t="s">
        <v>14</v>
      </c>
      <c r="W7" s="702">
        <f t="shared" ref="W7:W14" si="2">J7</f>
        <v>0</v>
      </c>
      <c r="X7" s="703"/>
      <c r="Y7" s="3691" t="s">
        <v>1680</v>
      </c>
      <c r="Z7" s="3692"/>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91" t="s">
        <v>1683</v>
      </c>
      <c r="Q8" s="3692"/>
      <c r="R8" s="701" t="s">
        <v>14</v>
      </c>
      <c r="S8" s="702">
        <f t="shared" si="0"/>
        <v>100</v>
      </c>
      <c r="T8" s="701" t="s">
        <v>14</v>
      </c>
      <c r="U8" s="702">
        <f t="shared" si="1"/>
        <v>100</v>
      </c>
      <c r="V8" s="701" t="s">
        <v>14</v>
      </c>
      <c r="W8" s="702">
        <f t="shared" si="2"/>
        <v>100</v>
      </c>
      <c r="X8" s="703"/>
      <c r="Y8" s="3691" t="s">
        <v>1683</v>
      </c>
      <c r="Z8" s="3692"/>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23" t="s">
        <v>1686</v>
      </c>
      <c r="Q9" s="1343" t="str">
        <f t="shared" ref="Q9:Q14" si="6">B9</f>
        <v>用途</v>
      </c>
      <c r="R9" s="701" t="s">
        <v>14</v>
      </c>
      <c r="S9" s="702">
        <f t="shared" si="0"/>
        <v>100</v>
      </c>
      <c r="T9" s="701" t="s">
        <v>14</v>
      </c>
      <c r="U9" s="702">
        <f t="shared" si="1"/>
        <v>100</v>
      </c>
      <c r="V9" s="701" t="s">
        <v>14</v>
      </c>
      <c r="W9" s="702">
        <f t="shared" si="2"/>
        <v>100</v>
      </c>
      <c r="X9" s="703"/>
      <c r="Y9" s="3616" t="s">
        <v>1687</v>
      </c>
      <c r="Z9" s="52" t="str">
        <f t="shared" ref="Z9:Z14" si="7">Q9</f>
        <v>用途</v>
      </c>
      <c r="AA9" s="704">
        <f t="shared" si="3"/>
        <v>1</v>
      </c>
      <c r="AB9" s="704">
        <f t="shared" si="4"/>
        <v>1</v>
      </c>
      <c r="AC9" s="704">
        <f t="shared" si="5"/>
        <v>1</v>
      </c>
    </row>
    <row r="10" spans="1:29" s="378" customFormat="1" ht="27">
      <c r="A10" s="374"/>
      <c r="B10" s="375" t="s">
        <v>1688</v>
      </c>
      <c r="C10" s="3437"/>
      <c r="D10" s="127">
        <v>100</v>
      </c>
      <c r="E10" s="3437"/>
      <c r="F10" s="376">
        <f>SUMIF(53:53,E10,54:54)-SUMIF(53:53,C10,54:54)+100</f>
        <v>100</v>
      </c>
      <c r="G10" s="3437"/>
      <c r="H10" s="127">
        <f>SUMIF(53:53,G10,54:54)-SUMIF(53:53,C10,54:54)+100</f>
        <v>100</v>
      </c>
      <c r="I10" s="3437"/>
      <c r="J10" s="127">
        <f>SUMIF(53:53,I10,54:54)-SUMIF(53:53,C10,54:54)+100</f>
        <v>100</v>
      </c>
      <c r="K10" s="560"/>
      <c r="L10" s="2719"/>
      <c r="M10" s="2720"/>
      <c r="N10" s="2720"/>
      <c r="O10" s="2773"/>
      <c r="P10" s="3723"/>
      <c r="Q10" s="1343" t="str">
        <f t="shared" si="6"/>
        <v>土地使用年限（年）</v>
      </c>
      <c r="R10" s="701" t="s">
        <v>14</v>
      </c>
      <c r="S10" s="702">
        <f t="shared" si="0"/>
        <v>100</v>
      </c>
      <c r="T10" s="701" t="s">
        <v>14</v>
      </c>
      <c r="U10" s="702">
        <f t="shared" si="1"/>
        <v>100</v>
      </c>
      <c r="V10" s="701" t="s">
        <v>14</v>
      </c>
      <c r="W10" s="702">
        <f t="shared" si="2"/>
        <v>100</v>
      </c>
      <c r="X10" s="703"/>
      <c r="Y10" s="3616"/>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23"/>
      <c r="Q11" s="1343">
        <f t="shared" si="6"/>
        <v>111</v>
      </c>
      <c r="R11" s="701" t="s">
        <v>14</v>
      </c>
      <c r="S11" s="702">
        <f t="shared" si="0"/>
        <v>100</v>
      </c>
      <c r="T11" s="701" t="s">
        <v>14</v>
      </c>
      <c r="U11" s="702">
        <f t="shared" si="1"/>
        <v>100</v>
      </c>
      <c r="V11" s="701" t="s">
        <v>14</v>
      </c>
      <c r="W11" s="702">
        <f t="shared" si="2"/>
        <v>100</v>
      </c>
      <c r="X11" s="703"/>
      <c r="Y11" s="3616"/>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23"/>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23"/>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704">
        <f t="shared" si="5"/>
        <v>1</v>
      </c>
    </row>
    <row r="14" spans="1:29" ht="15">
      <c r="A14" s="391" t="s">
        <v>1690</v>
      </c>
      <c r="B14" s="61" t="s">
        <v>1833</v>
      </c>
      <c r="C14" s="1971">
        <f>IF(B1="工业",估价对象房地状况!G4,估价对象房地状况!C6)</f>
        <v>0</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25" t="s">
        <v>1691</v>
      </c>
      <c r="Q14" s="1352" t="str">
        <f t="shared" si="6"/>
        <v>交通便捷度</v>
      </c>
      <c r="R14" s="705" t="s">
        <v>14</v>
      </c>
      <c r="S14" s="706">
        <f t="shared" si="0"/>
        <v>100</v>
      </c>
      <c r="T14" s="705" t="s">
        <v>14</v>
      </c>
      <c r="U14" s="706">
        <f t="shared" si="1"/>
        <v>100</v>
      </c>
      <c r="V14" s="705" t="s">
        <v>14</v>
      </c>
      <c r="W14" s="706">
        <f t="shared" si="2"/>
        <v>100</v>
      </c>
      <c r="X14" s="1355"/>
      <c r="Y14" s="3725"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26"/>
      <c r="Q15" s="1352"/>
      <c r="R15" s="705"/>
      <c r="S15" s="706"/>
      <c r="T15" s="705"/>
      <c r="U15" s="706"/>
      <c r="V15" s="705"/>
      <c r="W15" s="706"/>
      <c r="X15" s="1355"/>
      <c r="Y15" s="3726"/>
      <c r="Z15" s="1356"/>
      <c r="AA15" s="1353">
        <v>1</v>
      </c>
      <c r="AB15" s="1353">
        <v>1</v>
      </c>
      <c r="AC15" s="1353">
        <v>1</v>
      </c>
    </row>
    <row r="16" spans="1:29" ht="15">
      <c r="A16" s="379"/>
      <c r="B16" s="402" t="s">
        <v>1812</v>
      </c>
      <c r="C16" s="1900">
        <f>IF(B1="工业",估价对象房地状况!G5,估价对象房地状况!C7)</f>
        <v>0</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26"/>
      <c r="Q16" s="1352" t="str">
        <f>B16</f>
        <v>公共配套设施</v>
      </c>
      <c r="R16" s="705" t="s">
        <v>14</v>
      </c>
      <c r="S16" s="706">
        <f>F16</f>
        <v>100</v>
      </c>
      <c r="T16" s="705" t="s">
        <v>14</v>
      </c>
      <c r="U16" s="706">
        <f>H16</f>
        <v>100</v>
      </c>
      <c r="V16" s="705" t="s">
        <v>14</v>
      </c>
      <c r="W16" s="706">
        <f>J16</f>
        <v>100</v>
      </c>
      <c r="X16" s="1355"/>
      <c r="Y16" s="3726"/>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26"/>
      <c r="Q17" s="1352"/>
      <c r="R17" s="705"/>
      <c r="S17" s="706"/>
      <c r="T17" s="705"/>
      <c r="U17" s="706"/>
      <c r="V17" s="705"/>
      <c r="W17" s="706"/>
      <c r="X17" s="1355"/>
      <c r="Y17" s="3726"/>
      <c r="Z17" s="1356"/>
      <c r="AA17" s="1353">
        <v>1</v>
      </c>
      <c r="AB17" s="1353">
        <v>1</v>
      </c>
      <c r="AC17" s="1353">
        <v>1</v>
      </c>
    </row>
    <row r="18" spans="1:29" ht="15">
      <c r="A18" s="379"/>
      <c r="B18" s="1131" t="s">
        <v>1813</v>
      </c>
      <c r="C18" s="1900">
        <f>IF(B1="工业",估价对象房地状况!G6,估价对象房地状况!C8)</f>
        <v>0</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26"/>
      <c r="Q18" s="1352" t="str">
        <f>B18</f>
        <v>基础设施水平</v>
      </c>
      <c r="R18" s="705" t="s">
        <v>14</v>
      </c>
      <c r="S18" s="706">
        <f>F18</f>
        <v>100</v>
      </c>
      <c r="T18" s="705" t="s">
        <v>14</v>
      </c>
      <c r="U18" s="706">
        <f>H18</f>
        <v>100</v>
      </c>
      <c r="V18" s="705" t="s">
        <v>14</v>
      </c>
      <c r="W18" s="706">
        <f>J18</f>
        <v>100</v>
      </c>
      <c r="X18" s="1355"/>
      <c r="Y18" s="3726"/>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26"/>
      <c r="Q19" s="1352"/>
      <c r="R19" s="705"/>
      <c r="S19" s="706"/>
      <c r="T19" s="705"/>
      <c r="U19" s="706"/>
      <c r="V19" s="705"/>
      <c r="W19" s="706"/>
      <c r="X19" s="1355"/>
      <c r="Y19" s="3726"/>
      <c r="Z19" s="1356"/>
      <c r="AA19" s="1353">
        <v>1</v>
      </c>
      <c r="AB19" s="1353">
        <v>1</v>
      </c>
      <c r="AC19" s="1353">
        <v>1</v>
      </c>
    </row>
    <row r="20" spans="1:29" ht="15">
      <c r="A20" s="379"/>
      <c r="B20" s="402" t="s">
        <v>1834</v>
      </c>
      <c r="C20" s="1900">
        <f>IF(B1="工业",估价对象房地状况!G7,估价对象房地状况!C9)</f>
        <v>0</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26"/>
      <c r="Q20" s="1352" t="str">
        <f>B20</f>
        <v>自然及人文环境</v>
      </c>
      <c r="R20" s="705" t="s">
        <v>14</v>
      </c>
      <c r="S20" s="706">
        <f>F20</f>
        <v>100</v>
      </c>
      <c r="T20" s="705" t="s">
        <v>14</v>
      </c>
      <c r="U20" s="706">
        <f>H20</f>
        <v>100</v>
      </c>
      <c r="V20" s="705" t="s">
        <v>14</v>
      </c>
      <c r="W20" s="706">
        <f>J20</f>
        <v>100</v>
      </c>
      <c r="X20" s="1355"/>
      <c r="Y20" s="3726"/>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26"/>
      <c r="Q21" s="1352"/>
      <c r="R21" s="705"/>
      <c r="S21" s="706"/>
      <c r="T21" s="705"/>
      <c r="U21" s="706"/>
      <c r="V21" s="705"/>
      <c r="W21" s="706"/>
      <c r="X21" s="1355"/>
      <c r="Y21" s="3726"/>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26"/>
      <c r="Q22" s="1352" t="str">
        <f>B22</f>
        <v>楼层</v>
      </c>
      <c r="R22" s="705" t="s">
        <v>14</v>
      </c>
      <c r="S22" s="706">
        <f>F22</f>
        <v>100</v>
      </c>
      <c r="T22" s="705" t="s">
        <v>14</v>
      </c>
      <c r="U22" s="706">
        <f>H22</f>
        <v>100</v>
      </c>
      <c r="V22" s="705" t="s">
        <v>14</v>
      </c>
      <c r="W22" s="706">
        <f>J22</f>
        <v>100</v>
      </c>
      <c r="X22" s="1355"/>
      <c r="Y22" s="3726"/>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26"/>
      <c r="Q23" s="1352">
        <f>B23</f>
        <v>111</v>
      </c>
      <c r="R23" s="705" t="s">
        <v>14</v>
      </c>
      <c r="S23" s="706">
        <f>F23</f>
        <v>100</v>
      </c>
      <c r="T23" s="705" t="s">
        <v>14</v>
      </c>
      <c r="U23" s="706">
        <f>H23</f>
        <v>100</v>
      </c>
      <c r="V23" s="705" t="s">
        <v>14</v>
      </c>
      <c r="W23" s="706">
        <f>J23</f>
        <v>100</v>
      </c>
      <c r="X23" s="1355"/>
      <c r="Y23" s="3726"/>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26"/>
      <c r="Q24" s="1352">
        <f t="shared" ref="Q24:Q34" si="11">B24</f>
        <v>111</v>
      </c>
      <c r="R24" s="705" t="s">
        <v>14</v>
      </c>
      <c r="S24" s="706">
        <f>F24</f>
        <v>100</v>
      </c>
      <c r="T24" s="705" t="s">
        <v>14</v>
      </c>
      <c r="U24" s="706">
        <f>H24</f>
        <v>100</v>
      </c>
      <c r="V24" s="705" t="s">
        <v>14</v>
      </c>
      <c r="W24" s="706">
        <f>J24</f>
        <v>100</v>
      </c>
      <c r="X24" s="1355"/>
      <c r="Y24" s="3726"/>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26"/>
      <c r="Q25" s="1343">
        <f t="shared" si="11"/>
        <v>111</v>
      </c>
      <c r="R25" s="701" t="s">
        <v>14</v>
      </c>
      <c r="S25" s="702">
        <f>F25</f>
        <v>100</v>
      </c>
      <c r="T25" s="701" t="s">
        <v>14</v>
      </c>
      <c r="U25" s="702">
        <f>H25</f>
        <v>100</v>
      </c>
      <c r="V25" s="701" t="s">
        <v>14</v>
      </c>
      <c r="W25" s="702">
        <f>J25</f>
        <v>100</v>
      </c>
      <c r="X25" s="703"/>
      <c r="Y25" s="3726"/>
      <c r="Z25" s="52">
        <f>Q25</f>
        <v>111</v>
      </c>
      <c r="AA25" s="1353">
        <f>D25/F25</f>
        <v>1</v>
      </c>
      <c r="AB25" s="1353">
        <f>D25/H25</f>
        <v>1</v>
      </c>
      <c r="AC25" s="1353">
        <f>D25/J25</f>
        <v>1</v>
      </c>
    </row>
    <row r="26" spans="1:29" ht="1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49"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0"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30"/>
      <c r="Q27" s="707" t="str">
        <f t="shared" si="11"/>
        <v>成新率</v>
      </c>
      <c r="R27" s="708" t="s">
        <v>14</v>
      </c>
      <c r="S27" s="709" t="e">
        <f t="shared" si="12"/>
        <v>#N/A</v>
      </c>
      <c r="T27" s="708" t="s">
        <v>14</v>
      </c>
      <c r="U27" s="709" t="e">
        <f t="shared" si="13"/>
        <v>#N/A</v>
      </c>
      <c r="V27" s="708" t="s">
        <v>14</v>
      </c>
      <c r="W27" s="709" t="e">
        <f t="shared" si="14"/>
        <v>#N/A</v>
      </c>
      <c r="X27" s="710"/>
      <c r="Y27" s="3730"/>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30"/>
      <c r="Q28" s="1352" t="str">
        <f t="shared" si="11"/>
        <v>物业等级</v>
      </c>
      <c r="R28" s="705" t="s">
        <v>14</v>
      </c>
      <c r="S28" s="706">
        <f t="shared" si="12"/>
        <v>100</v>
      </c>
      <c r="T28" s="705" t="s">
        <v>14</v>
      </c>
      <c r="U28" s="706">
        <f t="shared" si="13"/>
        <v>100</v>
      </c>
      <c r="V28" s="705" t="s">
        <v>14</v>
      </c>
      <c r="W28" s="706">
        <f t="shared" si="14"/>
        <v>100</v>
      </c>
      <c r="X28" s="1355"/>
      <c r="Y28" s="3730"/>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30"/>
      <c r="Q29" s="1352" t="str">
        <f t="shared" si="11"/>
        <v>有无电梯</v>
      </c>
      <c r="R29" s="705" t="s">
        <v>14</v>
      </c>
      <c r="S29" s="706">
        <f t="shared" si="12"/>
        <v>100</v>
      </c>
      <c r="T29" s="705" t="s">
        <v>14</v>
      </c>
      <c r="U29" s="706">
        <f t="shared" si="13"/>
        <v>100</v>
      </c>
      <c r="V29" s="705" t="s">
        <v>14</v>
      </c>
      <c r="W29" s="706">
        <f t="shared" si="14"/>
        <v>100</v>
      </c>
      <c r="X29" s="1355"/>
      <c r="Y29" s="3730"/>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30"/>
      <c r="Q30" s="1352" t="str">
        <f t="shared" si="11"/>
        <v>建筑面积</v>
      </c>
      <c r="R30" s="705" t="s">
        <v>14</v>
      </c>
      <c r="S30" s="706" t="e">
        <f t="shared" si="12"/>
        <v>#N/A</v>
      </c>
      <c r="T30" s="705" t="s">
        <v>14</v>
      </c>
      <c r="U30" s="706" t="e">
        <f t="shared" si="13"/>
        <v>#N/A</v>
      </c>
      <c r="V30" s="705" t="s">
        <v>14</v>
      </c>
      <c r="W30" s="706" t="e">
        <f t="shared" si="14"/>
        <v>#N/A</v>
      </c>
      <c r="X30" s="1355"/>
      <c r="Y30" s="3730"/>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30"/>
      <c r="Q31" s="1343" t="str">
        <f t="shared" si="11"/>
        <v>是否封闭</v>
      </c>
      <c r="R31" s="701" t="s">
        <v>14</v>
      </c>
      <c r="S31" s="702">
        <f t="shared" si="12"/>
        <v>100</v>
      </c>
      <c r="T31" s="701" t="s">
        <v>14</v>
      </c>
      <c r="U31" s="702">
        <f t="shared" si="13"/>
        <v>100</v>
      </c>
      <c r="V31" s="701" t="s">
        <v>14</v>
      </c>
      <c r="W31" s="702">
        <f t="shared" si="14"/>
        <v>100</v>
      </c>
      <c r="X31" s="703"/>
      <c r="Y31" s="3730"/>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30" t="s">
        <v>1696</v>
      </c>
      <c r="Q32" s="1352">
        <f t="shared" si="11"/>
        <v>111</v>
      </c>
      <c r="R32" s="705" t="s">
        <v>14</v>
      </c>
      <c r="S32" s="706">
        <f t="shared" si="12"/>
        <v>100</v>
      </c>
      <c r="T32" s="705" t="s">
        <v>14</v>
      </c>
      <c r="U32" s="706">
        <f t="shared" si="13"/>
        <v>100</v>
      </c>
      <c r="V32" s="705" t="s">
        <v>14</v>
      </c>
      <c r="W32" s="706">
        <f t="shared" si="14"/>
        <v>100</v>
      </c>
      <c r="X32" s="1355"/>
      <c r="Y32" s="3730"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30"/>
      <c r="Q33" s="1352">
        <f t="shared" si="11"/>
        <v>111</v>
      </c>
      <c r="R33" s="705" t="s">
        <v>14</v>
      </c>
      <c r="S33" s="706">
        <f t="shared" si="12"/>
        <v>100</v>
      </c>
      <c r="T33" s="705" t="s">
        <v>14</v>
      </c>
      <c r="U33" s="706">
        <f t="shared" si="13"/>
        <v>100</v>
      </c>
      <c r="V33" s="705" t="s">
        <v>14</v>
      </c>
      <c r="W33" s="706">
        <f t="shared" si="14"/>
        <v>100</v>
      </c>
      <c r="X33" s="1355"/>
      <c r="Y33" s="3730"/>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30"/>
      <c r="Q34" s="1352">
        <f t="shared" si="11"/>
        <v>111</v>
      </c>
      <c r="R34" s="705" t="s">
        <v>14</v>
      </c>
      <c r="S34" s="706">
        <f t="shared" si="12"/>
        <v>100</v>
      </c>
      <c r="T34" s="705" t="s">
        <v>14</v>
      </c>
      <c r="U34" s="706">
        <f t="shared" si="13"/>
        <v>100</v>
      </c>
      <c r="V34" s="705" t="s">
        <v>14</v>
      </c>
      <c r="W34" s="706">
        <f t="shared" si="14"/>
        <v>100</v>
      </c>
      <c r="X34" s="1355"/>
      <c r="Y34" s="3730"/>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23" t="str">
        <f>A35</f>
        <v>成交单价（元/平方米）</v>
      </c>
      <c r="Q35" s="3723"/>
      <c r="R35" s="3724">
        <f>E35</f>
        <v>0</v>
      </c>
      <c r="S35" s="3724"/>
      <c r="T35" s="3724">
        <f>G35</f>
        <v>0</v>
      </c>
      <c r="U35" s="3724"/>
      <c r="V35" s="3724">
        <f>I35</f>
        <v>0</v>
      </c>
      <c r="W35" s="3724"/>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23" t="str">
        <f>A36</f>
        <v>比较价值（元/平方米）</v>
      </c>
      <c r="Q36" s="3723"/>
      <c r="R36" s="3724" t="e">
        <f>IF(F1="售价",ROUND(PRODUCT(R35,AA7:AA34),0),ROUND(PRODUCT(R35,AA7:AA34),1))</f>
        <v>#DIV/0!</v>
      </c>
      <c r="S36" s="3724"/>
      <c r="T36" s="3724" t="e">
        <f>IF(F1="售价",ROUND(PRODUCT(T35,AB7:AB34),0),ROUND(PRODUCT(T35,AB7:AB34),1))</f>
        <v>#DIV/0!</v>
      </c>
      <c r="U36" s="3724"/>
      <c r="V36" s="3724" t="e">
        <f>IF(F1="售价",ROUND(PRODUCT(V35,AC7:AC34),0),ROUND(PRODUCT(V35,AC7:AC34),1))</f>
        <v>#DIV/0!</v>
      </c>
      <c r="W36" s="3724"/>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20" t="str">
        <f>A37</f>
        <v>估价对象XX用房的比较价值（楼面单价，元/平方米）</v>
      </c>
      <c r="Q37" s="3721"/>
      <c r="R37" s="3750" t="e">
        <f>IF(F1="售价",ROUND(IF(D36="简单平均",AVERAGE(R36:W36),R36*F36+T36*H36+V36*J36),0),ROUND(IF(D36="简单平均",AVERAGE(R36:V36),R36*F36+T36*H36+V36*J36),1))</f>
        <v>#DIV/0!</v>
      </c>
      <c r="S37" s="3750"/>
      <c r="T37" s="3750"/>
      <c r="U37" s="3750"/>
      <c r="V37" s="3750"/>
      <c r="W37" s="3750"/>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2022-12</v>
      </c>
      <c r="D46" s="1185">
        <f>EDATE(C46,-1)</f>
        <v>44866</v>
      </c>
      <c r="E46" s="1185">
        <f t="shared" ref="E46:O46" si="16">EDATE(D46,-1)</f>
        <v>44835</v>
      </c>
      <c r="F46" s="1185">
        <f t="shared" si="16"/>
        <v>44805</v>
      </c>
      <c r="G46" s="1185">
        <f t="shared" si="16"/>
        <v>44774</v>
      </c>
      <c r="H46" s="1185">
        <f t="shared" si="16"/>
        <v>44743</v>
      </c>
      <c r="I46" s="1185">
        <f t="shared" si="16"/>
        <v>44713</v>
      </c>
      <c r="J46" s="1185">
        <f t="shared" si="16"/>
        <v>44682</v>
      </c>
      <c r="K46" s="1185">
        <f t="shared" si="16"/>
        <v>44652</v>
      </c>
      <c r="L46" s="1185">
        <f t="shared" si="16"/>
        <v>44621</v>
      </c>
      <c r="M46" s="1185">
        <f t="shared" si="16"/>
        <v>44593</v>
      </c>
      <c r="N46" s="1185">
        <f t="shared" si="16"/>
        <v>44562</v>
      </c>
      <c r="O46" s="1185">
        <f t="shared" si="16"/>
        <v>44531</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625" style="357" customWidth="1"/>
    <col min="3" max="3" width="14.375" style="357" customWidth="1"/>
    <col min="4" max="4" width="14.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357"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06" t="s">
        <v>1770</v>
      </c>
      <c r="D4" s="3707"/>
      <c r="E4" s="3708" t="s">
        <v>1771</v>
      </c>
      <c r="F4" s="3709"/>
      <c r="G4" s="3706" t="s">
        <v>1772</v>
      </c>
      <c r="H4" s="3707"/>
      <c r="I4" s="3706" t="s">
        <v>1773</v>
      </c>
      <c r="J4" s="3707"/>
      <c r="K4" s="559" t="s">
        <v>1774</v>
      </c>
      <c r="L4" s="2715"/>
      <c r="M4" s="2716"/>
      <c r="N4" s="2716"/>
      <c r="O4" s="2716"/>
      <c r="P4" s="3710" t="s">
        <v>1775</v>
      </c>
      <c r="Q4" s="3711"/>
      <c r="R4" s="3693" t="s">
        <v>1771</v>
      </c>
      <c r="S4" s="3694"/>
      <c r="T4" s="3693" t="s">
        <v>1772</v>
      </c>
      <c r="U4" s="3694"/>
      <c r="V4" s="3718" t="s">
        <v>1773</v>
      </c>
      <c r="W4" s="3718"/>
      <c r="X4" s="1355"/>
      <c r="Y4" s="3693" t="s">
        <v>1775</v>
      </c>
      <c r="Z4" s="3694"/>
      <c r="AA4" s="3688" t="s">
        <v>1771</v>
      </c>
      <c r="AB4" s="3689" t="s">
        <v>1772</v>
      </c>
      <c r="AC4" s="3688" t="s">
        <v>1773</v>
      </c>
    </row>
    <row r="5" spans="1:30" ht="15">
      <c r="A5" s="358"/>
      <c r="B5" s="359"/>
      <c r="C5" s="3699" t="s">
        <v>1673</v>
      </c>
      <c r="D5" s="3700"/>
      <c r="E5" s="3697" t="s">
        <v>1674</v>
      </c>
      <c r="F5" s="3698"/>
      <c r="G5" s="3699" t="s">
        <v>1675</v>
      </c>
      <c r="H5" s="3700"/>
      <c r="I5" s="3699" t="s">
        <v>1676</v>
      </c>
      <c r="J5" s="3700"/>
      <c r="K5" s="559"/>
      <c r="L5" s="2715"/>
      <c r="M5" s="2716"/>
      <c r="N5" s="2716"/>
      <c r="O5" s="2716"/>
      <c r="P5" s="3712"/>
      <c r="Q5" s="3713"/>
      <c r="R5" s="3695"/>
      <c r="S5" s="3696"/>
      <c r="T5" s="3695"/>
      <c r="U5" s="3696"/>
      <c r="V5" s="3718"/>
      <c r="W5" s="3718"/>
      <c r="X5" s="1355"/>
      <c r="Y5" s="3695"/>
      <c r="Z5" s="3696"/>
      <c r="AA5" s="3689"/>
      <c r="AB5" s="3689"/>
      <c r="AC5" s="3689"/>
    </row>
    <row r="6" spans="1:30" ht="15.75" thickBot="1">
      <c r="A6" s="360"/>
      <c r="B6" s="361"/>
      <c r="C6" s="3701" t="s">
        <v>1677</v>
      </c>
      <c r="D6" s="3702"/>
      <c r="E6" s="3703" t="s">
        <v>1677</v>
      </c>
      <c r="F6" s="3704"/>
      <c r="G6" s="3701" t="s">
        <v>1677</v>
      </c>
      <c r="H6" s="3702"/>
      <c r="I6" s="3701" t="s">
        <v>1677</v>
      </c>
      <c r="J6" s="3702"/>
      <c r="K6" s="559" t="s">
        <v>1678</v>
      </c>
      <c r="L6" s="2715"/>
      <c r="M6" s="2716"/>
      <c r="N6" s="2716"/>
      <c r="O6" s="2716"/>
      <c r="P6" s="3714"/>
      <c r="Q6" s="3715"/>
      <c r="R6" s="3695"/>
      <c r="S6" s="3696"/>
      <c r="T6" s="3716"/>
      <c r="U6" s="3717"/>
      <c r="V6" s="3718"/>
      <c r="W6" s="3718"/>
      <c r="X6" s="1355"/>
      <c r="Y6" s="3716"/>
      <c r="Z6" s="3717"/>
      <c r="AA6" s="3690"/>
      <c r="AB6" s="3690"/>
      <c r="AC6" s="3690"/>
    </row>
    <row r="7" spans="1:30" s="108" customFormat="1" ht="15.75" thickBot="1">
      <c r="A7" s="362" t="s">
        <v>1679</v>
      </c>
      <c r="B7" s="363"/>
      <c r="C7" s="364">
        <f>'数据-取费表'!B2</f>
        <v>44916</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91" t="s">
        <v>1680</v>
      </c>
      <c r="Q7" s="3719"/>
      <c r="R7" s="701" t="s">
        <v>14</v>
      </c>
      <c r="S7" s="702">
        <f t="shared" ref="S7:S15" si="0">F7</f>
        <v>0</v>
      </c>
      <c r="T7" s="701" t="s">
        <v>14</v>
      </c>
      <c r="U7" s="702">
        <f t="shared" ref="U7:U15" si="1">H7</f>
        <v>0</v>
      </c>
      <c r="V7" s="701" t="s">
        <v>14</v>
      </c>
      <c r="W7" s="702">
        <f t="shared" ref="W7:W15" si="2">J7</f>
        <v>0</v>
      </c>
      <c r="X7" s="703"/>
      <c r="Y7" s="3691" t="s">
        <v>1680</v>
      </c>
      <c r="Z7" s="3692"/>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91" t="s">
        <v>1683</v>
      </c>
      <c r="Q8" s="3692"/>
      <c r="R8" s="701" t="s">
        <v>14</v>
      </c>
      <c r="S8" s="702">
        <f t="shared" si="0"/>
        <v>0</v>
      </c>
      <c r="T8" s="701" t="s">
        <v>14</v>
      </c>
      <c r="U8" s="702">
        <f t="shared" si="1"/>
        <v>0</v>
      </c>
      <c r="V8" s="701" t="s">
        <v>14</v>
      </c>
      <c r="W8" s="702">
        <f t="shared" si="2"/>
        <v>0</v>
      </c>
      <c r="X8" s="703"/>
      <c r="Y8" s="3691" t="s">
        <v>1683</v>
      </c>
      <c r="Z8" s="3692"/>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23"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113</v>
      </c>
      <c r="G10" s="414"/>
      <c r="H10" s="127">
        <f>ROUND(100/'数据-取费表'!G16,0)</f>
        <v>113</v>
      </c>
      <c r="I10" s="414"/>
      <c r="J10" s="127">
        <f>ROUND(100/'数据-取费表'!G16,0)</f>
        <v>113</v>
      </c>
      <c r="K10" s="620"/>
      <c r="L10" s="2719"/>
      <c r="M10" s="2720"/>
      <c r="N10" s="2720"/>
      <c r="O10" s="2773"/>
      <c r="P10" s="3723"/>
      <c r="Q10" s="1343" t="str">
        <f t="shared" si="6"/>
        <v>土地使用年限（年）</v>
      </c>
      <c r="R10" s="701" t="s">
        <v>14</v>
      </c>
      <c r="S10" s="702">
        <f t="shared" si="0"/>
        <v>113</v>
      </c>
      <c r="T10" s="701" t="s">
        <v>14</v>
      </c>
      <c r="U10" s="702">
        <f t="shared" si="1"/>
        <v>113</v>
      </c>
      <c r="V10" s="701" t="s">
        <v>14</v>
      </c>
      <c r="W10" s="702">
        <f t="shared" si="2"/>
        <v>113</v>
      </c>
      <c r="X10" s="703"/>
      <c r="Y10" s="3616"/>
      <c r="Z10" s="52" t="str">
        <f t="shared" si="7"/>
        <v>土地使用年限（年）</v>
      </c>
      <c r="AA10" s="704">
        <f t="shared" si="3"/>
        <v>0.88495575221238942</v>
      </c>
      <c r="AB10" s="704">
        <f t="shared" si="4"/>
        <v>0.88495575221238942</v>
      </c>
      <c r="AC10" s="704">
        <f t="shared" si="5"/>
        <v>0.88495575221238942</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23"/>
      <c r="Q11" s="1343" t="str">
        <f t="shared" si="6"/>
        <v>容积率</v>
      </c>
      <c r="R11" s="701" t="s">
        <v>14</v>
      </c>
      <c r="S11" s="702" t="e">
        <f t="shared" si="0"/>
        <v>#N/A</v>
      </c>
      <c r="T11" s="701" t="s">
        <v>14</v>
      </c>
      <c r="U11" s="702" t="e">
        <f t="shared" si="1"/>
        <v>#N/A</v>
      </c>
      <c r="V11" s="701" t="s">
        <v>14</v>
      </c>
      <c r="W11" s="702" t="e">
        <f t="shared" si="2"/>
        <v>#N/A</v>
      </c>
      <c r="X11" s="703"/>
      <c r="Y11" s="3616"/>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23"/>
      <c r="Q12" s="1343" t="str">
        <f t="shared" si="6"/>
        <v>配建</v>
      </c>
      <c r="R12" s="701" t="s">
        <v>14</v>
      </c>
      <c r="S12" s="702">
        <f t="shared" si="0"/>
        <v>100</v>
      </c>
      <c r="T12" s="701" t="s">
        <v>14</v>
      </c>
      <c r="U12" s="702">
        <f t="shared" si="1"/>
        <v>100</v>
      </c>
      <c r="V12" s="701" t="s">
        <v>14</v>
      </c>
      <c r="W12" s="702">
        <f t="shared" si="2"/>
        <v>100</v>
      </c>
      <c r="X12" s="703"/>
      <c r="Y12" s="3616"/>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23"/>
      <c r="Q13" s="1343">
        <f t="shared" si="6"/>
        <v>111</v>
      </c>
      <c r="R13" s="701" t="s">
        <v>14</v>
      </c>
      <c r="S13" s="702">
        <f t="shared" si="0"/>
        <v>100</v>
      </c>
      <c r="T13" s="701" t="s">
        <v>14</v>
      </c>
      <c r="U13" s="702">
        <f t="shared" si="1"/>
        <v>100</v>
      </c>
      <c r="V13" s="701" t="s">
        <v>14</v>
      </c>
      <c r="W13" s="702">
        <f t="shared" si="2"/>
        <v>100</v>
      </c>
      <c r="X13" s="703"/>
      <c r="Y13" s="3616"/>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23"/>
      <c r="Q14" s="1343">
        <f t="shared" si="6"/>
        <v>111</v>
      </c>
      <c r="R14" s="701" t="s">
        <v>14</v>
      </c>
      <c r="S14" s="702">
        <f t="shared" si="0"/>
        <v>100</v>
      </c>
      <c r="T14" s="701" t="s">
        <v>14</v>
      </c>
      <c r="U14" s="702">
        <f t="shared" si="1"/>
        <v>100</v>
      </c>
      <c r="V14" s="701" t="s">
        <v>14</v>
      </c>
      <c r="W14" s="702">
        <f t="shared" si="2"/>
        <v>100</v>
      </c>
      <c r="X14" s="703"/>
      <c r="Y14" s="3616"/>
      <c r="Z14" s="52">
        <f t="shared" si="7"/>
        <v>111</v>
      </c>
      <c r="AA14" s="704">
        <f>D14/F14</f>
        <v>1</v>
      </c>
      <c r="AB14" s="704">
        <f>D14/H14</f>
        <v>1</v>
      </c>
      <c r="AC14" s="704">
        <f>D14/J14</f>
        <v>1</v>
      </c>
    </row>
    <row r="15" spans="1:30" ht="15">
      <c r="A15" s="391" t="s">
        <v>1690</v>
      </c>
      <c r="B15" s="61" t="s">
        <v>1257</v>
      </c>
      <c r="C15" s="1896">
        <f>估价对象房地状况!C15</f>
        <v>0</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25" t="s">
        <v>1691</v>
      </c>
      <c r="Q15" s="1352" t="str">
        <f t="shared" si="6"/>
        <v>居住社区成熟度</v>
      </c>
      <c r="R15" s="705" t="s">
        <v>14</v>
      </c>
      <c r="S15" s="706">
        <f t="shared" si="0"/>
        <v>100</v>
      </c>
      <c r="T15" s="705" t="s">
        <v>14</v>
      </c>
      <c r="U15" s="706">
        <f t="shared" si="1"/>
        <v>100</v>
      </c>
      <c r="V15" s="705" t="s">
        <v>14</v>
      </c>
      <c r="W15" s="706">
        <f t="shared" si="2"/>
        <v>100</v>
      </c>
      <c r="X15" s="1355"/>
      <c r="Y15" s="3725"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26"/>
      <c r="Q16" s="1352"/>
      <c r="R16" s="705"/>
      <c r="S16" s="706"/>
      <c r="T16" s="705"/>
      <c r="U16" s="706"/>
      <c r="V16" s="705"/>
      <c r="W16" s="706"/>
      <c r="X16" s="1355"/>
      <c r="Y16" s="3726"/>
      <c r="Z16" s="1356"/>
      <c r="AA16" s="1353">
        <v>1</v>
      </c>
      <c r="AB16" s="1353">
        <v>1</v>
      </c>
      <c r="AC16" s="1353">
        <v>1</v>
      </c>
    </row>
    <row r="17" spans="1:29" ht="15">
      <c r="A17" s="379"/>
      <c r="B17" s="402" t="s">
        <v>1777</v>
      </c>
      <c r="C17" s="1955">
        <f>估价对象房地状况!C16</f>
        <v>0</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26"/>
      <c r="Q17" s="1352" t="str">
        <f>B17</f>
        <v>商业繁华度</v>
      </c>
      <c r="R17" s="705" t="s">
        <v>14</v>
      </c>
      <c r="S17" s="706">
        <f>F17</f>
        <v>100</v>
      </c>
      <c r="T17" s="705" t="s">
        <v>14</v>
      </c>
      <c r="U17" s="706">
        <f>H17</f>
        <v>100</v>
      </c>
      <c r="V17" s="705" t="s">
        <v>14</v>
      </c>
      <c r="W17" s="706">
        <f>J17</f>
        <v>100</v>
      </c>
      <c r="X17" s="1355"/>
      <c r="Y17" s="3726"/>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26"/>
      <c r="Q18" s="1352"/>
      <c r="R18" s="705"/>
      <c r="S18" s="706"/>
      <c r="T18" s="705"/>
      <c r="U18" s="706"/>
      <c r="V18" s="705"/>
      <c r="W18" s="706"/>
      <c r="X18" s="1355"/>
      <c r="Y18" s="3726"/>
      <c r="Z18" s="1356"/>
      <c r="AA18" s="1353">
        <v>1</v>
      </c>
      <c r="AB18" s="1353">
        <v>1</v>
      </c>
      <c r="AC18" s="1353">
        <v>1</v>
      </c>
    </row>
    <row r="19" spans="1:29" ht="15">
      <c r="A19" s="379"/>
      <c r="B19" s="402" t="s">
        <v>1811</v>
      </c>
      <c r="C19" s="1955">
        <f>估价对象房地状况!C17</f>
        <v>0</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26"/>
      <c r="Q19" s="1352" t="str">
        <f>B19</f>
        <v>办公集聚程度</v>
      </c>
      <c r="R19" s="705" t="s">
        <v>14</v>
      </c>
      <c r="S19" s="706">
        <f>F19</f>
        <v>100</v>
      </c>
      <c r="T19" s="705" t="s">
        <v>14</v>
      </c>
      <c r="U19" s="706">
        <f>H19</f>
        <v>100</v>
      </c>
      <c r="V19" s="705" t="s">
        <v>14</v>
      </c>
      <c r="W19" s="706">
        <f>J19</f>
        <v>100</v>
      </c>
      <c r="X19" s="1355"/>
      <c r="Y19" s="3726"/>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26"/>
      <c r="Q20" s="1352"/>
      <c r="R20" s="705"/>
      <c r="S20" s="706"/>
      <c r="T20" s="705"/>
      <c r="U20" s="706"/>
      <c r="V20" s="705"/>
      <c r="W20" s="706"/>
      <c r="X20" s="1355"/>
      <c r="Y20" s="3726"/>
      <c r="Z20" s="1356"/>
      <c r="AA20" s="1353">
        <v>1</v>
      </c>
      <c r="AB20" s="1353">
        <v>1</v>
      </c>
      <c r="AC20" s="1353">
        <v>1</v>
      </c>
    </row>
    <row r="21" spans="1:29" ht="15">
      <c r="A21" s="379"/>
      <c r="B21" s="402" t="s">
        <v>1833</v>
      </c>
      <c r="C21" s="1900">
        <f>估价对象房地状况!C18</f>
        <v>0</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26"/>
      <c r="Q21" s="1352" t="str">
        <f>B21</f>
        <v>交通便捷度</v>
      </c>
      <c r="R21" s="705" t="s">
        <v>14</v>
      </c>
      <c r="S21" s="706">
        <f>F21</f>
        <v>100</v>
      </c>
      <c r="T21" s="705" t="s">
        <v>14</v>
      </c>
      <c r="U21" s="706">
        <f>H21</f>
        <v>100</v>
      </c>
      <c r="V21" s="705" t="s">
        <v>14</v>
      </c>
      <c r="W21" s="706">
        <f>J21</f>
        <v>100</v>
      </c>
      <c r="X21" s="1355"/>
      <c r="Y21" s="3726"/>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26"/>
      <c r="Q22" s="1352"/>
      <c r="R22" s="705"/>
      <c r="S22" s="706"/>
      <c r="T22" s="705"/>
      <c r="U22" s="706"/>
      <c r="V22" s="705"/>
      <c r="W22" s="706"/>
      <c r="X22" s="1355"/>
      <c r="Y22" s="3726"/>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26"/>
      <c r="Q23" s="1352" t="str">
        <f t="shared" ref="Q23:Q37" si="8">B23</f>
        <v>区域土地利用方向</v>
      </c>
      <c r="R23" s="705" t="s">
        <v>14</v>
      </c>
      <c r="S23" s="706">
        <f>F23</f>
        <v>100</v>
      </c>
      <c r="T23" s="705" t="s">
        <v>14</v>
      </c>
      <c r="U23" s="706">
        <f>H23</f>
        <v>100</v>
      </c>
      <c r="V23" s="705" t="s">
        <v>14</v>
      </c>
      <c r="W23" s="706">
        <f>J23</f>
        <v>100</v>
      </c>
      <c r="X23" s="1355"/>
      <c r="Y23" s="3726"/>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26"/>
      <c r="Q24" s="1352"/>
      <c r="R24" s="705"/>
      <c r="S24" s="706"/>
      <c r="T24" s="705"/>
      <c r="U24" s="706"/>
      <c r="V24" s="705"/>
      <c r="W24" s="706"/>
      <c r="X24" s="1355"/>
      <c r="Y24" s="3726"/>
      <c r="Z24" s="1356"/>
      <c r="AA24" s="1353"/>
      <c r="AB24" s="1353"/>
      <c r="AC24" s="1353"/>
    </row>
    <row r="25" spans="1:29" ht="27">
      <c r="A25" s="358"/>
      <c r="B25" s="1131" t="s">
        <v>1872</v>
      </c>
      <c r="C25" s="1955">
        <f>估价对象房地状况!C20</f>
        <v>0</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26"/>
      <c r="Q25" s="1352" t="str">
        <f t="shared" si="8"/>
        <v>自然及人文环境状况</v>
      </c>
      <c r="R25" s="705" t="s">
        <v>14</v>
      </c>
      <c r="S25" s="706">
        <f>F25</f>
        <v>100</v>
      </c>
      <c r="T25" s="705" t="s">
        <v>14</v>
      </c>
      <c r="U25" s="706">
        <f>H25</f>
        <v>100</v>
      </c>
      <c r="V25" s="705" t="s">
        <v>14</v>
      </c>
      <c r="W25" s="706">
        <f>J25</f>
        <v>100</v>
      </c>
      <c r="X25" s="1355"/>
      <c r="Y25" s="3726"/>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26"/>
      <c r="Q26" s="1352"/>
      <c r="R26" s="705"/>
      <c r="S26" s="706"/>
      <c r="T26" s="705"/>
      <c r="U26" s="706"/>
      <c r="V26" s="705"/>
      <c r="W26" s="706"/>
      <c r="X26" s="1355"/>
      <c r="Y26" s="3726"/>
      <c r="Z26" s="1356"/>
      <c r="AA26" s="1353">
        <v>1</v>
      </c>
      <c r="AB26" s="1353">
        <v>1</v>
      </c>
      <c r="AC26" s="1353">
        <v>1</v>
      </c>
    </row>
    <row r="27" spans="1:29" s="108" customFormat="1" ht="15">
      <c r="A27" s="597"/>
      <c r="B27" s="1131" t="s">
        <v>1778</v>
      </c>
      <c r="C27" s="1900">
        <f>估价对象房地状况!C21</f>
        <v>0</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26"/>
      <c r="Q27" s="1343" t="str">
        <f t="shared" si="8"/>
        <v>公共配套设施</v>
      </c>
      <c r="R27" s="701" t="s">
        <v>14</v>
      </c>
      <c r="S27" s="702">
        <f>F27</f>
        <v>100</v>
      </c>
      <c r="T27" s="701" t="s">
        <v>14</v>
      </c>
      <c r="U27" s="702">
        <f>H27</f>
        <v>100</v>
      </c>
      <c r="V27" s="701" t="s">
        <v>14</v>
      </c>
      <c r="W27" s="702">
        <f>J27</f>
        <v>100</v>
      </c>
      <c r="X27" s="703"/>
      <c r="Y27" s="3726"/>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26"/>
      <c r="Q28" s="1343"/>
      <c r="R28" s="701"/>
      <c r="S28" s="702"/>
      <c r="T28" s="701"/>
      <c r="U28" s="702"/>
      <c r="V28" s="701"/>
      <c r="W28" s="702"/>
      <c r="X28" s="703"/>
      <c r="Y28" s="3726"/>
      <c r="Z28" s="52"/>
      <c r="AA28" s="1353">
        <v>1</v>
      </c>
      <c r="AB28" s="1353">
        <v>1</v>
      </c>
      <c r="AC28" s="1353">
        <v>1</v>
      </c>
    </row>
    <row r="29" spans="1:29" s="108" customFormat="1" ht="15">
      <c r="A29" s="597"/>
      <c r="B29" s="1131" t="s">
        <v>1779</v>
      </c>
      <c r="C29" s="1900">
        <f>估价对象房地状况!C22</f>
        <v>0</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26"/>
      <c r="Q29" s="1343" t="str">
        <f t="shared" ref="Q29" si="9">B29</f>
        <v>基础设施水平</v>
      </c>
      <c r="R29" s="701" t="s">
        <v>14</v>
      </c>
      <c r="S29" s="702">
        <f>F29</f>
        <v>100</v>
      </c>
      <c r="T29" s="701" t="s">
        <v>14</v>
      </c>
      <c r="U29" s="702">
        <f>H29</f>
        <v>100</v>
      </c>
      <c r="V29" s="701" t="s">
        <v>14</v>
      </c>
      <c r="W29" s="702">
        <f>J29</f>
        <v>100</v>
      </c>
      <c r="X29" s="703"/>
      <c r="Y29" s="3726"/>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26"/>
      <c r="Q30" s="1343"/>
      <c r="R30" s="701"/>
      <c r="S30" s="702"/>
      <c r="T30" s="701"/>
      <c r="U30" s="702"/>
      <c r="V30" s="701"/>
      <c r="W30" s="702"/>
      <c r="X30" s="703"/>
      <c r="Y30" s="3726"/>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26"/>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26"/>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26"/>
      <c r="Q32" s="1352" t="str">
        <f t="shared" si="8"/>
        <v>毗邻道路的类型与等级</v>
      </c>
      <c r="R32" s="705" t="s">
        <v>14</v>
      </c>
      <c r="S32" s="706">
        <f t="shared" si="10"/>
        <v>100</v>
      </c>
      <c r="T32" s="705" t="s">
        <v>14</v>
      </c>
      <c r="U32" s="706">
        <f t="shared" si="11"/>
        <v>100</v>
      </c>
      <c r="V32" s="705" t="s">
        <v>14</v>
      </c>
      <c r="W32" s="706">
        <f t="shared" si="12"/>
        <v>100</v>
      </c>
      <c r="X32" s="1355"/>
      <c r="Y32" s="3726"/>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26"/>
      <c r="Q33" s="1352"/>
      <c r="R33" s="705"/>
      <c r="S33" s="706"/>
      <c r="T33" s="705"/>
      <c r="U33" s="706"/>
      <c r="V33" s="705"/>
      <c r="W33" s="706"/>
      <c r="X33" s="1355"/>
      <c r="Y33" s="3726"/>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26"/>
      <c r="Q34" s="1352" t="str">
        <f t="shared" si="8"/>
        <v>土地级别</v>
      </c>
      <c r="R34" s="705" t="s">
        <v>14</v>
      </c>
      <c r="S34" s="706">
        <f t="shared" si="10"/>
        <v>100</v>
      </c>
      <c r="T34" s="705" t="s">
        <v>14</v>
      </c>
      <c r="U34" s="706">
        <f t="shared" si="11"/>
        <v>100</v>
      </c>
      <c r="V34" s="705" t="s">
        <v>14</v>
      </c>
      <c r="W34" s="706">
        <f t="shared" si="12"/>
        <v>100</v>
      </c>
      <c r="X34" s="1355"/>
      <c r="Y34" s="3726"/>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26"/>
      <c r="Q35" s="1352">
        <f t="shared" si="8"/>
        <v>111</v>
      </c>
      <c r="R35" s="705" t="s">
        <v>14</v>
      </c>
      <c r="S35" s="706">
        <f t="shared" si="10"/>
        <v>100</v>
      </c>
      <c r="T35" s="705" t="s">
        <v>14</v>
      </c>
      <c r="U35" s="706">
        <f t="shared" si="11"/>
        <v>100</v>
      </c>
      <c r="V35" s="705" t="s">
        <v>14</v>
      </c>
      <c r="W35" s="706">
        <f t="shared" si="12"/>
        <v>100</v>
      </c>
      <c r="X35" s="1355"/>
      <c r="Y35" s="3726"/>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49" t="s">
        <v>1696</v>
      </c>
      <c r="Q36" s="1352">
        <f t="shared" si="8"/>
        <v>111</v>
      </c>
      <c r="R36" s="705" t="s">
        <v>14</v>
      </c>
      <c r="S36" s="706">
        <f t="shared" si="10"/>
        <v>100</v>
      </c>
      <c r="T36" s="705" t="s">
        <v>14</v>
      </c>
      <c r="U36" s="706">
        <f t="shared" si="11"/>
        <v>100</v>
      </c>
      <c r="V36" s="705" t="s">
        <v>14</v>
      </c>
      <c r="W36" s="706">
        <f t="shared" si="12"/>
        <v>100</v>
      </c>
      <c r="X36" s="1355"/>
      <c r="Y36" s="3730"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30"/>
      <c r="Q37" s="1352">
        <f t="shared" si="8"/>
        <v>111</v>
      </c>
      <c r="R37" s="708" t="s">
        <v>14</v>
      </c>
      <c r="S37" s="709">
        <f t="shared" si="10"/>
        <v>100</v>
      </c>
      <c r="T37" s="708" t="s">
        <v>14</v>
      </c>
      <c r="U37" s="709">
        <f t="shared" si="11"/>
        <v>100</v>
      </c>
      <c r="V37" s="708" t="s">
        <v>14</v>
      </c>
      <c r="W37" s="709">
        <f t="shared" si="12"/>
        <v>100</v>
      </c>
      <c r="X37" s="710"/>
      <c r="Y37" s="3730"/>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30"/>
      <c r="Q38" s="1352" t="str">
        <f>B38</f>
        <v>宗地面积</v>
      </c>
      <c r="R38" s="705" t="s">
        <v>14</v>
      </c>
      <c r="S38" s="706" t="e">
        <f t="shared" si="10"/>
        <v>#N/A</v>
      </c>
      <c r="T38" s="705" t="s">
        <v>14</v>
      </c>
      <c r="U38" s="706" t="e">
        <f t="shared" si="11"/>
        <v>#N/A</v>
      </c>
      <c r="V38" s="705" t="s">
        <v>14</v>
      </c>
      <c r="W38" s="706" t="e">
        <f t="shared" si="12"/>
        <v>#N/A</v>
      </c>
      <c r="X38" s="1355"/>
      <c r="Y38" s="3730"/>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30"/>
      <c r="Q39" s="1352" t="str">
        <f t="shared" ref="Q39:Q45" si="14">B39</f>
        <v>宗地形状</v>
      </c>
      <c r="R39" s="705" t="s">
        <v>14</v>
      </c>
      <c r="S39" s="706">
        <f t="shared" si="10"/>
        <v>100</v>
      </c>
      <c r="T39" s="705" t="s">
        <v>14</v>
      </c>
      <c r="U39" s="706">
        <f t="shared" si="11"/>
        <v>100</v>
      </c>
      <c r="V39" s="705" t="s">
        <v>14</v>
      </c>
      <c r="W39" s="706">
        <f t="shared" si="12"/>
        <v>100</v>
      </c>
      <c r="X39" s="1355"/>
      <c r="Y39" s="3730"/>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30"/>
      <c r="Q40" s="1352" t="str">
        <f t="shared" si="14"/>
        <v>临街宽度及深度</v>
      </c>
      <c r="R40" s="705" t="s">
        <v>14</v>
      </c>
      <c r="S40" s="706">
        <f t="shared" si="10"/>
        <v>100</v>
      </c>
      <c r="T40" s="705" t="s">
        <v>14</v>
      </c>
      <c r="U40" s="706">
        <f t="shared" si="11"/>
        <v>100</v>
      </c>
      <c r="V40" s="705" t="s">
        <v>14</v>
      </c>
      <c r="W40" s="706">
        <f t="shared" si="12"/>
        <v>100</v>
      </c>
      <c r="X40" s="1355"/>
      <c r="Y40" s="3730"/>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30"/>
      <c r="Q41" s="1352" t="str">
        <f t="shared" si="14"/>
        <v>宗地开发程度</v>
      </c>
      <c r="R41" s="701" t="s">
        <v>14</v>
      </c>
      <c r="S41" s="702">
        <f t="shared" si="10"/>
        <v>100</v>
      </c>
      <c r="T41" s="701" t="s">
        <v>14</v>
      </c>
      <c r="U41" s="702">
        <f t="shared" si="11"/>
        <v>100</v>
      </c>
      <c r="V41" s="701" t="s">
        <v>14</v>
      </c>
      <c r="W41" s="702">
        <f t="shared" si="12"/>
        <v>100</v>
      </c>
      <c r="X41" s="703"/>
      <c r="Y41" s="3730"/>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30" t="s">
        <v>1696</v>
      </c>
      <c r="Q42" s="1352" t="str">
        <f t="shared" si="14"/>
        <v>工程地质条件</v>
      </c>
      <c r="R42" s="705" t="s">
        <v>14</v>
      </c>
      <c r="S42" s="706">
        <f t="shared" si="10"/>
        <v>100</v>
      </c>
      <c r="T42" s="705" t="s">
        <v>14</v>
      </c>
      <c r="U42" s="706">
        <f t="shared" si="11"/>
        <v>100</v>
      </c>
      <c r="V42" s="705" t="s">
        <v>14</v>
      </c>
      <c r="W42" s="706">
        <f t="shared" si="12"/>
        <v>100</v>
      </c>
      <c r="X42" s="1355"/>
      <c r="Y42" s="3730"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30"/>
      <c r="Q43" s="1352">
        <f t="shared" si="14"/>
        <v>111</v>
      </c>
      <c r="R43" s="705" t="s">
        <v>14</v>
      </c>
      <c r="S43" s="706">
        <f t="shared" si="10"/>
        <v>100</v>
      </c>
      <c r="T43" s="705" t="s">
        <v>14</v>
      </c>
      <c r="U43" s="706">
        <f t="shared" si="11"/>
        <v>100</v>
      </c>
      <c r="V43" s="705" t="s">
        <v>14</v>
      </c>
      <c r="W43" s="706">
        <f t="shared" si="12"/>
        <v>100</v>
      </c>
      <c r="X43" s="1355"/>
      <c r="Y43" s="3730"/>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30"/>
      <c r="Q44" s="1352">
        <f t="shared" si="14"/>
        <v>111</v>
      </c>
      <c r="R44" s="705" t="s">
        <v>14</v>
      </c>
      <c r="S44" s="706">
        <f t="shared" si="10"/>
        <v>100</v>
      </c>
      <c r="T44" s="705" t="s">
        <v>14</v>
      </c>
      <c r="U44" s="706">
        <f t="shared" si="11"/>
        <v>100</v>
      </c>
      <c r="V44" s="705" t="s">
        <v>14</v>
      </c>
      <c r="W44" s="706">
        <f t="shared" si="12"/>
        <v>100</v>
      </c>
      <c r="X44" s="1355"/>
      <c r="Y44" s="3730"/>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30"/>
      <c r="Q45" s="1352">
        <f t="shared" si="14"/>
        <v>111</v>
      </c>
      <c r="R45" s="708" t="s">
        <v>14</v>
      </c>
      <c r="S45" s="709">
        <f t="shared" si="10"/>
        <v>100</v>
      </c>
      <c r="T45" s="708" t="s">
        <v>14</v>
      </c>
      <c r="U45" s="709">
        <f t="shared" si="11"/>
        <v>100</v>
      </c>
      <c r="V45" s="708" t="s">
        <v>14</v>
      </c>
      <c r="W45" s="709">
        <f t="shared" si="12"/>
        <v>100</v>
      </c>
      <c r="X45" s="710"/>
      <c r="Y45" s="3730"/>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23" t="str">
        <f>A46</f>
        <v>成交单价</v>
      </c>
      <c r="Q46" s="3723"/>
      <c r="R46" s="3718">
        <f>E46</f>
        <v>0</v>
      </c>
      <c r="S46" s="3718"/>
      <c r="T46" s="3718">
        <f>G46</f>
        <v>0</v>
      </c>
      <c r="U46" s="3718"/>
      <c r="V46" s="3718">
        <f>I46</f>
        <v>0</v>
      </c>
      <c r="W46" s="3718"/>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23" t="str">
        <f>A47</f>
        <v>比较价值（元/平方米）</v>
      </c>
      <c r="Q47" s="3723"/>
      <c r="R47" s="3751" t="e">
        <f>ROUND(PRODUCT(R46,AA7:AA45),0)</f>
        <v>#DIV/0!</v>
      </c>
      <c r="S47" s="3751"/>
      <c r="T47" s="3751" t="e">
        <f>ROUND(PRODUCT(T46,AB7:AB45),0)</f>
        <v>#DIV/0!</v>
      </c>
      <c r="U47" s="3751"/>
      <c r="V47" s="3751" t="e">
        <f>ROUND(PRODUCT(V46,AC7:AC45),0)</f>
        <v>#DIV/0!</v>
      </c>
      <c r="W47" s="3751"/>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20" t="str">
        <f>A48</f>
        <v>估价对象XX用房的比较价值（楼面单价，元/平方米）</v>
      </c>
      <c r="Q48" s="3721"/>
      <c r="R48" s="3752" t="e">
        <f>ROUND(IF(D47="简单平均",AVERAGE(R47:W47),R47*F47+T47*H47+V47*J47),0)</f>
        <v>#DIV/0!</v>
      </c>
      <c r="S48" s="3752"/>
      <c r="T48" s="3752"/>
      <c r="U48" s="3752"/>
      <c r="V48" s="3752"/>
      <c r="W48" s="3752"/>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06" t="s">
        <v>1887</v>
      </c>
      <c r="H55" s="3753"/>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25739.82</v>
      </c>
      <c r="F56" s="886" t="e">
        <f t="shared" ref="F56:F64" si="15">ROUND(B56*E56/10000,0)</f>
        <v>#DIV/0!</v>
      </c>
      <c r="G56" s="3705"/>
      <c r="H56" s="3723"/>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25739.82</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2022-12-1</v>
      </c>
      <c r="D67" s="692">
        <f>EDATE(C67,-3)</f>
        <v>44805</v>
      </c>
      <c r="E67" s="692">
        <f>EDATE(D67,-3)</f>
        <v>44713</v>
      </c>
      <c r="F67" s="692">
        <f t="shared" ref="F67:O67" si="18">EDATE(E67,-3)</f>
        <v>44621</v>
      </c>
      <c r="G67" s="692">
        <f t="shared" si="18"/>
        <v>44531</v>
      </c>
      <c r="H67" s="692">
        <f t="shared" si="18"/>
        <v>44440</v>
      </c>
      <c r="I67" s="692">
        <f t="shared" si="18"/>
        <v>44348</v>
      </c>
      <c r="J67" s="692">
        <f t="shared" si="18"/>
        <v>44256</v>
      </c>
      <c r="K67" s="692">
        <f t="shared" si="18"/>
        <v>44166</v>
      </c>
      <c r="L67" s="692">
        <f t="shared" si="18"/>
        <v>44075</v>
      </c>
      <c r="M67" s="692">
        <f t="shared" si="18"/>
        <v>43983</v>
      </c>
      <c r="N67" s="692">
        <f t="shared" si="18"/>
        <v>43891</v>
      </c>
      <c r="O67" s="692">
        <f t="shared" si="18"/>
        <v>43800</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2022-4</v>
      </c>
      <c r="D69" s="1182" t="str">
        <f>YEAR(D67)&amp;"-"&amp;ROUNDUP(MONTH(D67)/3,0)</f>
        <v>2022-3</v>
      </c>
      <c r="E69" s="1182" t="str">
        <f t="shared" ref="E69:O69" si="19">YEAR(E67)&amp;"-"&amp;ROUNDUP(MONTH(E67)/3,0)</f>
        <v>2022-2</v>
      </c>
      <c r="F69" s="1182" t="str">
        <f t="shared" si="19"/>
        <v>2022-1</v>
      </c>
      <c r="G69" s="1182" t="str">
        <f t="shared" si="19"/>
        <v>2021-4</v>
      </c>
      <c r="H69" s="1182" t="str">
        <f t="shared" si="19"/>
        <v>2021-3</v>
      </c>
      <c r="I69" s="1182" t="str">
        <f t="shared" si="19"/>
        <v>2021-2</v>
      </c>
      <c r="J69" s="1182" t="str">
        <f t="shared" si="19"/>
        <v>2021-1</v>
      </c>
      <c r="K69" s="1182" t="str">
        <f t="shared" si="19"/>
        <v>2020-4</v>
      </c>
      <c r="L69" s="1182" t="str">
        <f t="shared" si="19"/>
        <v>2020-3</v>
      </c>
      <c r="M69" s="1182" t="str">
        <f t="shared" si="19"/>
        <v>2020-2</v>
      </c>
      <c r="N69" s="1182" t="str">
        <f t="shared" si="19"/>
        <v>2020-1</v>
      </c>
      <c r="O69" s="1182" t="str">
        <f t="shared" si="19"/>
        <v>2019-4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北京市平均增长率1.66%</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625" style="357" customWidth="1"/>
    <col min="3" max="3" width="14.375" style="357" customWidth="1"/>
    <col min="4" max="4" width="12.125" style="357" customWidth="1"/>
    <col min="5" max="5" width="14.375" style="357" customWidth="1"/>
    <col min="6" max="6" width="12.125" style="357" customWidth="1"/>
    <col min="7" max="7" width="14.5" style="357" customWidth="1"/>
    <col min="8" max="8" width="12.125" style="357" customWidth="1"/>
    <col min="9" max="9" width="14.5" style="357" customWidth="1"/>
    <col min="10" max="10" width="12.125" style="357" customWidth="1"/>
    <col min="11" max="11" width="12.125" style="444" customWidth="1"/>
    <col min="12" max="12" width="12.125" style="445" customWidth="1"/>
    <col min="13" max="15" width="12.125" style="357" customWidth="1"/>
    <col min="16" max="16" width="4.625" style="357" customWidth="1"/>
    <col min="17" max="17" width="19.5" style="357" customWidth="1"/>
    <col min="18" max="22" width="6.125" style="357" customWidth="1"/>
    <col min="23" max="23" width="5.625" style="357" customWidth="1"/>
    <col min="24" max="24" width="4.125" style="357" customWidth="1"/>
    <col min="25" max="25" width="3.5" style="357" customWidth="1"/>
    <col min="26" max="26" width="19.62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06" t="s">
        <v>1770</v>
      </c>
      <c r="D4" s="3707"/>
      <c r="E4" s="3708" t="s">
        <v>1771</v>
      </c>
      <c r="F4" s="3709"/>
      <c r="G4" s="3706" t="s">
        <v>1772</v>
      </c>
      <c r="H4" s="3707"/>
      <c r="I4" s="3706" t="s">
        <v>1773</v>
      </c>
      <c r="J4" s="3707"/>
      <c r="K4" s="559" t="s">
        <v>1774</v>
      </c>
      <c r="L4" s="2715"/>
      <c r="M4" s="2716"/>
      <c r="N4" s="2716"/>
      <c r="O4" s="2716"/>
      <c r="P4" s="3710" t="s">
        <v>1775</v>
      </c>
      <c r="Q4" s="3711"/>
      <c r="R4" s="3693" t="s">
        <v>1771</v>
      </c>
      <c r="S4" s="3694"/>
      <c r="T4" s="3693" t="s">
        <v>1772</v>
      </c>
      <c r="U4" s="3694"/>
      <c r="V4" s="3718" t="s">
        <v>1773</v>
      </c>
      <c r="W4" s="3718"/>
      <c r="X4" s="1355"/>
      <c r="Y4" s="3693" t="s">
        <v>1775</v>
      </c>
      <c r="Z4" s="3694"/>
      <c r="AA4" s="3688" t="s">
        <v>1771</v>
      </c>
      <c r="AB4" s="3689" t="s">
        <v>1772</v>
      </c>
      <c r="AC4" s="3688" t="s">
        <v>1773</v>
      </c>
    </row>
    <row r="5" spans="1:29" ht="15">
      <c r="A5" s="358"/>
      <c r="B5" s="359"/>
      <c r="C5" s="3699" t="s">
        <v>1673</v>
      </c>
      <c r="D5" s="3700"/>
      <c r="E5" s="3697" t="s">
        <v>1674</v>
      </c>
      <c r="F5" s="3698"/>
      <c r="G5" s="3699" t="s">
        <v>1675</v>
      </c>
      <c r="H5" s="3700"/>
      <c r="I5" s="3699" t="s">
        <v>1676</v>
      </c>
      <c r="J5" s="3700"/>
      <c r="K5" s="559"/>
      <c r="L5" s="2715"/>
      <c r="M5" s="2716"/>
      <c r="N5" s="2716"/>
      <c r="O5" s="2716"/>
      <c r="P5" s="3712"/>
      <c r="Q5" s="3713"/>
      <c r="R5" s="3695"/>
      <c r="S5" s="3696"/>
      <c r="T5" s="3695"/>
      <c r="U5" s="3696"/>
      <c r="V5" s="3718"/>
      <c r="W5" s="3718"/>
      <c r="X5" s="1355"/>
      <c r="Y5" s="3695"/>
      <c r="Z5" s="3696"/>
      <c r="AA5" s="3689"/>
      <c r="AB5" s="3689"/>
      <c r="AC5" s="3689"/>
    </row>
    <row r="6" spans="1:29" ht="15.75" thickBot="1">
      <c r="A6" s="360"/>
      <c r="B6" s="361"/>
      <c r="C6" s="3754" t="s">
        <v>1919</v>
      </c>
      <c r="D6" s="3755"/>
      <c r="E6" s="3756" t="s">
        <v>1919</v>
      </c>
      <c r="F6" s="3757"/>
      <c r="G6" s="3754" t="s">
        <v>1919</v>
      </c>
      <c r="H6" s="3755"/>
      <c r="I6" s="3754" t="s">
        <v>1919</v>
      </c>
      <c r="J6" s="3755"/>
      <c r="K6" s="559" t="s">
        <v>1678</v>
      </c>
      <c r="L6" s="2715"/>
      <c r="M6" s="2716"/>
      <c r="N6" s="2716"/>
      <c r="O6" s="2716"/>
      <c r="P6" s="3714"/>
      <c r="Q6" s="3715"/>
      <c r="R6" s="3695"/>
      <c r="S6" s="3696"/>
      <c r="T6" s="3716"/>
      <c r="U6" s="3717"/>
      <c r="V6" s="3718"/>
      <c r="W6" s="3718"/>
      <c r="X6" s="1355"/>
      <c r="Y6" s="3716"/>
      <c r="Z6" s="3717"/>
      <c r="AA6" s="3690"/>
      <c r="AB6" s="3690"/>
      <c r="AC6" s="3690"/>
    </row>
    <row r="7" spans="1:29" s="108" customFormat="1" ht="15.75" thickBot="1">
      <c r="A7" s="362" t="s">
        <v>1679</v>
      </c>
      <c r="B7" s="363"/>
      <c r="C7" s="364">
        <f>'数据-取费表'!B2</f>
        <v>44916</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91" t="s">
        <v>1680</v>
      </c>
      <c r="Q7" s="3719"/>
      <c r="R7" s="701" t="s">
        <v>14</v>
      </c>
      <c r="S7" s="702">
        <f t="shared" ref="S7:S15" si="0">F7</f>
        <v>0</v>
      </c>
      <c r="T7" s="701" t="s">
        <v>14</v>
      </c>
      <c r="U7" s="702">
        <f t="shared" ref="U7:U15" si="1">H7</f>
        <v>0</v>
      </c>
      <c r="V7" s="701" t="s">
        <v>14</v>
      </c>
      <c r="W7" s="702">
        <f t="shared" ref="W7:W15" si="2">J7</f>
        <v>0</v>
      </c>
      <c r="X7" s="703"/>
      <c r="Y7" s="3691" t="s">
        <v>1680</v>
      </c>
      <c r="Z7" s="3692"/>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91" t="s">
        <v>1683</v>
      </c>
      <c r="Q8" s="3692"/>
      <c r="R8" s="701" t="s">
        <v>14</v>
      </c>
      <c r="S8" s="702">
        <f t="shared" si="0"/>
        <v>0</v>
      </c>
      <c r="T8" s="701" t="s">
        <v>14</v>
      </c>
      <c r="U8" s="702">
        <f t="shared" si="1"/>
        <v>0</v>
      </c>
      <c r="V8" s="701" t="s">
        <v>14</v>
      </c>
      <c r="W8" s="702">
        <f t="shared" si="2"/>
        <v>0</v>
      </c>
      <c r="X8" s="703"/>
      <c r="Y8" s="3691" t="s">
        <v>1683</v>
      </c>
      <c r="Z8" s="3692"/>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23" t="s">
        <v>1686</v>
      </c>
      <c r="Q9" s="1343" t="str">
        <f t="shared" ref="Q9:Q15" si="6">B9</f>
        <v>用途</v>
      </c>
      <c r="R9" s="701" t="s">
        <v>14</v>
      </c>
      <c r="S9" s="702">
        <f t="shared" si="0"/>
        <v>100</v>
      </c>
      <c r="T9" s="701" t="s">
        <v>14</v>
      </c>
      <c r="U9" s="702">
        <f t="shared" si="1"/>
        <v>100</v>
      </c>
      <c r="V9" s="701" t="s">
        <v>14</v>
      </c>
      <c r="W9" s="702">
        <f t="shared" si="2"/>
        <v>100</v>
      </c>
      <c r="X9" s="703"/>
      <c r="Y9" s="3616"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113</v>
      </c>
      <c r="G10" s="383"/>
      <c r="H10" s="127">
        <f>ROUND(100/'数据-取费表'!G16,0)</f>
        <v>113</v>
      </c>
      <c r="I10" s="383"/>
      <c r="J10" s="127">
        <f>ROUND(100/'数据-取费表'!G16,0)</f>
        <v>113</v>
      </c>
      <c r="K10" s="620"/>
      <c r="L10" s="2719"/>
      <c r="M10" s="2720"/>
      <c r="N10" s="2720"/>
      <c r="O10" s="2773"/>
      <c r="P10" s="3723"/>
      <c r="Q10" s="1343" t="str">
        <f t="shared" si="6"/>
        <v>土地使用年限（年）</v>
      </c>
      <c r="R10" s="701" t="s">
        <v>14</v>
      </c>
      <c r="S10" s="702">
        <f t="shared" si="0"/>
        <v>113</v>
      </c>
      <c r="T10" s="701" t="s">
        <v>14</v>
      </c>
      <c r="U10" s="702">
        <f t="shared" si="1"/>
        <v>113</v>
      </c>
      <c r="V10" s="701" t="s">
        <v>14</v>
      </c>
      <c r="W10" s="702">
        <f t="shared" si="2"/>
        <v>113</v>
      </c>
      <c r="X10" s="703"/>
      <c r="Y10" s="3616"/>
      <c r="Z10" s="52" t="str">
        <f t="shared" si="7"/>
        <v>土地使用年限（年）</v>
      </c>
      <c r="AA10" s="704">
        <f t="shared" si="3"/>
        <v>0.88495575221238942</v>
      </c>
      <c r="AB10" s="704">
        <f t="shared" si="4"/>
        <v>0.88495575221238942</v>
      </c>
      <c r="AC10" s="704">
        <f t="shared" si="5"/>
        <v>0.88495575221238942</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23"/>
      <c r="Q11" s="1343" t="str">
        <f t="shared" si="6"/>
        <v>容积率</v>
      </c>
      <c r="R11" s="701" t="s">
        <v>14</v>
      </c>
      <c r="S11" s="702" t="e">
        <f t="shared" si="0"/>
        <v>#N/A</v>
      </c>
      <c r="T11" s="701" t="s">
        <v>14</v>
      </c>
      <c r="U11" s="702" t="e">
        <f t="shared" si="1"/>
        <v>#N/A</v>
      </c>
      <c r="V11" s="701" t="s">
        <v>14</v>
      </c>
      <c r="W11" s="702" t="e">
        <f t="shared" si="2"/>
        <v>#N/A</v>
      </c>
      <c r="X11" s="703"/>
      <c r="Y11" s="3616"/>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23"/>
      <c r="Q12" s="1343">
        <f t="shared" si="6"/>
        <v>111</v>
      </c>
      <c r="R12" s="701" t="s">
        <v>14</v>
      </c>
      <c r="S12" s="702">
        <f t="shared" si="0"/>
        <v>100</v>
      </c>
      <c r="T12" s="701" t="s">
        <v>14</v>
      </c>
      <c r="U12" s="702">
        <f t="shared" si="1"/>
        <v>100</v>
      </c>
      <c r="V12" s="701" t="s">
        <v>14</v>
      </c>
      <c r="W12" s="702">
        <f t="shared" si="2"/>
        <v>100</v>
      </c>
      <c r="X12" s="703"/>
      <c r="Y12" s="3616"/>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23"/>
      <c r="Q13" s="1343">
        <f t="shared" si="6"/>
        <v>111</v>
      </c>
      <c r="R13" s="701" t="s">
        <v>14</v>
      </c>
      <c r="S13" s="702">
        <f t="shared" si="0"/>
        <v>100</v>
      </c>
      <c r="T13" s="701" t="s">
        <v>14</v>
      </c>
      <c r="U13" s="702">
        <f t="shared" si="1"/>
        <v>100</v>
      </c>
      <c r="V13" s="701" t="s">
        <v>14</v>
      </c>
      <c r="W13" s="702">
        <f t="shared" si="2"/>
        <v>100</v>
      </c>
      <c r="X13" s="703"/>
      <c r="Y13" s="3616"/>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23"/>
      <c r="Q14" s="1343">
        <f t="shared" si="6"/>
        <v>111</v>
      </c>
      <c r="R14" s="701" t="s">
        <v>14</v>
      </c>
      <c r="S14" s="702">
        <f t="shared" si="0"/>
        <v>100</v>
      </c>
      <c r="T14" s="701" t="s">
        <v>14</v>
      </c>
      <c r="U14" s="702">
        <f t="shared" si="1"/>
        <v>100</v>
      </c>
      <c r="V14" s="701" t="s">
        <v>14</v>
      </c>
      <c r="W14" s="702">
        <f t="shared" si="2"/>
        <v>100</v>
      </c>
      <c r="X14" s="703"/>
      <c r="Y14" s="3616"/>
      <c r="Z14" s="52">
        <f t="shared" si="7"/>
        <v>111</v>
      </c>
      <c r="AA14" s="704">
        <f t="shared" si="3"/>
        <v>1</v>
      </c>
      <c r="AB14" s="704">
        <f t="shared" si="4"/>
        <v>1</v>
      </c>
      <c r="AC14" s="704">
        <f t="shared" si="5"/>
        <v>1</v>
      </c>
    </row>
    <row r="15" spans="1:29" ht="15">
      <c r="A15" s="391" t="s">
        <v>1690</v>
      </c>
      <c r="B15" s="577" t="s">
        <v>1920</v>
      </c>
      <c r="C15" s="1971">
        <f>估价对象房地状况!G15</f>
        <v>0</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25" t="s">
        <v>1691</v>
      </c>
      <c r="Q15" s="1352" t="str">
        <f t="shared" si="6"/>
        <v>产业集聚程度</v>
      </c>
      <c r="R15" s="705" t="s">
        <v>14</v>
      </c>
      <c r="S15" s="706">
        <f t="shared" si="0"/>
        <v>100</v>
      </c>
      <c r="T15" s="705" t="s">
        <v>14</v>
      </c>
      <c r="U15" s="706">
        <f t="shared" si="1"/>
        <v>100</v>
      </c>
      <c r="V15" s="705" t="s">
        <v>14</v>
      </c>
      <c r="W15" s="706">
        <f t="shared" si="2"/>
        <v>100</v>
      </c>
      <c r="X15" s="1355"/>
      <c r="Y15" s="3725"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26"/>
      <c r="Q16" s="1352"/>
      <c r="R16" s="705"/>
      <c r="S16" s="706"/>
      <c r="T16" s="705"/>
      <c r="U16" s="706"/>
      <c r="V16" s="705"/>
      <c r="W16" s="706"/>
      <c r="X16" s="1355"/>
      <c r="Y16" s="3726"/>
      <c r="Z16" s="1356"/>
      <c r="AA16" s="1353">
        <v>1</v>
      </c>
      <c r="AB16" s="1353">
        <v>1</v>
      </c>
      <c r="AC16" s="1353">
        <v>1</v>
      </c>
    </row>
    <row r="17" spans="1:29" ht="15">
      <c r="A17" s="379"/>
      <c r="B17" s="579" t="s">
        <v>1833</v>
      </c>
      <c r="C17" s="1900">
        <f>估价对象房地状况!G16</f>
        <v>0</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26"/>
      <c r="Q17" s="1352" t="str">
        <f>B17</f>
        <v>交通便捷度</v>
      </c>
      <c r="R17" s="705" t="s">
        <v>14</v>
      </c>
      <c r="S17" s="706">
        <f>F17</f>
        <v>100</v>
      </c>
      <c r="T17" s="705" t="s">
        <v>14</v>
      </c>
      <c r="U17" s="706">
        <f>H17</f>
        <v>100</v>
      </c>
      <c r="V17" s="705" t="s">
        <v>14</v>
      </c>
      <c r="W17" s="706">
        <f>J17</f>
        <v>100</v>
      </c>
      <c r="X17" s="1355"/>
      <c r="Y17" s="3726"/>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26"/>
      <c r="Q18" s="1352"/>
      <c r="R18" s="705"/>
      <c r="S18" s="706"/>
      <c r="T18" s="705"/>
      <c r="U18" s="706"/>
      <c r="V18" s="705"/>
      <c r="W18" s="706"/>
      <c r="X18" s="1355"/>
      <c r="Y18" s="3726"/>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26"/>
      <c r="Q19" s="1352" t="str">
        <f t="shared" ref="Q19:Q33" si="8">B19</f>
        <v>区域土地利用方向</v>
      </c>
      <c r="R19" s="705" t="s">
        <v>14</v>
      </c>
      <c r="S19" s="706">
        <f>F19</f>
        <v>100</v>
      </c>
      <c r="T19" s="705" t="s">
        <v>14</v>
      </c>
      <c r="U19" s="706">
        <f>H19</f>
        <v>100</v>
      </c>
      <c r="V19" s="705" t="s">
        <v>14</v>
      </c>
      <c r="W19" s="706">
        <f>J19</f>
        <v>100</v>
      </c>
      <c r="X19" s="1355"/>
      <c r="Y19" s="3726"/>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26"/>
      <c r="Q20" s="1352"/>
      <c r="R20" s="705"/>
      <c r="S20" s="706"/>
      <c r="T20" s="705"/>
      <c r="U20" s="706"/>
      <c r="V20" s="705"/>
      <c r="W20" s="706"/>
      <c r="X20" s="1355"/>
      <c r="Y20" s="3726"/>
      <c r="Z20" s="1356"/>
      <c r="AA20" s="1353"/>
      <c r="AB20" s="1353"/>
      <c r="AC20" s="1353"/>
    </row>
    <row r="21" spans="1:29" ht="15">
      <c r="A21" s="358"/>
      <c r="B21" s="579" t="s">
        <v>1921</v>
      </c>
      <c r="C21" s="1900">
        <f>估价对象房地状况!G18</f>
        <v>0</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26"/>
      <c r="Q21" s="1352" t="str">
        <f t="shared" si="8"/>
        <v>环境状况</v>
      </c>
      <c r="R21" s="705" t="s">
        <v>14</v>
      </c>
      <c r="S21" s="706">
        <f>F21</f>
        <v>100</v>
      </c>
      <c r="T21" s="705" t="s">
        <v>14</v>
      </c>
      <c r="U21" s="706">
        <f>H21</f>
        <v>100</v>
      </c>
      <c r="V21" s="705" t="s">
        <v>14</v>
      </c>
      <c r="W21" s="706">
        <f>J21</f>
        <v>100</v>
      </c>
      <c r="X21" s="1355"/>
      <c r="Y21" s="3726"/>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26"/>
      <c r="Q22" s="1352"/>
      <c r="R22" s="705"/>
      <c r="S22" s="706"/>
      <c r="T22" s="705"/>
      <c r="U22" s="706"/>
      <c r="V22" s="705"/>
      <c r="W22" s="706"/>
      <c r="X22" s="1355"/>
      <c r="Y22" s="3726"/>
      <c r="Z22" s="1356"/>
      <c r="AA22" s="1353">
        <v>1</v>
      </c>
      <c r="AB22" s="1353">
        <v>1</v>
      </c>
      <c r="AC22" s="1353">
        <v>1</v>
      </c>
    </row>
    <row r="23" spans="1:29" s="108" customFormat="1" ht="15">
      <c r="A23" s="597"/>
      <c r="B23" s="581" t="s">
        <v>1778</v>
      </c>
      <c r="C23" s="1900">
        <f>估价对象房地状况!G19</f>
        <v>0</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26"/>
      <c r="Q23" s="1343" t="str">
        <f t="shared" si="8"/>
        <v>公共配套设施</v>
      </c>
      <c r="R23" s="701" t="s">
        <v>14</v>
      </c>
      <c r="S23" s="702">
        <f>F23</f>
        <v>100</v>
      </c>
      <c r="T23" s="701" t="s">
        <v>14</v>
      </c>
      <c r="U23" s="702">
        <f>H23</f>
        <v>100</v>
      </c>
      <c r="V23" s="701" t="s">
        <v>14</v>
      </c>
      <c r="W23" s="702">
        <f>J23</f>
        <v>100</v>
      </c>
      <c r="X23" s="703"/>
      <c r="Y23" s="3726"/>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26"/>
      <c r="Q24" s="1343"/>
      <c r="R24" s="701"/>
      <c r="S24" s="702"/>
      <c r="T24" s="701"/>
      <c r="U24" s="702"/>
      <c r="V24" s="701"/>
      <c r="W24" s="702"/>
      <c r="X24" s="703"/>
      <c r="Y24" s="3726"/>
      <c r="Z24" s="52"/>
      <c r="AA24" s="704">
        <v>1</v>
      </c>
      <c r="AB24" s="704">
        <v>1</v>
      </c>
      <c r="AC24" s="704">
        <v>1</v>
      </c>
    </row>
    <row r="25" spans="1:29" s="108" customFormat="1" ht="15">
      <c r="A25" s="597"/>
      <c r="B25" s="581" t="s">
        <v>1779</v>
      </c>
      <c r="C25" s="1900">
        <f>估价对象房地状况!G20</f>
        <v>0</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26"/>
      <c r="Q25" s="1343" t="str">
        <f t="shared" ref="Q25" si="9">B25</f>
        <v>基础设施水平</v>
      </c>
      <c r="R25" s="701" t="s">
        <v>14</v>
      </c>
      <c r="S25" s="702">
        <f>F25</f>
        <v>100</v>
      </c>
      <c r="T25" s="701" t="s">
        <v>14</v>
      </c>
      <c r="U25" s="702">
        <f>H25</f>
        <v>100</v>
      </c>
      <c r="V25" s="701" t="s">
        <v>14</v>
      </c>
      <c r="W25" s="702">
        <f>J25</f>
        <v>100</v>
      </c>
      <c r="X25" s="703"/>
      <c r="Y25" s="3726"/>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26"/>
      <c r="Q26" s="1343"/>
      <c r="R26" s="701"/>
      <c r="S26" s="702"/>
      <c r="T26" s="701"/>
      <c r="U26" s="702"/>
      <c r="V26" s="701"/>
      <c r="W26" s="702"/>
      <c r="X26" s="703"/>
      <c r="Y26" s="3726"/>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26"/>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26"/>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26"/>
      <c r="Q28" s="1352" t="str">
        <f t="shared" si="8"/>
        <v>毗邻道路的类型与等级</v>
      </c>
      <c r="R28" s="705" t="s">
        <v>14</v>
      </c>
      <c r="S28" s="706">
        <f t="shared" si="10"/>
        <v>100</v>
      </c>
      <c r="T28" s="705" t="s">
        <v>14</v>
      </c>
      <c r="U28" s="706">
        <f t="shared" si="11"/>
        <v>100</v>
      </c>
      <c r="V28" s="705" t="s">
        <v>14</v>
      </c>
      <c r="W28" s="706">
        <f t="shared" si="12"/>
        <v>100</v>
      </c>
      <c r="X28" s="1355"/>
      <c r="Y28" s="3726"/>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26"/>
      <c r="Q29" s="1352"/>
      <c r="R29" s="705"/>
      <c r="S29" s="706"/>
      <c r="T29" s="705"/>
      <c r="U29" s="706"/>
      <c r="V29" s="705"/>
      <c r="W29" s="706"/>
      <c r="X29" s="1355"/>
      <c r="Y29" s="3726"/>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26"/>
      <c r="Q30" s="1352" t="str">
        <f t="shared" si="8"/>
        <v>土地级别</v>
      </c>
      <c r="R30" s="705" t="s">
        <v>14</v>
      </c>
      <c r="S30" s="706">
        <f t="shared" si="10"/>
        <v>100</v>
      </c>
      <c r="T30" s="705" t="s">
        <v>14</v>
      </c>
      <c r="U30" s="706">
        <f t="shared" si="11"/>
        <v>100</v>
      </c>
      <c r="V30" s="705" t="s">
        <v>14</v>
      </c>
      <c r="W30" s="706">
        <f t="shared" si="12"/>
        <v>100</v>
      </c>
      <c r="X30" s="1355"/>
      <c r="Y30" s="3726"/>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26"/>
      <c r="Q31" s="1352">
        <f t="shared" si="8"/>
        <v>111</v>
      </c>
      <c r="R31" s="705" t="s">
        <v>14</v>
      </c>
      <c r="S31" s="706">
        <f t="shared" si="10"/>
        <v>100</v>
      </c>
      <c r="T31" s="705" t="s">
        <v>14</v>
      </c>
      <c r="U31" s="706">
        <f t="shared" si="11"/>
        <v>100</v>
      </c>
      <c r="V31" s="705" t="s">
        <v>14</v>
      </c>
      <c r="W31" s="706">
        <f t="shared" si="12"/>
        <v>100</v>
      </c>
      <c r="X31" s="1355"/>
      <c r="Y31" s="3726"/>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49" t="s">
        <v>1696</v>
      </c>
      <c r="Q32" s="1352">
        <f t="shared" si="8"/>
        <v>111</v>
      </c>
      <c r="R32" s="705" t="s">
        <v>14</v>
      </c>
      <c r="S32" s="706">
        <f t="shared" si="10"/>
        <v>100</v>
      </c>
      <c r="T32" s="705" t="s">
        <v>14</v>
      </c>
      <c r="U32" s="706">
        <f t="shared" si="11"/>
        <v>100</v>
      </c>
      <c r="V32" s="705" t="s">
        <v>14</v>
      </c>
      <c r="W32" s="706">
        <f t="shared" si="12"/>
        <v>100</v>
      </c>
      <c r="X32" s="1355"/>
      <c r="Y32" s="3730"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30"/>
      <c r="Q33" s="1352">
        <f t="shared" si="8"/>
        <v>111</v>
      </c>
      <c r="R33" s="708" t="s">
        <v>14</v>
      </c>
      <c r="S33" s="709">
        <f t="shared" si="10"/>
        <v>100</v>
      </c>
      <c r="T33" s="708" t="s">
        <v>14</v>
      </c>
      <c r="U33" s="709">
        <f t="shared" si="11"/>
        <v>100</v>
      </c>
      <c r="V33" s="708" t="s">
        <v>14</v>
      </c>
      <c r="W33" s="709">
        <f t="shared" si="12"/>
        <v>100</v>
      </c>
      <c r="X33" s="710"/>
      <c r="Y33" s="3730"/>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30"/>
      <c r="Q34" s="1352" t="str">
        <f>B34</f>
        <v>宗地面积</v>
      </c>
      <c r="R34" s="705" t="s">
        <v>14</v>
      </c>
      <c r="S34" s="706" t="e">
        <f t="shared" si="10"/>
        <v>#N/A</v>
      </c>
      <c r="T34" s="705" t="s">
        <v>14</v>
      </c>
      <c r="U34" s="706" t="e">
        <f t="shared" si="11"/>
        <v>#N/A</v>
      </c>
      <c r="V34" s="705" t="s">
        <v>14</v>
      </c>
      <c r="W34" s="706" t="e">
        <f t="shared" si="12"/>
        <v>#N/A</v>
      </c>
      <c r="X34" s="1355"/>
      <c r="Y34" s="3730"/>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30"/>
      <c r="Q35" s="1352" t="str">
        <f t="shared" ref="Q35:Q40" si="14">B35</f>
        <v>宗地形状</v>
      </c>
      <c r="R35" s="705" t="s">
        <v>14</v>
      </c>
      <c r="S35" s="706">
        <f t="shared" si="10"/>
        <v>100</v>
      </c>
      <c r="T35" s="705" t="s">
        <v>14</v>
      </c>
      <c r="U35" s="706">
        <f t="shared" si="11"/>
        <v>100</v>
      </c>
      <c r="V35" s="705" t="s">
        <v>14</v>
      </c>
      <c r="W35" s="706">
        <f t="shared" si="12"/>
        <v>100</v>
      </c>
      <c r="X35" s="1355"/>
      <c r="Y35" s="3730"/>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30"/>
      <c r="Q36" s="1352" t="str">
        <f t="shared" si="14"/>
        <v>宗地开发程度</v>
      </c>
      <c r="R36" s="701" t="s">
        <v>14</v>
      </c>
      <c r="S36" s="702">
        <f t="shared" si="10"/>
        <v>100</v>
      </c>
      <c r="T36" s="701" t="s">
        <v>14</v>
      </c>
      <c r="U36" s="702">
        <f t="shared" si="11"/>
        <v>100</v>
      </c>
      <c r="V36" s="701" t="s">
        <v>14</v>
      </c>
      <c r="W36" s="702">
        <f t="shared" si="12"/>
        <v>100</v>
      </c>
      <c r="X36" s="703"/>
      <c r="Y36" s="3730"/>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30" t="s">
        <v>1696</v>
      </c>
      <c r="Q37" s="1352" t="str">
        <f t="shared" si="14"/>
        <v>工程地质条件</v>
      </c>
      <c r="R37" s="705" t="s">
        <v>14</v>
      </c>
      <c r="S37" s="706">
        <f t="shared" si="10"/>
        <v>100</v>
      </c>
      <c r="T37" s="705" t="s">
        <v>14</v>
      </c>
      <c r="U37" s="706">
        <f t="shared" si="11"/>
        <v>100</v>
      </c>
      <c r="V37" s="705" t="s">
        <v>14</v>
      </c>
      <c r="W37" s="706">
        <f t="shared" si="12"/>
        <v>100</v>
      </c>
      <c r="X37" s="1355"/>
      <c r="Y37" s="3730"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30"/>
      <c r="Q38" s="1352">
        <f t="shared" si="14"/>
        <v>111</v>
      </c>
      <c r="R38" s="705" t="s">
        <v>14</v>
      </c>
      <c r="S38" s="706">
        <f t="shared" si="10"/>
        <v>100</v>
      </c>
      <c r="T38" s="705" t="s">
        <v>14</v>
      </c>
      <c r="U38" s="706">
        <f t="shared" si="11"/>
        <v>100</v>
      </c>
      <c r="V38" s="705" t="s">
        <v>14</v>
      </c>
      <c r="W38" s="706">
        <f t="shared" si="12"/>
        <v>100</v>
      </c>
      <c r="X38" s="1355"/>
      <c r="Y38" s="3730"/>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30"/>
      <c r="Q39" s="1352">
        <f t="shared" si="14"/>
        <v>111</v>
      </c>
      <c r="R39" s="705" t="s">
        <v>14</v>
      </c>
      <c r="S39" s="706">
        <f t="shared" si="10"/>
        <v>100</v>
      </c>
      <c r="T39" s="705" t="s">
        <v>14</v>
      </c>
      <c r="U39" s="706">
        <f t="shared" si="11"/>
        <v>100</v>
      </c>
      <c r="V39" s="705" t="s">
        <v>14</v>
      </c>
      <c r="W39" s="706">
        <f t="shared" si="12"/>
        <v>100</v>
      </c>
      <c r="X39" s="1355"/>
      <c r="Y39" s="3730"/>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30"/>
      <c r="Q40" s="1352">
        <f t="shared" si="14"/>
        <v>111</v>
      </c>
      <c r="R40" s="708" t="s">
        <v>14</v>
      </c>
      <c r="S40" s="709">
        <f t="shared" si="10"/>
        <v>100</v>
      </c>
      <c r="T40" s="708" t="s">
        <v>14</v>
      </c>
      <c r="U40" s="709">
        <f t="shared" si="11"/>
        <v>100</v>
      </c>
      <c r="V40" s="708" t="s">
        <v>14</v>
      </c>
      <c r="W40" s="709">
        <f t="shared" si="12"/>
        <v>100</v>
      </c>
      <c r="X40" s="710"/>
      <c r="Y40" s="3730"/>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23" t="str">
        <f>A41</f>
        <v>成交单价</v>
      </c>
      <c r="Q41" s="3723"/>
      <c r="R41" s="3718">
        <f>E41</f>
        <v>0</v>
      </c>
      <c r="S41" s="3718"/>
      <c r="T41" s="3718">
        <f>G41</f>
        <v>0</v>
      </c>
      <c r="U41" s="3718"/>
      <c r="V41" s="3718">
        <f>I41</f>
        <v>0</v>
      </c>
      <c r="W41" s="3718"/>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23" t="str">
        <f>A42</f>
        <v>比较价值（元/平方米）</v>
      </c>
      <c r="Q42" s="3723"/>
      <c r="R42" s="3751" t="e">
        <f>ROUND(PRODUCT(R41,AA7:AA40),0)</f>
        <v>#DIV/0!</v>
      </c>
      <c r="S42" s="3751"/>
      <c r="T42" s="3751" t="e">
        <f>ROUND(PRODUCT(T41,AB7:AB40),0)</f>
        <v>#DIV/0!</v>
      </c>
      <c r="U42" s="3751"/>
      <c r="V42" s="3751" t="e">
        <f>ROUND(PRODUCT(V41,AC7:AC40),0)</f>
        <v>#DIV/0!</v>
      </c>
      <c r="W42" s="3751"/>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20" t="str">
        <f>A43</f>
        <v>估价对象XX用房的比较价值（楼面单价，元/平方米）</v>
      </c>
      <c r="Q43" s="3721"/>
      <c r="R43" s="3752" t="e">
        <f>ROUND(IF(D42="简单平均",AVERAGE(R42:W42),R42*F42+T42*H42+V42*J42),0)</f>
        <v>#DIV/0!</v>
      </c>
      <c r="S43" s="3752"/>
      <c r="T43" s="3752"/>
      <c r="U43" s="3752"/>
      <c r="V43" s="3752"/>
      <c r="W43" s="3752"/>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06" t="s">
        <v>1887</v>
      </c>
      <c r="H50" s="3753"/>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25739.82</v>
      </c>
      <c r="F51" s="639" t="e">
        <f t="shared" ref="F51:F60" si="15">ROUND(B51*E51/10000,0)</f>
        <v>#DIV/0!</v>
      </c>
      <c r="G51" s="3705"/>
      <c r="H51" s="3723"/>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74231.63</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2022-12-1</v>
      </c>
      <c r="D63" s="692">
        <f>EDATE(C63,-3)</f>
        <v>44805</v>
      </c>
      <c r="E63" s="692">
        <f>EDATE(D63,-3)</f>
        <v>44713</v>
      </c>
      <c r="F63" s="692">
        <f t="shared" ref="F63:O63" si="18">EDATE(E63,-3)</f>
        <v>44621</v>
      </c>
      <c r="G63" s="692">
        <f t="shared" si="18"/>
        <v>44531</v>
      </c>
      <c r="H63" s="692">
        <f t="shared" si="18"/>
        <v>44440</v>
      </c>
      <c r="I63" s="692">
        <f t="shared" si="18"/>
        <v>44348</v>
      </c>
      <c r="J63" s="692">
        <f t="shared" si="18"/>
        <v>44256</v>
      </c>
      <c r="K63" s="692">
        <f t="shared" si="18"/>
        <v>44166</v>
      </c>
      <c r="L63" s="692">
        <f t="shared" si="18"/>
        <v>44075</v>
      </c>
      <c r="M63" s="692">
        <f t="shared" si="18"/>
        <v>43983</v>
      </c>
      <c r="N63" s="692">
        <f t="shared" si="18"/>
        <v>43891</v>
      </c>
      <c r="O63" s="692">
        <f t="shared" si="18"/>
        <v>43800</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2022-4</v>
      </c>
      <c r="D65" s="1182" t="str">
        <f t="shared" ref="D65:O65" si="19">YEAR(D63)&amp;"-"&amp;ROUNDUP(MONTH(D63)/3,0)</f>
        <v>2022-3</v>
      </c>
      <c r="E65" s="1182" t="str">
        <f t="shared" si="19"/>
        <v>2022-2</v>
      </c>
      <c r="F65" s="1182" t="str">
        <f t="shared" si="19"/>
        <v>2022-1</v>
      </c>
      <c r="G65" s="1182" t="str">
        <f t="shared" si="19"/>
        <v>2021-4</v>
      </c>
      <c r="H65" s="1182" t="str">
        <f t="shared" si="19"/>
        <v>2021-3</v>
      </c>
      <c r="I65" s="1182" t="str">
        <f t="shared" si="19"/>
        <v>2021-2</v>
      </c>
      <c r="J65" s="1182" t="str">
        <f t="shared" si="19"/>
        <v>2021-1</v>
      </c>
      <c r="K65" s="1182" t="str">
        <f t="shared" si="19"/>
        <v>2020-4</v>
      </c>
      <c r="L65" s="1182" t="str">
        <f t="shared" si="19"/>
        <v>2020-3</v>
      </c>
      <c r="M65" s="1182" t="str">
        <f t="shared" si="19"/>
        <v>2020-2</v>
      </c>
      <c r="N65" s="1182" t="str">
        <f t="shared" si="19"/>
        <v>2020-1</v>
      </c>
      <c r="O65" s="1182" t="str">
        <f t="shared" si="19"/>
        <v>2019-4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北京市平均增长率1.10%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1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1" t="s">
        <v>2084</v>
      </c>
      <c r="D1" s="3762"/>
      <c r="E1" s="3762"/>
      <c r="F1" s="3762"/>
      <c r="G1" s="3762"/>
      <c r="H1" s="3762"/>
      <c r="I1" s="3762"/>
      <c r="J1" s="3762"/>
      <c r="K1" s="3762"/>
      <c r="L1" s="3762"/>
      <c r="M1" s="3762"/>
      <c r="N1" s="3762"/>
      <c r="O1" s="3762"/>
      <c r="P1" s="3762"/>
      <c r="Q1" s="3762"/>
      <c r="R1" s="3762"/>
      <c r="S1" s="3763"/>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58" t="s">
        <v>27</v>
      </c>
      <c r="D22" s="3759"/>
      <c r="E22" s="3759"/>
      <c r="F22" s="3759"/>
      <c r="G22" s="3759"/>
      <c r="H22" s="3759"/>
      <c r="I22" s="3759"/>
      <c r="J22" s="3759"/>
      <c r="K22" s="3759"/>
      <c r="L22" s="3759"/>
      <c r="M22" s="3759"/>
      <c r="N22" s="3759"/>
      <c r="O22" s="3759"/>
      <c r="P22" s="3759"/>
      <c r="Q22" s="3760"/>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6755</v>
      </c>
      <c r="C2" s="2145" t="s">
        <v>2074</v>
      </c>
      <c r="D2" s="2145" t="s">
        <v>2075</v>
      </c>
      <c r="E2" s="2612">
        <f ca="1">SUMIF(E6:E13,"&lt;&gt;#ref!",E6:E13)</f>
        <v>74231.63</v>
      </c>
      <c r="F2" s="2793"/>
      <c r="G2" s="2793"/>
      <c r="H2" s="2793"/>
      <c r="I2" s="2793"/>
      <c r="J2" s="2793"/>
      <c r="K2" s="2793"/>
      <c r="L2" s="2793"/>
      <c r="M2" s="2793"/>
      <c r="N2" s="2793"/>
      <c r="O2" s="2793"/>
      <c r="P2" s="2793"/>
    </row>
    <row r="3" spans="1:16" ht="15.75">
      <c r="A3" s="2145" t="s">
        <v>2076</v>
      </c>
      <c r="B3" s="2602">
        <f ca="1">ROUND(B2*10000/E2,0)</f>
        <v>910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6755</v>
      </c>
      <c r="C6" s="2145" t="s">
        <v>2074</v>
      </c>
      <c r="D6" s="2793"/>
      <c r="E6" s="2612">
        <f ca="1">SUMIF(INDIRECT("'"&amp;A6&amp;"'"&amp;"!C:C"),"建筑面积",INDIRECT("'"&amp;A6&amp;"'"&amp;"!D:D"))</f>
        <v>74231.63</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125" defaultRowHeight="19.5" customHeight="1"/>
  <cols>
    <col min="1" max="13" width="15.125" style="3074" customWidth="1"/>
    <col min="14" max="14" width="10" style="3074" customWidth="1"/>
    <col min="15" max="16" width="8.125" style="3074"/>
    <col min="17" max="17" width="34.125" style="3074" customWidth="1"/>
    <col min="18" max="18" width="8.125" style="3074" customWidth="1"/>
    <col min="19" max="19" width="8.125" style="3074"/>
    <col min="20" max="20" width="11.625" style="3074" customWidth="1"/>
    <col min="21" max="16384" width="8.125" style="3074"/>
  </cols>
  <sheetData>
    <row r="1" spans="1:13" ht="19.5" customHeight="1" thickBot="1">
      <c r="A1" s="3071" t="s">
        <v>2588</v>
      </c>
      <c r="B1" s="3072" t="s">
        <v>2589</v>
      </c>
      <c r="C1" s="3072" t="s">
        <v>2590</v>
      </c>
      <c r="D1" s="3072" t="s">
        <v>2591</v>
      </c>
      <c r="E1" s="3072" t="s">
        <v>2592</v>
      </c>
      <c r="F1" s="3072" t="s">
        <v>2593</v>
      </c>
      <c r="G1" s="3072" t="s">
        <v>2594</v>
      </c>
      <c r="H1" s="3072" t="s">
        <v>2595</v>
      </c>
      <c r="I1" s="3072" t="s">
        <v>2596</v>
      </c>
      <c r="J1" s="3072" t="s">
        <v>2597</v>
      </c>
      <c r="K1" s="3072" t="s">
        <v>2598</v>
      </c>
      <c r="L1" s="3072" t="s">
        <v>2599</v>
      </c>
      <c r="M1" s="3073" t="s">
        <v>2600</v>
      </c>
    </row>
    <row r="2" spans="1:13" ht="19.5" customHeight="1">
      <c r="A2" s="3075" t="s">
        <v>2601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2604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2605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2606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2607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2608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2609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2614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2615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2616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2617</v>
      </c>
      <c r="B18" s="3097"/>
      <c r="C18" s="3098"/>
      <c r="D18" s="3098"/>
      <c r="E18" s="3097"/>
      <c r="F18" s="3098"/>
      <c r="G18" s="3098"/>
    </row>
    <row r="19" spans="1:13" ht="19.5" customHeight="1" thickBot="1">
      <c r="A19" s="3095" t="s">
        <v>2618</v>
      </c>
      <c r="B19" s="3100" t="s">
        <v>2619</v>
      </c>
      <c r="C19" s="3100" t="s">
        <v>2620</v>
      </c>
      <c r="D19" s="3101"/>
      <c r="E19" s="3095" t="s">
        <v>2621</v>
      </c>
      <c r="F19" s="3102"/>
      <c r="G19" s="3102"/>
    </row>
    <row r="20" spans="1:13" ht="19.5" customHeight="1">
      <c r="A20" s="3771" t="s">
        <v>2601</v>
      </c>
      <c r="B20" s="3764" t="s">
        <v>2622</v>
      </c>
      <c r="C20" s="3103" t="s">
        <v>2433</v>
      </c>
      <c r="D20" s="3104"/>
      <c r="E20" s="3105">
        <v>1</v>
      </c>
      <c r="F20" s="3106" t="s">
        <v>2434</v>
      </c>
      <c r="G20" s="3106"/>
    </row>
    <row r="21" spans="1:13" ht="19.5" customHeight="1">
      <c r="A21" s="3772"/>
      <c r="B21" s="3765"/>
      <c r="C21" s="3107" t="s">
        <v>2435</v>
      </c>
      <c r="D21" s="3108"/>
      <c r="E21" s="3109">
        <v>1</v>
      </c>
      <c r="F21" s="3106" t="s">
        <v>2436</v>
      </c>
      <c r="G21" s="3106"/>
    </row>
    <row r="22" spans="1:13" ht="19.5" customHeight="1">
      <c r="A22" s="3772"/>
      <c r="B22" s="3765"/>
      <c r="C22" s="3107" t="s">
        <v>2437</v>
      </c>
      <c r="D22" s="3108"/>
      <c r="E22" s="3109">
        <v>0.9</v>
      </c>
      <c r="F22" s="3106" t="s">
        <v>2438</v>
      </c>
      <c r="G22" s="3106"/>
    </row>
    <row r="23" spans="1:13" ht="19.5" customHeight="1">
      <c r="A23" s="3772"/>
      <c r="B23" s="3765"/>
      <c r="C23" s="3107" t="s">
        <v>2439</v>
      </c>
      <c r="D23" s="3108"/>
      <c r="E23" s="3109">
        <v>0.9</v>
      </c>
      <c r="F23" s="3106" t="s">
        <v>2440</v>
      </c>
      <c r="G23" s="3106"/>
    </row>
    <row r="24" spans="1:13" ht="19.5" customHeight="1">
      <c r="A24" s="3772"/>
      <c r="B24" s="3765"/>
      <c r="C24" s="3107" t="s">
        <v>2441</v>
      </c>
      <c r="D24" s="3108"/>
      <c r="E24" s="3109">
        <v>0.8</v>
      </c>
      <c r="F24" s="3106" t="s">
        <v>2442</v>
      </c>
      <c r="G24" s="3106"/>
    </row>
    <row r="25" spans="1:13" ht="19.5" customHeight="1" thickBot="1">
      <c r="A25" s="3773"/>
      <c r="B25" s="3766"/>
      <c r="C25" s="3110" t="s">
        <v>2443</v>
      </c>
      <c r="D25" s="3111"/>
      <c r="E25" s="3112">
        <v>0.8</v>
      </c>
      <c r="F25" s="3106" t="s">
        <v>2444</v>
      </c>
      <c r="G25" s="3106"/>
    </row>
    <row r="26" spans="1:13" ht="19.5" customHeight="1" thickBot="1">
      <c r="A26" s="3113" t="s">
        <v>2623</v>
      </c>
      <c r="B26" s="3114" t="s">
        <v>2622</v>
      </c>
      <c r="C26" s="3115" t="s">
        <v>2624</v>
      </c>
      <c r="D26" s="3116"/>
      <c r="E26" s="3117">
        <v>1</v>
      </c>
      <c r="F26" s="3106" t="s">
        <v>2445</v>
      </c>
      <c r="G26" s="3106"/>
    </row>
    <row r="27" spans="1:13" ht="19.5" customHeight="1">
      <c r="A27" s="3767" t="s">
        <v>2625</v>
      </c>
      <c r="B27" s="3764" t="s">
        <v>2606</v>
      </c>
      <c r="C27" s="3103" t="s">
        <v>2446</v>
      </c>
      <c r="D27" s="3104"/>
      <c r="E27" s="3105">
        <v>1</v>
      </c>
      <c r="F27" s="3106" t="s">
        <v>2447</v>
      </c>
      <c r="G27" s="3106"/>
    </row>
    <row r="28" spans="1:13" ht="19.5" customHeight="1">
      <c r="A28" s="3768"/>
      <c r="B28" s="3765"/>
      <c r="C28" s="3107" t="s">
        <v>2448</v>
      </c>
      <c r="D28" s="3108"/>
      <c r="E28" s="3109">
        <v>1</v>
      </c>
      <c r="F28" s="3106" t="s">
        <v>2449</v>
      </c>
      <c r="G28" s="3106"/>
    </row>
    <row r="29" spans="1:13" ht="19.5" customHeight="1">
      <c r="A29" s="3768"/>
      <c r="B29" s="3765"/>
      <c r="C29" s="3107" t="s">
        <v>2450</v>
      </c>
      <c r="D29" s="3108"/>
      <c r="E29" s="3109">
        <v>0.8</v>
      </c>
      <c r="F29" s="3106" t="s">
        <v>2451</v>
      </c>
      <c r="G29" s="3106"/>
    </row>
    <row r="30" spans="1:13" ht="19.5" customHeight="1">
      <c r="A30" s="3768"/>
      <c r="B30" s="3765"/>
      <c r="C30" s="3107" t="s">
        <v>2452</v>
      </c>
      <c r="D30" s="3108"/>
      <c r="E30" s="3109">
        <v>0.8</v>
      </c>
      <c r="F30" s="3106" t="s">
        <v>2453</v>
      </c>
      <c r="G30" s="3106"/>
    </row>
    <row r="31" spans="1:13" ht="19.5" customHeight="1">
      <c r="A31" s="3768"/>
      <c r="B31" s="3765"/>
      <c r="C31" s="3107" t="s">
        <v>2454</v>
      </c>
      <c r="D31" s="3108"/>
      <c r="E31" s="3109">
        <v>0.8</v>
      </c>
      <c r="F31" s="3106" t="s">
        <v>2455</v>
      </c>
      <c r="G31" s="3106"/>
    </row>
    <row r="32" spans="1:13" ht="19.5" customHeight="1">
      <c r="A32" s="3768"/>
      <c r="B32" s="3765"/>
      <c r="C32" s="3107" t="s">
        <v>2456</v>
      </c>
      <c r="D32" s="3108"/>
      <c r="E32" s="3109">
        <v>0.7</v>
      </c>
      <c r="F32" s="3106" t="s">
        <v>2457</v>
      </c>
      <c r="G32" s="3106"/>
    </row>
    <row r="33" spans="1:7" ht="19.5" customHeight="1">
      <c r="A33" s="3768"/>
      <c r="B33" s="3765"/>
      <c r="C33" s="3107" t="s">
        <v>2458</v>
      </c>
      <c r="D33" s="3108"/>
      <c r="E33" s="3109">
        <v>0.8</v>
      </c>
      <c r="F33" s="3106" t="s">
        <v>2459</v>
      </c>
      <c r="G33" s="3106"/>
    </row>
    <row r="34" spans="1:7" ht="19.5" customHeight="1">
      <c r="A34" s="3768"/>
      <c r="B34" s="3765"/>
      <c r="C34" s="3107" t="s">
        <v>2460</v>
      </c>
      <c r="D34" s="3108"/>
      <c r="E34" s="3109">
        <v>0.6</v>
      </c>
      <c r="F34" s="3106" t="s">
        <v>2461</v>
      </c>
      <c r="G34" s="3106"/>
    </row>
    <row r="35" spans="1:7" ht="19.5" customHeight="1">
      <c r="A35" s="3768"/>
      <c r="B35" s="3765"/>
      <c r="C35" s="3107" t="s">
        <v>2462</v>
      </c>
      <c r="D35" s="3108"/>
      <c r="E35" s="3109">
        <v>0.2</v>
      </c>
      <c r="F35" s="3106" t="s">
        <v>2463</v>
      </c>
      <c r="G35" s="3106"/>
    </row>
    <row r="36" spans="1:7" ht="19.5" customHeight="1">
      <c r="A36" s="3768"/>
      <c r="B36" s="3765"/>
      <c r="C36" s="3107" t="s">
        <v>2464</v>
      </c>
      <c r="D36" s="3108"/>
      <c r="E36" s="3109">
        <v>0.2</v>
      </c>
      <c r="F36" s="3106" t="s">
        <v>2465</v>
      </c>
      <c r="G36" s="3106"/>
    </row>
    <row r="37" spans="1:7" ht="19.5" customHeight="1">
      <c r="A37" s="3768"/>
      <c r="B37" s="3770" t="s">
        <v>2626</v>
      </c>
      <c r="C37" s="3107" t="s">
        <v>2466</v>
      </c>
      <c r="D37" s="3108"/>
      <c r="E37" s="3109">
        <v>0.6</v>
      </c>
      <c r="F37" s="3106" t="s">
        <v>2467</v>
      </c>
      <c r="G37" s="3106"/>
    </row>
    <row r="38" spans="1:7" ht="19.5" customHeight="1">
      <c r="A38" s="3768"/>
      <c r="B38" s="3765"/>
      <c r="C38" s="3107" t="s">
        <v>2468</v>
      </c>
      <c r="D38" s="3108"/>
      <c r="E38" s="3109">
        <v>0.6</v>
      </c>
      <c r="F38" s="3106" t="s">
        <v>2469</v>
      </c>
      <c r="G38" s="3106"/>
    </row>
    <row r="39" spans="1:7" ht="19.5" customHeight="1" thickBot="1">
      <c r="A39" s="3769"/>
      <c r="B39" s="3766"/>
      <c r="C39" s="3110" t="s">
        <v>2470</v>
      </c>
      <c r="D39" s="3111"/>
      <c r="E39" s="3112">
        <v>0.6</v>
      </c>
      <c r="F39" s="3106" t="s">
        <v>2471</v>
      </c>
      <c r="G39" s="3106"/>
    </row>
    <row r="40" spans="1:7" ht="19.5" customHeight="1" thickBot="1">
      <c r="A40" s="3113" t="s">
        <v>2603</v>
      </c>
      <c r="B40" s="3114" t="s">
        <v>2603</v>
      </c>
      <c r="C40" s="3115" t="s">
        <v>2627</v>
      </c>
      <c r="D40" s="3116"/>
      <c r="E40" s="3117">
        <v>1</v>
      </c>
      <c r="F40" s="3106" t="s">
        <v>2472</v>
      </c>
      <c r="G40" s="3106"/>
    </row>
    <row r="41" spans="1:7" ht="19.5" customHeight="1">
      <c r="A41" s="3771" t="s">
        <v>2604</v>
      </c>
      <c r="B41" s="3764" t="s">
        <v>2628</v>
      </c>
      <c r="C41" s="3103" t="s">
        <v>2473</v>
      </c>
      <c r="D41" s="3104"/>
      <c r="E41" s="3105">
        <v>1</v>
      </c>
      <c r="F41" s="3106" t="s">
        <v>2474</v>
      </c>
      <c r="G41" s="3106"/>
    </row>
    <row r="42" spans="1:7" ht="19.5" customHeight="1">
      <c r="A42" s="3772"/>
      <c r="B42" s="3765"/>
      <c r="C42" s="3107" t="s">
        <v>2475</v>
      </c>
      <c r="D42" s="3108"/>
      <c r="E42" s="3109">
        <v>1</v>
      </c>
      <c r="F42" s="3106" t="s">
        <v>2476</v>
      </c>
      <c r="G42" s="3106"/>
    </row>
    <row r="43" spans="1:7" ht="19.5" customHeight="1">
      <c r="A43" s="3772"/>
      <c r="B43" s="3774"/>
      <c r="C43" s="3107" t="s">
        <v>2477</v>
      </c>
      <c r="D43" s="3108"/>
      <c r="E43" s="3109">
        <v>1.5</v>
      </c>
      <c r="F43" s="3106" t="s">
        <v>2478</v>
      </c>
      <c r="G43" s="3106"/>
    </row>
    <row r="44" spans="1:7" ht="19.5" customHeight="1">
      <c r="A44" s="3772"/>
      <c r="B44" s="3118" t="s">
        <v>2629</v>
      </c>
      <c r="C44" s="3107" t="s">
        <v>2630</v>
      </c>
      <c r="D44" s="3108"/>
      <c r="E44" s="3109">
        <v>2</v>
      </c>
      <c r="F44" s="3106" t="s">
        <v>2479</v>
      </c>
      <c r="G44" s="3106"/>
    </row>
    <row r="45" spans="1:7" ht="19.5" customHeight="1">
      <c r="A45" s="3772"/>
      <c r="B45" s="3770" t="s">
        <v>2631</v>
      </c>
      <c r="C45" s="3107" t="s">
        <v>2480</v>
      </c>
      <c r="D45" s="3108"/>
      <c r="E45" s="3109">
        <v>1</v>
      </c>
      <c r="F45" s="3106" t="s">
        <v>2481</v>
      </c>
      <c r="G45" s="3106"/>
    </row>
    <row r="46" spans="1:7" ht="19.5" customHeight="1">
      <c r="A46" s="3772"/>
      <c r="B46" s="3765"/>
      <c r="C46" s="3107" t="s">
        <v>2482</v>
      </c>
      <c r="D46" s="3108"/>
      <c r="E46" s="3109">
        <v>1</v>
      </c>
      <c r="F46" s="3106" t="s">
        <v>2483</v>
      </c>
      <c r="G46" s="3106"/>
    </row>
    <row r="47" spans="1:7" ht="19.5" customHeight="1">
      <c r="A47" s="3772"/>
      <c r="B47" s="3765"/>
      <c r="C47" s="3107" t="s">
        <v>2484</v>
      </c>
      <c r="D47" s="3108"/>
      <c r="E47" s="3109">
        <v>1</v>
      </c>
      <c r="F47" s="3106" t="s">
        <v>2485</v>
      </c>
      <c r="G47" s="3106"/>
    </row>
    <row r="48" spans="1:7" ht="19.5" customHeight="1">
      <c r="A48" s="3772"/>
      <c r="B48" s="3765"/>
      <c r="C48" s="3107" t="s">
        <v>2486</v>
      </c>
      <c r="D48" s="3108"/>
      <c r="E48" s="3109">
        <v>1</v>
      </c>
      <c r="F48" s="3106" t="s">
        <v>2487</v>
      </c>
      <c r="G48" s="3106"/>
    </row>
    <row r="49" spans="1:7" ht="19.5" customHeight="1">
      <c r="A49" s="3772"/>
      <c r="B49" s="3765"/>
      <c r="C49" s="3107" t="s">
        <v>2488</v>
      </c>
      <c r="D49" s="3108"/>
      <c r="E49" s="3109">
        <v>1</v>
      </c>
      <c r="F49" s="3106" t="s">
        <v>2489</v>
      </c>
      <c r="G49" s="3106"/>
    </row>
    <row r="50" spans="1:7" ht="19.5" customHeight="1">
      <c r="A50" s="3772"/>
      <c r="B50" s="3765"/>
      <c r="C50" s="3107" t="s">
        <v>2490</v>
      </c>
      <c r="D50" s="3108"/>
      <c r="E50" s="3109">
        <v>1</v>
      </c>
      <c r="F50" s="3106" t="s">
        <v>2491</v>
      </c>
      <c r="G50" s="3106"/>
    </row>
    <row r="51" spans="1:7" ht="19.5" customHeight="1" thickBot="1">
      <c r="A51" s="3773"/>
      <c r="B51" s="3766"/>
      <c r="C51" s="3110" t="s">
        <v>2492</v>
      </c>
      <c r="D51" s="3111"/>
      <c r="E51" s="3112">
        <v>1</v>
      </c>
      <c r="F51" s="3106" t="s">
        <v>2493</v>
      </c>
      <c r="G51" s="3106"/>
    </row>
    <row r="52" spans="1:7" ht="19.5" customHeight="1">
      <c r="A52" s="3119"/>
      <c r="B52" s="3119"/>
      <c r="C52" s="3119"/>
      <c r="D52" s="3119"/>
      <c r="E52" s="3119"/>
      <c r="F52" s="3119"/>
      <c r="G52" s="3119"/>
    </row>
    <row r="54" spans="1:7" ht="19.5" customHeight="1">
      <c r="A54" s="3120"/>
      <c r="B54" s="3092" t="s">
        <v>2632</v>
      </c>
      <c r="C54" s="3092" t="s">
        <v>2632</v>
      </c>
      <c r="D54" s="3092" t="s">
        <v>2632</v>
      </c>
      <c r="E54" s="3095" t="s">
        <v>2632</v>
      </c>
      <c r="F54" s="3095" t="s">
        <v>2633</v>
      </c>
      <c r="G54" s="3095" t="s">
        <v>2634</v>
      </c>
    </row>
    <row r="55" spans="1:7" ht="19.5" customHeight="1">
      <c r="A55" s="3121"/>
      <c r="B55" s="3095" t="s">
        <v>2601</v>
      </c>
      <c r="C55" s="3095" t="s">
        <v>2601</v>
      </c>
      <c r="D55" s="3095" t="s">
        <v>2601</v>
      </c>
      <c r="E55" s="3092" t="s">
        <v>2602</v>
      </c>
      <c r="F55" s="3092" t="s">
        <v>2604</v>
      </c>
      <c r="G55" s="3092" t="s">
        <v>2635</v>
      </c>
    </row>
    <row r="56" spans="1:7" ht="19.5" customHeight="1">
      <c r="A56" s="3122"/>
      <c r="B56" s="3092">
        <v>1</v>
      </c>
      <c r="C56" s="3092">
        <v>2</v>
      </c>
      <c r="D56" s="3092">
        <v>3</v>
      </c>
      <c r="E56" s="3123" t="s">
        <v>2636</v>
      </c>
      <c r="F56" s="3123" t="s">
        <v>2636</v>
      </c>
      <c r="G56" s="3123" t="s">
        <v>2636</v>
      </c>
    </row>
    <row r="57" spans="1:7" ht="19.5" customHeight="1">
      <c r="A57" s="3124" t="s">
        <v>2589</v>
      </c>
      <c r="B57" s="3092">
        <v>0.7</v>
      </c>
      <c r="C57" s="3092">
        <v>0.4</v>
      </c>
      <c r="D57" s="3092">
        <v>0.3</v>
      </c>
      <c r="E57" s="3123">
        <v>0.3</v>
      </c>
      <c r="F57" s="3092">
        <v>0.3</v>
      </c>
      <c r="G57" s="3092">
        <v>0.2</v>
      </c>
    </row>
    <row r="58" spans="1:7" ht="19.5" customHeight="1">
      <c r="A58" s="3124" t="s">
        <v>2590</v>
      </c>
      <c r="B58" s="3092">
        <v>0.7</v>
      </c>
      <c r="C58" s="3092">
        <v>0.4</v>
      </c>
      <c r="D58" s="3092">
        <v>0.3</v>
      </c>
      <c r="E58" s="3092">
        <v>0.3</v>
      </c>
      <c r="F58" s="3092">
        <v>0.3</v>
      </c>
      <c r="G58" s="3092">
        <v>0.2</v>
      </c>
    </row>
    <row r="59" spans="1:7" ht="19.5" customHeight="1">
      <c r="A59" s="3124" t="s">
        <v>2591</v>
      </c>
      <c r="B59" s="3092">
        <v>0.6</v>
      </c>
      <c r="C59" s="3092">
        <v>0.3</v>
      </c>
      <c r="D59" s="3092">
        <v>0.25</v>
      </c>
      <c r="E59" s="3092">
        <v>0.25</v>
      </c>
      <c r="F59" s="3092">
        <v>0.25</v>
      </c>
      <c r="G59" s="3092">
        <v>0.15</v>
      </c>
    </row>
    <row r="60" spans="1:7" ht="19.5" customHeight="1">
      <c r="A60" s="3124" t="s">
        <v>2592</v>
      </c>
      <c r="B60" s="3092">
        <v>0.6</v>
      </c>
      <c r="C60" s="3092">
        <v>0.3</v>
      </c>
      <c r="D60" s="3092">
        <v>0.25</v>
      </c>
      <c r="E60" s="3092">
        <v>0.25</v>
      </c>
      <c r="F60" s="3092">
        <v>0.25</v>
      </c>
      <c r="G60" s="3092">
        <v>0.15</v>
      </c>
    </row>
    <row r="61" spans="1:7" ht="19.5" customHeight="1">
      <c r="A61" s="3124" t="s">
        <v>2593</v>
      </c>
      <c r="B61" s="3092">
        <v>0.6</v>
      </c>
      <c r="C61" s="3092">
        <v>0.3</v>
      </c>
      <c r="D61" s="3092">
        <v>0.25</v>
      </c>
      <c r="E61" s="3092">
        <v>0.25</v>
      </c>
      <c r="F61" s="3092">
        <v>0.25</v>
      </c>
      <c r="G61" s="3092">
        <v>0.15</v>
      </c>
    </row>
    <row r="62" spans="1:7" ht="19.5" customHeight="1">
      <c r="A62" s="3124" t="s">
        <v>2594</v>
      </c>
      <c r="B62" s="3092">
        <v>0.6</v>
      </c>
      <c r="C62" s="3092">
        <v>0.3</v>
      </c>
      <c r="D62" s="3092">
        <v>0.25</v>
      </c>
      <c r="E62" s="3092">
        <v>0.25</v>
      </c>
      <c r="F62" s="3092">
        <v>0.25</v>
      </c>
      <c r="G62" s="3092">
        <v>0.15</v>
      </c>
    </row>
    <row r="63" spans="1:7" ht="19.5" customHeight="1">
      <c r="A63" s="3124" t="s">
        <v>2595</v>
      </c>
      <c r="B63" s="3092">
        <v>0.6</v>
      </c>
      <c r="C63" s="3092">
        <v>0.3</v>
      </c>
      <c r="D63" s="3092">
        <v>0.25</v>
      </c>
      <c r="E63" s="3092">
        <v>0.25</v>
      </c>
      <c r="F63" s="3092">
        <v>0.25</v>
      </c>
      <c r="G63" s="3092">
        <v>0.15</v>
      </c>
    </row>
    <row r="64" spans="1:7" ht="19.5" customHeight="1">
      <c r="A64" s="3124" t="s">
        <v>2596</v>
      </c>
      <c r="B64" s="3092">
        <v>0.5</v>
      </c>
      <c r="C64" s="3092">
        <v>0.2</v>
      </c>
      <c r="D64" s="3092">
        <v>0.2</v>
      </c>
      <c r="E64" s="3092">
        <v>0.2</v>
      </c>
      <c r="F64" s="3092">
        <v>0.2</v>
      </c>
      <c r="G64" s="3092">
        <v>0.1</v>
      </c>
    </row>
    <row r="65" spans="1:7" ht="19.5" customHeight="1">
      <c r="A65" s="3124" t="s">
        <v>2597</v>
      </c>
      <c r="B65" s="3092">
        <v>0.5</v>
      </c>
      <c r="C65" s="3092">
        <v>0.2</v>
      </c>
      <c r="D65" s="3092">
        <v>0.2</v>
      </c>
      <c r="E65" s="3092">
        <v>0.2</v>
      </c>
      <c r="F65" s="3092">
        <v>0.2</v>
      </c>
      <c r="G65" s="3092">
        <v>0.1</v>
      </c>
    </row>
    <row r="66" spans="1:7" ht="19.5" customHeight="1">
      <c r="A66" s="3124" t="s">
        <v>2598</v>
      </c>
      <c r="B66" s="3092">
        <v>0.5</v>
      </c>
      <c r="C66" s="3092">
        <v>0.2</v>
      </c>
      <c r="D66" s="3092">
        <v>0.2</v>
      </c>
      <c r="E66" s="3092">
        <v>0.2</v>
      </c>
      <c r="F66" s="3092">
        <v>0.2</v>
      </c>
      <c r="G66" s="3092">
        <v>0.1</v>
      </c>
    </row>
    <row r="67" spans="1:7" ht="19.5" customHeight="1">
      <c r="A67" s="3124" t="s">
        <v>2599</v>
      </c>
      <c r="B67" s="3092">
        <v>0.5</v>
      </c>
      <c r="C67" s="3092">
        <v>0.2</v>
      </c>
      <c r="D67" s="3092">
        <v>0.2</v>
      </c>
      <c r="E67" s="3092">
        <v>0.2</v>
      </c>
      <c r="F67" s="3092">
        <v>0.2</v>
      </c>
      <c r="G67" s="3092">
        <v>0.1</v>
      </c>
    </row>
    <row r="68" spans="1:7" ht="19.5" customHeight="1">
      <c r="A68" s="3124" t="s">
        <v>2600</v>
      </c>
      <c r="B68" s="3092">
        <v>0.5</v>
      </c>
      <c r="C68" s="3092">
        <v>0.2</v>
      </c>
      <c r="D68" s="3092">
        <v>0.2</v>
      </c>
      <c r="E68" s="3092">
        <v>0.2</v>
      </c>
      <c r="F68" s="3092">
        <v>0.2</v>
      </c>
      <c r="G68" s="3092">
        <v>0.1</v>
      </c>
    </row>
    <row r="70" spans="1:7" ht="19.5" customHeight="1">
      <c r="A70" s="3125"/>
      <c r="B70" s="3126"/>
      <c r="C70" s="3126"/>
      <c r="D70" s="3126" t="s">
        <v>2637</v>
      </c>
      <c r="E70" s="3126"/>
      <c r="F70" s="3126"/>
    </row>
    <row r="71" spans="1:7" ht="19.5" customHeight="1">
      <c r="A71" s="3118" t="s">
        <v>2638</v>
      </c>
      <c r="B71" s="3118" t="s">
        <v>2639</v>
      </c>
      <c r="C71" s="3118" t="s">
        <v>2640</v>
      </c>
      <c r="D71" s="3118" t="s">
        <v>2641</v>
      </c>
      <c r="E71" s="3118" t="s">
        <v>2642</v>
      </c>
      <c r="F71" s="3118" t="s">
        <v>2643</v>
      </c>
    </row>
    <row r="72" spans="1:7" ht="13.5">
      <c r="A72" s="3118"/>
      <c r="B72" s="3118"/>
      <c r="C72" s="3118" t="s">
        <v>2644</v>
      </c>
      <c r="D72" s="3118"/>
      <c r="E72" s="3118" t="s">
        <v>2615</v>
      </c>
      <c r="F72" s="3118" t="s">
        <v>2615</v>
      </c>
    </row>
    <row r="73" spans="1:7" ht="13.5">
      <c r="A73" s="3118">
        <v>1</v>
      </c>
      <c r="B73" s="3770" t="s">
        <v>2645</v>
      </c>
      <c r="C73" s="3092" t="s">
        <v>2646</v>
      </c>
      <c r="D73" s="3092" t="s">
        <v>2647</v>
      </c>
      <c r="E73" s="3118">
        <v>0.2</v>
      </c>
      <c r="F73" s="3118">
        <v>25</v>
      </c>
    </row>
    <row r="74" spans="1:7" ht="24">
      <c r="A74" s="3118">
        <v>2</v>
      </c>
      <c r="B74" s="3765"/>
      <c r="C74" s="3092" t="s">
        <v>2648</v>
      </c>
      <c r="D74" s="3092" t="s">
        <v>2649</v>
      </c>
      <c r="E74" s="3118">
        <v>0.2</v>
      </c>
      <c r="F74" s="3118">
        <v>25</v>
      </c>
    </row>
    <row r="75" spans="1:7" ht="24">
      <c r="A75" s="3118">
        <v>3</v>
      </c>
      <c r="B75" s="3765"/>
      <c r="C75" s="3092" t="s">
        <v>2650</v>
      </c>
      <c r="D75" s="3092" t="s">
        <v>2651</v>
      </c>
      <c r="E75" s="3118">
        <v>0.2</v>
      </c>
      <c r="F75" s="3118">
        <v>25</v>
      </c>
    </row>
    <row r="76" spans="1:7" ht="13.5">
      <c r="A76" s="3118">
        <v>4</v>
      </c>
      <c r="B76" s="3765"/>
      <c r="C76" s="3092" t="s">
        <v>2652</v>
      </c>
      <c r="D76" s="3092" t="s">
        <v>2653</v>
      </c>
      <c r="E76" s="3118">
        <v>0.15</v>
      </c>
      <c r="F76" s="3118">
        <v>20</v>
      </c>
    </row>
    <row r="77" spans="1:7" ht="24">
      <c r="A77" s="3118">
        <v>5</v>
      </c>
      <c r="B77" s="3765"/>
      <c r="C77" s="3092" t="s">
        <v>2654</v>
      </c>
      <c r="D77" s="3092" t="s">
        <v>2655</v>
      </c>
      <c r="E77" s="3118">
        <v>0.15</v>
      </c>
      <c r="F77" s="3118">
        <v>20</v>
      </c>
    </row>
    <row r="78" spans="1:7" ht="24">
      <c r="A78" s="3118">
        <v>6</v>
      </c>
      <c r="B78" s="3765"/>
      <c r="C78" s="3092" t="s">
        <v>2656</v>
      </c>
      <c r="D78" s="3092" t="s">
        <v>2657</v>
      </c>
      <c r="E78" s="3118">
        <v>0.15</v>
      </c>
      <c r="F78" s="3118">
        <v>20</v>
      </c>
    </row>
    <row r="79" spans="1:7" ht="24">
      <c r="A79" s="3118">
        <v>7</v>
      </c>
      <c r="B79" s="3765"/>
      <c r="C79" s="3092" t="s">
        <v>2658</v>
      </c>
      <c r="D79" s="3092" t="s">
        <v>2659</v>
      </c>
      <c r="E79" s="3118">
        <v>0.15</v>
      </c>
      <c r="F79" s="3118">
        <v>20</v>
      </c>
    </row>
    <row r="80" spans="1:7" ht="24">
      <c r="A80" s="3118">
        <v>8</v>
      </c>
      <c r="B80" s="3765"/>
      <c r="C80" s="3092" t="s">
        <v>2660</v>
      </c>
      <c r="D80" s="3092" t="s">
        <v>2661</v>
      </c>
      <c r="E80" s="3118">
        <v>0.1</v>
      </c>
      <c r="F80" s="3118">
        <v>15</v>
      </c>
    </row>
    <row r="81" spans="1:6" ht="24">
      <c r="A81" s="3118">
        <v>9</v>
      </c>
      <c r="B81" s="3765"/>
      <c r="C81" s="3092" t="s">
        <v>2662</v>
      </c>
      <c r="D81" s="3092" t="s">
        <v>2663</v>
      </c>
      <c r="E81" s="3118">
        <v>0.1</v>
      </c>
      <c r="F81" s="3118">
        <v>15</v>
      </c>
    </row>
    <row r="82" spans="1:6" ht="24">
      <c r="A82" s="3118">
        <v>10</v>
      </c>
      <c r="B82" s="3765"/>
      <c r="C82" s="3092" t="s">
        <v>2664</v>
      </c>
      <c r="D82" s="3092" t="s">
        <v>2665</v>
      </c>
      <c r="E82" s="3118">
        <v>0.1</v>
      </c>
      <c r="F82" s="3118">
        <v>15</v>
      </c>
    </row>
    <row r="83" spans="1:6" ht="24">
      <c r="A83" s="3118">
        <v>11</v>
      </c>
      <c r="B83" s="3765"/>
      <c r="C83" s="3092" t="s">
        <v>2666</v>
      </c>
      <c r="D83" s="3092" t="s">
        <v>2667</v>
      </c>
      <c r="E83" s="3118">
        <v>0.1</v>
      </c>
      <c r="F83" s="3118">
        <v>15</v>
      </c>
    </row>
    <row r="84" spans="1:6" ht="24">
      <c r="A84" s="3118">
        <v>12</v>
      </c>
      <c r="B84" s="3765"/>
      <c r="C84" s="3092" t="s">
        <v>2668</v>
      </c>
      <c r="D84" s="3092" t="s">
        <v>2669</v>
      </c>
      <c r="E84" s="3118">
        <v>0.1</v>
      </c>
      <c r="F84" s="3118">
        <v>15</v>
      </c>
    </row>
    <row r="85" spans="1:6" ht="13.5">
      <c r="A85" s="3118">
        <v>13</v>
      </c>
      <c r="B85" s="3765"/>
      <c r="C85" s="3092" t="s">
        <v>2670</v>
      </c>
      <c r="D85" s="3092" t="s">
        <v>2671</v>
      </c>
      <c r="E85" s="3118">
        <v>0.1</v>
      </c>
      <c r="F85" s="3118">
        <v>15</v>
      </c>
    </row>
    <row r="86" spans="1:6" ht="13.5">
      <c r="A86" s="3118">
        <v>14</v>
      </c>
      <c r="B86" s="3765"/>
      <c r="C86" s="3092" t="s">
        <v>2672</v>
      </c>
      <c r="D86" s="3092" t="s">
        <v>2673</v>
      </c>
      <c r="E86" s="3118">
        <v>0.1</v>
      </c>
      <c r="F86" s="3118">
        <v>15</v>
      </c>
    </row>
    <row r="87" spans="1:6" ht="13.5">
      <c r="A87" s="3118">
        <v>15</v>
      </c>
      <c r="B87" s="3765"/>
      <c r="C87" s="3092" t="s">
        <v>2674</v>
      </c>
      <c r="D87" s="3092" t="s">
        <v>2675</v>
      </c>
      <c r="E87" s="3118">
        <v>0.1</v>
      </c>
      <c r="F87" s="3118">
        <v>15</v>
      </c>
    </row>
    <row r="88" spans="1:6" ht="24">
      <c r="A88" s="3118">
        <v>16</v>
      </c>
      <c r="B88" s="3765"/>
      <c r="C88" s="3092" t="s">
        <v>2676</v>
      </c>
      <c r="D88" s="3092" t="s">
        <v>2677</v>
      </c>
      <c r="E88" s="3118">
        <v>0.1</v>
      </c>
      <c r="F88" s="3118">
        <v>15</v>
      </c>
    </row>
    <row r="89" spans="1:6" ht="24">
      <c r="A89" s="3118">
        <v>17</v>
      </c>
      <c r="B89" s="3774"/>
      <c r="C89" s="3092" t="s">
        <v>2678</v>
      </c>
      <c r="D89" s="3092" t="s">
        <v>2679</v>
      </c>
      <c r="E89" s="3118">
        <v>0.1</v>
      </c>
      <c r="F89" s="3118">
        <v>15</v>
      </c>
    </row>
    <row r="90" spans="1:6" ht="13.5">
      <c r="A90" s="3118">
        <v>18</v>
      </c>
      <c r="B90" s="3770" t="s">
        <v>2680</v>
      </c>
      <c r="C90" s="3092" t="s">
        <v>2681</v>
      </c>
      <c r="D90" s="3092" t="s">
        <v>2682</v>
      </c>
      <c r="E90" s="3118">
        <v>0.2</v>
      </c>
      <c r="F90" s="3118">
        <v>25</v>
      </c>
    </row>
    <row r="91" spans="1:6" ht="24">
      <c r="A91" s="3118">
        <v>19</v>
      </c>
      <c r="B91" s="3765"/>
      <c r="C91" s="3092" t="s">
        <v>2683</v>
      </c>
      <c r="D91" s="3092" t="s">
        <v>2684</v>
      </c>
      <c r="E91" s="3118">
        <v>0.2</v>
      </c>
      <c r="F91" s="3118">
        <v>25</v>
      </c>
    </row>
    <row r="92" spans="1:6" ht="13.5">
      <c r="A92" s="3118">
        <v>20</v>
      </c>
      <c r="B92" s="3765"/>
      <c r="C92" s="3092" t="s">
        <v>2685</v>
      </c>
      <c r="D92" s="3092" t="s">
        <v>2686</v>
      </c>
      <c r="E92" s="3118">
        <v>0.15</v>
      </c>
      <c r="F92" s="3118">
        <v>20</v>
      </c>
    </row>
    <row r="93" spans="1:6" ht="24">
      <c r="A93" s="3118">
        <v>21</v>
      </c>
      <c r="B93" s="3765"/>
      <c r="C93" s="3092" t="s">
        <v>2687</v>
      </c>
      <c r="D93" s="3092" t="s">
        <v>2688</v>
      </c>
      <c r="E93" s="3118">
        <v>0.15</v>
      </c>
      <c r="F93" s="3118">
        <v>20</v>
      </c>
    </row>
    <row r="94" spans="1:6" ht="24">
      <c r="A94" s="3118">
        <v>22</v>
      </c>
      <c r="B94" s="3765"/>
      <c r="C94" s="3092" t="s">
        <v>2689</v>
      </c>
      <c r="D94" s="3092" t="s">
        <v>2690</v>
      </c>
      <c r="E94" s="3118">
        <v>0.15</v>
      </c>
      <c r="F94" s="3118">
        <v>20</v>
      </c>
    </row>
    <row r="95" spans="1:6" ht="36">
      <c r="A95" s="3118">
        <v>23</v>
      </c>
      <c r="B95" s="3765"/>
      <c r="C95" s="3092" t="s">
        <v>2691</v>
      </c>
      <c r="D95" s="3092" t="s">
        <v>2692</v>
      </c>
      <c r="E95" s="3118">
        <v>0.15</v>
      </c>
      <c r="F95" s="3118">
        <v>20</v>
      </c>
    </row>
    <row r="96" spans="1:6" ht="13.5">
      <c r="A96" s="3118">
        <v>24</v>
      </c>
      <c r="B96" s="3765"/>
      <c r="C96" s="3092" t="s">
        <v>2693</v>
      </c>
      <c r="D96" s="3092" t="s">
        <v>2694</v>
      </c>
      <c r="E96" s="3118">
        <v>0.1</v>
      </c>
      <c r="F96" s="3118">
        <v>15</v>
      </c>
    </row>
    <row r="97" spans="1:6" ht="24">
      <c r="A97" s="3118">
        <v>25</v>
      </c>
      <c r="B97" s="3765"/>
      <c r="C97" s="3092" t="s">
        <v>2695</v>
      </c>
      <c r="D97" s="3092" t="s">
        <v>2696</v>
      </c>
      <c r="E97" s="3118">
        <v>0.1</v>
      </c>
      <c r="F97" s="3118">
        <v>15</v>
      </c>
    </row>
    <row r="98" spans="1:6" ht="24">
      <c r="A98" s="3118">
        <v>26</v>
      </c>
      <c r="B98" s="3765"/>
      <c r="C98" s="3092" t="s">
        <v>2697</v>
      </c>
      <c r="D98" s="3092" t="s">
        <v>2698</v>
      </c>
      <c r="E98" s="3118">
        <v>0.1</v>
      </c>
      <c r="F98" s="3118">
        <v>15</v>
      </c>
    </row>
    <row r="99" spans="1:6" ht="24">
      <c r="A99" s="3118">
        <v>27</v>
      </c>
      <c r="B99" s="3765"/>
      <c r="C99" s="3092" t="s">
        <v>2699</v>
      </c>
      <c r="D99" s="3092" t="s">
        <v>2700</v>
      </c>
      <c r="E99" s="3118">
        <v>0.1</v>
      </c>
      <c r="F99" s="3118">
        <v>15</v>
      </c>
    </row>
    <row r="100" spans="1:6" ht="24">
      <c r="A100" s="3118">
        <v>28</v>
      </c>
      <c r="B100" s="3765"/>
      <c r="C100" s="3092" t="s">
        <v>2701</v>
      </c>
      <c r="D100" s="3092" t="s">
        <v>2702</v>
      </c>
      <c r="E100" s="3118">
        <v>0.1</v>
      </c>
      <c r="F100" s="3118">
        <v>15</v>
      </c>
    </row>
    <row r="101" spans="1:6" ht="24">
      <c r="A101" s="3118">
        <v>29</v>
      </c>
      <c r="B101" s="3765"/>
      <c r="C101" s="3092" t="s">
        <v>2703</v>
      </c>
      <c r="D101" s="3092" t="s">
        <v>2704</v>
      </c>
      <c r="E101" s="3118">
        <v>0.1</v>
      </c>
      <c r="F101" s="3118">
        <v>15</v>
      </c>
    </row>
    <row r="102" spans="1:6" ht="24">
      <c r="A102" s="3118">
        <v>30</v>
      </c>
      <c r="B102" s="3765"/>
      <c r="C102" s="3092" t="s">
        <v>2705</v>
      </c>
      <c r="D102" s="3092" t="s">
        <v>2706</v>
      </c>
      <c r="E102" s="3118">
        <v>0.1</v>
      </c>
      <c r="F102" s="3118">
        <v>15</v>
      </c>
    </row>
    <row r="103" spans="1:6" ht="24">
      <c r="A103" s="3118">
        <v>31</v>
      </c>
      <c r="B103" s="3765"/>
      <c r="C103" s="3092" t="s">
        <v>2707</v>
      </c>
      <c r="D103" s="3092" t="s">
        <v>2708</v>
      </c>
      <c r="E103" s="3118">
        <v>0.1</v>
      </c>
      <c r="F103" s="3118">
        <v>15</v>
      </c>
    </row>
    <row r="104" spans="1:6" ht="24">
      <c r="A104" s="3118">
        <v>32</v>
      </c>
      <c r="B104" s="3765"/>
      <c r="C104" s="3092" t="s">
        <v>2709</v>
      </c>
      <c r="D104" s="3092" t="s">
        <v>2710</v>
      </c>
      <c r="E104" s="3118">
        <v>0.1</v>
      </c>
      <c r="F104" s="3118">
        <v>15</v>
      </c>
    </row>
    <row r="105" spans="1:6" ht="24">
      <c r="A105" s="3118">
        <v>33</v>
      </c>
      <c r="B105" s="3765"/>
      <c r="C105" s="3092" t="s">
        <v>2711</v>
      </c>
      <c r="D105" s="3092" t="s">
        <v>2712</v>
      </c>
      <c r="E105" s="3118">
        <v>0.1</v>
      </c>
      <c r="F105" s="3118">
        <v>15</v>
      </c>
    </row>
    <row r="106" spans="1:6" ht="24">
      <c r="A106" s="3118">
        <v>34</v>
      </c>
      <c r="B106" s="3774"/>
      <c r="C106" s="3092" t="s">
        <v>2713</v>
      </c>
      <c r="D106" s="3092" t="s">
        <v>2714</v>
      </c>
      <c r="E106" s="3118">
        <v>0.1</v>
      </c>
      <c r="F106" s="3118">
        <v>15</v>
      </c>
    </row>
    <row r="107" spans="1:6" ht="24">
      <c r="A107" s="3118">
        <v>35</v>
      </c>
      <c r="B107" s="3770" t="s">
        <v>2715</v>
      </c>
      <c r="C107" s="3118" t="s">
        <v>2716</v>
      </c>
      <c r="D107" s="3092" t="s">
        <v>2717</v>
      </c>
      <c r="E107" s="3118">
        <v>0.15</v>
      </c>
      <c r="F107" s="3118">
        <v>20</v>
      </c>
    </row>
    <row r="108" spans="1:6" ht="24">
      <c r="A108" s="3118">
        <v>36</v>
      </c>
      <c r="B108" s="3765"/>
      <c r="C108" s="3118" t="s">
        <v>2718</v>
      </c>
      <c r="D108" s="3092" t="s">
        <v>2719</v>
      </c>
      <c r="E108" s="3118">
        <v>0.15</v>
      </c>
      <c r="F108" s="3118">
        <v>20</v>
      </c>
    </row>
    <row r="109" spans="1:6" ht="24">
      <c r="A109" s="3118">
        <v>37</v>
      </c>
      <c r="B109" s="3765"/>
      <c r="C109" s="3118" t="s">
        <v>2720</v>
      </c>
      <c r="D109" s="3092" t="s">
        <v>2721</v>
      </c>
      <c r="E109" s="3118">
        <v>0.15</v>
      </c>
      <c r="F109" s="3118">
        <v>20</v>
      </c>
    </row>
    <row r="110" spans="1:6" ht="13.5">
      <c r="A110" s="3118">
        <v>38</v>
      </c>
      <c r="B110" s="3765"/>
      <c r="C110" s="3118" t="s">
        <v>2722</v>
      </c>
      <c r="D110" s="3092" t="s">
        <v>2723</v>
      </c>
      <c r="E110" s="3118">
        <v>0.1</v>
      </c>
      <c r="F110" s="3118">
        <v>15</v>
      </c>
    </row>
    <row r="111" spans="1:6" ht="24">
      <c r="A111" s="3118">
        <v>39</v>
      </c>
      <c r="B111" s="3765"/>
      <c r="C111" s="3118" t="s">
        <v>2724</v>
      </c>
      <c r="D111" s="3092" t="s">
        <v>2725</v>
      </c>
      <c r="E111" s="3118">
        <v>0.1</v>
      </c>
      <c r="F111" s="3118">
        <v>15</v>
      </c>
    </row>
    <row r="112" spans="1:6" ht="24">
      <c r="A112" s="3118">
        <v>40</v>
      </c>
      <c r="B112" s="3774"/>
      <c r="C112" s="3118" t="s">
        <v>2726</v>
      </c>
      <c r="D112" s="3092" t="s">
        <v>2727</v>
      </c>
      <c r="E112" s="3118">
        <v>0.1</v>
      </c>
      <c r="F112" s="3118">
        <v>15</v>
      </c>
    </row>
    <row r="113" spans="1:6" ht="24">
      <c r="A113" s="3118">
        <v>41</v>
      </c>
      <c r="B113" s="3775" t="s">
        <v>2728</v>
      </c>
      <c r="C113" s="3118" t="s">
        <v>2729</v>
      </c>
      <c r="D113" s="3092" t="s">
        <v>2730</v>
      </c>
      <c r="E113" s="3118">
        <v>0.1</v>
      </c>
      <c r="F113" s="3118">
        <v>15</v>
      </c>
    </row>
    <row r="114" spans="1:6" ht="13.5">
      <c r="A114" s="3118">
        <v>42</v>
      </c>
      <c r="B114" s="3775"/>
      <c r="C114" s="3118" t="s">
        <v>2731</v>
      </c>
      <c r="D114" s="3092" t="s">
        <v>2732</v>
      </c>
      <c r="E114" s="3118">
        <v>0.1</v>
      </c>
      <c r="F114" s="3118">
        <v>15</v>
      </c>
    </row>
    <row r="115" spans="1:6" ht="24">
      <c r="A115" s="3118">
        <v>43</v>
      </c>
      <c r="B115" s="3775"/>
      <c r="C115" s="3118" t="s">
        <v>2733</v>
      </c>
      <c r="D115" s="3092" t="s">
        <v>2734</v>
      </c>
      <c r="E115" s="3118">
        <v>0.1</v>
      </c>
      <c r="F115" s="3118">
        <v>15</v>
      </c>
    </row>
    <row r="116" spans="1:6" ht="24">
      <c r="A116" s="3118">
        <v>44</v>
      </c>
      <c r="B116" s="3770" t="s">
        <v>2735</v>
      </c>
      <c r="C116" s="3118" t="s">
        <v>2736</v>
      </c>
      <c r="D116" s="3092" t="s">
        <v>2737</v>
      </c>
      <c r="E116" s="3118">
        <v>0.1</v>
      </c>
      <c r="F116" s="3118">
        <v>15</v>
      </c>
    </row>
    <row r="117" spans="1:6" ht="24">
      <c r="A117" s="3118">
        <v>45</v>
      </c>
      <c r="B117" s="3774"/>
      <c r="C117" s="3092" t="s">
        <v>2738</v>
      </c>
      <c r="D117" s="3092" t="s">
        <v>2739</v>
      </c>
      <c r="E117" s="3118">
        <v>0.1</v>
      </c>
      <c r="F117" s="3118">
        <v>15</v>
      </c>
    </row>
    <row r="118" spans="1:6" ht="24">
      <c r="A118" s="3118">
        <v>46</v>
      </c>
      <c r="B118" s="3770" t="s">
        <v>2740</v>
      </c>
      <c r="C118" s="3118" t="s">
        <v>2741</v>
      </c>
      <c r="D118" s="3092" t="s">
        <v>2742</v>
      </c>
      <c r="E118" s="3118">
        <v>0.1</v>
      </c>
      <c r="F118" s="3118">
        <v>15</v>
      </c>
    </row>
    <row r="119" spans="1:6" ht="24">
      <c r="A119" s="3118">
        <v>47</v>
      </c>
      <c r="B119" s="3774"/>
      <c r="C119" s="3118" t="s">
        <v>2743</v>
      </c>
      <c r="D119" s="3092" t="s">
        <v>2744</v>
      </c>
      <c r="E119" s="3118">
        <v>0.1</v>
      </c>
      <c r="F119" s="3118">
        <v>15</v>
      </c>
    </row>
    <row r="120" spans="1:6" ht="24">
      <c r="A120" s="3118">
        <v>48</v>
      </c>
      <c r="B120" s="3770" t="s">
        <v>2745</v>
      </c>
      <c r="C120" s="3118" t="s">
        <v>2746</v>
      </c>
      <c r="D120" s="3092" t="s">
        <v>2747</v>
      </c>
      <c r="E120" s="3118">
        <v>0.1</v>
      </c>
      <c r="F120" s="3118">
        <v>15</v>
      </c>
    </row>
    <row r="121" spans="1:6" ht="13.5">
      <c r="A121" s="3118">
        <v>49</v>
      </c>
      <c r="B121" s="3774"/>
      <c r="C121" s="3118" t="s">
        <v>2748</v>
      </c>
      <c r="D121" s="3092" t="s">
        <v>2749</v>
      </c>
      <c r="E121" s="3118">
        <v>0.1</v>
      </c>
      <c r="F121" s="3118">
        <v>15</v>
      </c>
    </row>
    <row r="122" spans="1:6" ht="24">
      <c r="A122" s="3118">
        <v>50</v>
      </c>
      <c r="B122" s="3775" t="s">
        <v>2750</v>
      </c>
      <c r="C122" s="3118" t="s">
        <v>2751</v>
      </c>
      <c r="D122" s="3092" t="s">
        <v>2752</v>
      </c>
      <c r="E122" s="3118">
        <v>0.1</v>
      </c>
      <c r="F122" s="3118">
        <v>15</v>
      </c>
    </row>
    <row r="123" spans="1:6" ht="24">
      <c r="A123" s="3118">
        <v>51</v>
      </c>
      <c r="B123" s="3775"/>
      <c r="C123" s="3118" t="s">
        <v>2753</v>
      </c>
      <c r="D123" s="3092" t="s">
        <v>2754</v>
      </c>
      <c r="E123" s="3118">
        <v>0.1</v>
      </c>
      <c r="F123" s="3118">
        <v>15</v>
      </c>
    </row>
    <row r="124" spans="1:6" ht="24">
      <c r="A124" s="3118">
        <v>52</v>
      </c>
      <c r="B124" s="3775" t="s">
        <v>2755</v>
      </c>
      <c r="C124" s="3118" t="s">
        <v>2756</v>
      </c>
      <c r="D124" s="3092" t="s">
        <v>2757</v>
      </c>
      <c r="E124" s="3118">
        <v>0.1</v>
      </c>
      <c r="F124" s="3118">
        <v>15</v>
      </c>
    </row>
    <row r="125" spans="1:6" ht="24">
      <c r="A125" s="3118">
        <v>53</v>
      </c>
      <c r="B125" s="3775"/>
      <c r="C125" s="3118" t="s">
        <v>2758</v>
      </c>
      <c r="D125" s="3092" t="s">
        <v>2759</v>
      </c>
      <c r="E125" s="3118">
        <v>0.1</v>
      </c>
      <c r="F125" s="3118">
        <v>15</v>
      </c>
    </row>
    <row r="126" spans="1:6" ht="24">
      <c r="A126" s="3118">
        <v>54</v>
      </c>
      <c r="B126" s="3118" t="s">
        <v>2760</v>
      </c>
      <c r="C126" s="3118" t="s">
        <v>2761</v>
      </c>
      <c r="D126" s="3092" t="s">
        <v>2762</v>
      </c>
      <c r="E126" s="3118">
        <v>0.1</v>
      </c>
      <c r="F126" s="3118">
        <v>15</v>
      </c>
    </row>
    <row r="127" spans="1:6" ht="13.5">
      <c r="A127" s="3118">
        <v>55</v>
      </c>
      <c r="B127" s="3775" t="s">
        <v>2763</v>
      </c>
      <c r="C127" s="3118" t="s">
        <v>2764</v>
      </c>
      <c r="D127" s="3092" t="s">
        <v>2765</v>
      </c>
      <c r="E127" s="3118">
        <v>0.1</v>
      </c>
      <c r="F127" s="3118">
        <v>15</v>
      </c>
    </row>
    <row r="128" spans="1:6" ht="13.5">
      <c r="A128" s="3118">
        <v>56</v>
      </c>
      <c r="B128" s="3775"/>
      <c r="C128" s="3118" t="s">
        <v>2766</v>
      </c>
      <c r="D128" s="3092" t="s">
        <v>2767</v>
      </c>
      <c r="E128" s="3118">
        <v>0.1</v>
      </c>
      <c r="F128" s="3118">
        <v>15</v>
      </c>
    </row>
    <row r="129" spans="1:6" ht="24">
      <c r="A129" s="3118">
        <v>57</v>
      </c>
      <c r="B129" s="3775"/>
      <c r="C129" s="3118" t="s">
        <v>2768</v>
      </c>
      <c r="D129" s="3092" t="s">
        <v>2769</v>
      </c>
      <c r="E129" s="3118">
        <v>0.1</v>
      </c>
      <c r="F129" s="3118">
        <v>15</v>
      </c>
    </row>
    <row r="130" spans="1:6" ht="24">
      <c r="A130" s="3118">
        <v>58</v>
      </c>
      <c r="B130" s="3775" t="s">
        <v>2770</v>
      </c>
      <c r="C130" s="3118" t="s">
        <v>2771</v>
      </c>
      <c r="D130" s="3092" t="s">
        <v>2772</v>
      </c>
      <c r="E130" s="3118">
        <v>0.1</v>
      </c>
      <c r="F130" s="3118">
        <v>15</v>
      </c>
    </row>
    <row r="131" spans="1:6" ht="24">
      <c r="A131" s="3118">
        <v>59</v>
      </c>
      <c r="B131" s="3775"/>
      <c r="C131" s="3118" t="s">
        <v>2773</v>
      </c>
      <c r="D131" s="3092" t="s">
        <v>2774</v>
      </c>
      <c r="E131" s="3118">
        <v>0.1</v>
      </c>
      <c r="F131" s="3118">
        <v>15</v>
      </c>
    </row>
    <row r="132" spans="1:6" ht="24">
      <c r="A132" s="3118">
        <v>60</v>
      </c>
      <c r="B132" s="3770" t="s">
        <v>2775</v>
      </c>
      <c r="C132" s="3118" t="s">
        <v>2776</v>
      </c>
      <c r="D132" s="3092" t="s">
        <v>2777</v>
      </c>
      <c r="E132" s="3118">
        <v>0.1</v>
      </c>
      <c r="F132" s="3118">
        <v>15</v>
      </c>
    </row>
    <row r="133" spans="1:6" ht="24">
      <c r="A133" s="3118">
        <v>61</v>
      </c>
      <c r="B133" s="3774"/>
      <c r="C133" s="3118" t="s">
        <v>2778</v>
      </c>
      <c r="D133" s="3092" t="s">
        <v>2779</v>
      </c>
      <c r="E133" s="3118">
        <v>0.1</v>
      </c>
      <c r="F133" s="3118">
        <v>15</v>
      </c>
    </row>
    <row r="134" spans="1:6" ht="24">
      <c r="A134" s="3118">
        <v>62</v>
      </c>
      <c r="B134" s="3118" t="s">
        <v>2780</v>
      </c>
      <c r="C134" s="3118" t="s">
        <v>2781</v>
      </c>
      <c r="D134" s="3092" t="s">
        <v>2782</v>
      </c>
      <c r="E134" s="3118">
        <v>0.1</v>
      </c>
      <c r="F134" s="3118">
        <v>15</v>
      </c>
    </row>
    <row r="135" spans="1:6" ht="24">
      <c r="A135" s="3118">
        <v>63</v>
      </c>
      <c r="B135" s="3775" t="s">
        <v>2783</v>
      </c>
      <c r="C135" s="3118" t="s">
        <v>2784</v>
      </c>
      <c r="D135" s="3092" t="s">
        <v>2785</v>
      </c>
      <c r="E135" s="3118">
        <v>0.1</v>
      </c>
      <c r="F135" s="3118">
        <v>15</v>
      </c>
    </row>
    <row r="136" spans="1:6" ht="13.5">
      <c r="A136" s="3118">
        <v>64</v>
      </c>
      <c r="B136" s="3775"/>
      <c r="C136" s="3118" t="s">
        <v>2786</v>
      </c>
      <c r="D136" s="3092" t="s">
        <v>2787</v>
      </c>
      <c r="E136" s="3118">
        <v>0.1</v>
      </c>
      <c r="F136" s="3118">
        <v>15</v>
      </c>
    </row>
    <row r="137" spans="1:6" ht="24">
      <c r="A137" s="3118">
        <v>65</v>
      </c>
      <c r="B137" s="3118" t="s">
        <v>2788</v>
      </c>
      <c r="C137" s="3118" t="s">
        <v>2789</v>
      </c>
      <c r="D137" s="3092" t="s">
        <v>2790</v>
      </c>
      <c r="E137" s="3118">
        <v>0.1</v>
      </c>
      <c r="F137" s="3118">
        <v>15</v>
      </c>
    </row>
    <row r="138" spans="1:6" ht="13.5">
      <c r="A138" s="3118"/>
      <c r="B138" s="3118"/>
      <c r="C138" s="3118"/>
      <c r="D138" s="3118"/>
      <c r="E138" s="3118" t="s">
        <v>2791</v>
      </c>
      <c r="F138" s="3118" t="s">
        <v>2791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2792</v>
      </c>
      <c r="B1" s="3127"/>
      <c r="C1" s="3127"/>
      <c r="D1" s="3127"/>
      <c r="E1" s="3127"/>
      <c r="F1" s="3127"/>
      <c r="G1" s="3127"/>
      <c r="H1" s="3127"/>
      <c r="I1" s="3127"/>
      <c r="J1" s="3127"/>
      <c r="K1" s="3127"/>
      <c r="L1" s="3127"/>
      <c r="M1" s="3127"/>
      <c r="N1" s="749"/>
    </row>
    <row r="2" spans="1:20">
      <c r="A2" s="3128" t="s">
        <v>2793</v>
      </c>
      <c r="B2" s="3129" t="s">
        <v>2589</v>
      </c>
      <c r="C2" s="3129" t="s">
        <v>2590</v>
      </c>
      <c r="D2" s="3129" t="s">
        <v>2591</v>
      </c>
      <c r="E2" s="3129" t="s">
        <v>2592</v>
      </c>
      <c r="F2" s="3129" t="s">
        <v>2593</v>
      </c>
      <c r="G2" s="3129" t="s">
        <v>2594</v>
      </c>
      <c r="H2" s="3130" t="s">
        <v>2595</v>
      </c>
      <c r="I2" s="3130" t="s">
        <v>2596</v>
      </c>
      <c r="J2" s="3131" t="s">
        <v>2597</v>
      </c>
      <c r="K2" s="3131" t="s">
        <v>2598</v>
      </c>
      <c r="L2" s="3131" t="s">
        <v>2599</v>
      </c>
      <c r="M2" s="3132" t="s">
        <v>2600</v>
      </c>
      <c r="Q2" s="3142" t="s">
        <v>2798</v>
      </c>
      <c r="R2" s="3142" t="s">
        <v>2799</v>
      </c>
      <c r="S2" s="3142" t="s">
        <v>2800</v>
      </c>
      <c r="T2" s="3142" t="s">
        <v>2801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2794</v>
      </c>
      <c r="B93" s="3127"/>
      <c r="C93" s="3127"/>
      <c r="D93" s="3127"/>
      <c r="E93" s="3127"/>
      <c r="F93" s="3127"/>
      <c r="G93" s="3127"/>
      <c r="H93" s="3127"/>
      <c r="I93" s="3127"/>
      <c r="J93" s="3127"/>
      <c r="K93" s="3127"/>
      <c r="L93" s="3127"/>
      <c r="M93" s="3127"/>
    </row>
    <row r="94" spans="1:20">
      <c r="A94" s="3128" t="s">
        <v>2793</v>
      </c>
      <c r="B94" s="3129" t="s">
        <v>2589</v>
      </c>
      <c r="C94" s="3129" t="s">
        <v>2590</v>
      </c>
      <c r="D94" s="3129" t="s">
        <v>2591</v>
      </c>
      <c r="E94" s="3129" t="s">
        <v>2592</v>
      </c>
      <c r="F94" s="3129" t="s">
        <v>2593</v>
      </c>
      <c r="G94" s="3129" t="s">
        <v>2594</v>
      </c>
      <c r="H94" s="3130" t="s">
        <v>2595</v>
      </c>
      <c r="I94" s="3130" t="s">
        <v>2596</v>
      </c>
      <c r="J94" s="3131" t="s">
        <v>2597</v>
      </c>
      <c r="K94" s="3131" t="s">
        <v>2598</v>
      </c>
      <c r="L94" s="3131" t="s">
        <v>2599</v>
      </c>
      <c r="M94" s="3132" t="s">
        <v>2600</v>
      </c>
      <c r="N94" s="750">
        <f>SUMPRODUCT((A95:A184=ROUNDDOWN(基准地价修正!G3,1))*(B94:M94=基准地价修正!G2)*(B95:M184))</f>
        <v>1.2302</v>
      </c>
      <c r="Q94" s="3142" t="s">
        <v>2798</v>
      </c>
      <c r="R94" s="3142" t="s">
        <v>2799</v>
      </c>
      <c r="S94" s="3142" t="s">
        <v>2800</v>
      </c>
      <c r="T94" s="3142" t="s">
        <v>2801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2795</v>
      </c>
      <c r="B185" s="3127"/>
      <c r="C185" s="3127"/>
      <c r="D185" s="3127"/>
      <c r="E185" s="3127"/>
      <c r="F185" s="3127"/>
      <c r="G185" s="3127"/>
      <c r="H185" s="3127"/>
      <c r="I185" s="3127"/>
      <c r="J185" s="3127"/>
      <c r="K185" s="3127"/>
      <c r="L185" s="3127"/>
      <c r="M185" s="3127"/>
    </row>
    <row r="186" spans="1:20">
      <c r="A186" s="3128" t="s">
        <v>2793</v>
      </c>
      <c r="B186" s="3129" t="s">
        <v>2589</v>
      </c>
      <c r="C186" s="3129" t="s">
        <v>2590</v>
      </c>
      <c r="D186" s="3129" t="s">
        <v>2591</v>
      </c>
      <c r="E186" s="3129" t="s">
        <v>2592</v>
      </c>
      <c r="F186" s="3129" t="s">
        <v>2593</v>
      </c>
      <c r="G186" s="3129" t="s">
        <v>2594</v>
      </c>
      <c r="H186" s="3130" t="s">
        <v>2595</v>
      </c>
      <c r="I186" s="3130" t="s">
        <v>2596</v>
      </c>
      <c r="J186" s="3131" t="s">
        <v>2597</v>
      </c>
      <c r="K186" s="3131" t="s">
        <v>2598</v>
      </c>
      <c r="L186" s="3131" t="s">
        <v>2599</v>
      </c>
      <c r="M186" s="3132" t="s">
        <v>2600</v>
      </c>
      <c r="Q186" s="3142" t="s">
        <v>2798</v>
      </c>
      <c r="R186" s="3142" t="s">
        <v>2799</v>
      </c>
      <c r="S186" s="3142" t="s">
        <v>2800</v>
      </c>
      <c r="T186" s="3142" t="s">
        <v>2801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2796</v>
      </c>
      <c r="B277" s="3127"/>
      <c r="C277" s="3127"/>
      <c r="D277" s="3127"/>
      <c r="E277" s="3127"/>
      <c r="F277" s="3127"/>
      <c r="G277" s="3127"/>
      <c r="H277" s="3127"/>
      <c r="I277" s="3127"/>
      <c r="J277" s="3127"/>
      <c r="K277" s="3127"/>
      <c r="L277" s="3127"/>
      <c r="M277" s="3127"/>
    </row>
    <row r="278" spans="1:21">
      <c r="A278" s="3128" t="s">
        <v>2793</v>
      </c>
      <c r="B278" s="3129" t="s">
        <v>2589</v>
      </c>
      <c r="C278" s="3129" t="s">
        <v>2590</v>
      </c>
      <c r="D278" s="3129" t="s">
        <v>2591</v>
      </c>
      <c r="E278" s="3129" t="s">
        <v>2592</v>
      </c>
      <c r="F278" s="3129" t="s">
        <v>2593</v>
      </c>
      <c r="G278" s="3129" t="s">
        <v>2594</v>
      </c>
      <c r="H278" s="3130" t="s">
        <v>2595</v>
      </c>
      <c r="I278" s="3130" t="s">
        <v>2596</v>
      </c>
      <c r="J278" s="3131" t="s">
        <v>2597</v>
      </c>
      <c r="K278" s="3131" t="s">
        <v>2598</v>
      </c>
      <c r="L278" s="3131" t="s">
        <v>2599</v>
      </c>
      <c r="M278" s="3132" t="s">
        <v>2600</v>
      </c>
      <c r="Q278" s="3142" t="s">
        <v>2798</v>
      </c>
      <c r="R278" s="3142" t="s">
        <v>2799</v>
      </c>
      <c r="S278" s="3142" t="s">
        <v>2802</v>
      </c>
      <c r="T278" s="3142" t="s">
        <v>2803</v>
      </c>
      <c r="U278" s="3142" t="s">
        <v>2801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2797</v>
      </c>
      <c r="B369" s="3140"/>
      <c r="C369" s="3140"/>
      <c r="D369" s="3140"/>
      <c r="E369" s="3140"/>
      <c r="F369" s="3140"/>
      <c r="G369" s="3140"/>
      <c r="H369" s="3140"/>
      <c r="I369" s="3140"/>
      <c r="J369" s="3140"/>
      <c r="K369" s="3140"/>
      <c r="L369" s="3140"/>
      <c r="M369" s="3140"/>
    </row>
    <row r="370" spans="1:20">
      <c r="A370" s="3128" t="s">
        <v>2793</v>
      </c>
      <c r="B370" s="3129" t="s">
        <v>2589</v>
      </c>
      <c r="C370" s="3129" t="s">
        <v>2590</v>
      </c>
      <c r="D370" s="3129" t="s">
        <v>2591</v>
      </c>
      <c r="E370" s="3129" t="s">
        <v>2592</v>
      </c>
      <c r="F370" s="3129" t="s">
        <v>2593</v>
      </c>
      <c r="G370" s="3129" t="s">
        <v>2594</v>
      </c>
      <c r="H370" s="3130" t="s">
        <v>2595</v>
      </c>
      <c r="I370" s="3130" t="s">
        <v>2596</v>
      </c>
      <c r="J370" s="3131" t="s">
        <v>2597</v>
      </c>
      <c r="K370" s="3131" t="s">
        <v>2598</v>
      </c>
      <c r="L370" s="3131" t="s">
        <v>2599</v>
      </c>
      <c r="M370" s="3132" t="s">
        <v>2600</v>
      </c>
      <c r="N370" s="750">
        <f>SUMPRODUCT((A371:A460=ROUNDDOWN(基准地价修正!G3,1))*(B370:M370=基准地价修正!G2)*(B371:M460))</f>
        <v>1.1198999999999999</v>
      </c>
      <c r="Q370" s="3142" t="s">
        <v>2798</v>
      </c>
      <c r="R370" s="3142" t="s">
        <v>2799</v>
      </c>
      <c r="S370" s="3142" t="s">
        <v>2800</v>
      </c>
      <c r="T370" s="3142" t="s">
        <v>2801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125" style="251" customWidth="1"/>
    <col min="3" max="3" width="12.125" style="251" customWidth="1"/>
    <col min="4" max="5" width="1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34638</v>
      </c>
      <c r="C2" s="2" t="s">
        <v>106</v>
      </c>
      <c r="D2" s="199"/>
      <c r="E2" s="199"/>
      <c r="F2" s="199"/>
      <c r="G2" s="199"/>
    </row>
    <row r="3" spans="1:7" s="200" customFormat="1" ht="18" customHeight="1" thickBot="1">
      <c r="A3" s="203" t="s">
        <v>58</v>
      </c>
      <c r="B3" s="204">
        <f ca="1">ROUND(B2*10000/'数据-汇总表'!E3,0)</f>
        <v>13457</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80</v>
      </c>
      <c r="F9" s="221"/>
      <c r="G9" s="226"/>
    </row>
    <row r="10" spans="1:7" s="214" customFormat="1" ht="13.5" customHeight="1">
      <c r="A10" s="779" t="s">
        <v>356</v>
      </c>
      <c r="B10" s="224" t="s">
        <v>67</v>
      </c>
      <c r="C10" s="225">
        <f>ROUND(D10*E10/10000,0)</f>
        <v>206</v>
      </c>
      <c r="D10" s="845">
        <f>'数据-汇总表'!E6</f>
        <v>25739.82</v>
      </c>
      <c r="E10" s="225">
        <f>'数据-取费表'!B28</f>
        <v>80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515</v>
      </c>
      <c r="D19" s="849">
        <f>'数据-汇总表'!E3</f>
        <v>25739.82</v>
      </c>
      <c r="E19" s="211">
        <f>'数据-取费表'!B31</f>
        <v>200</v>
      </c>
      <c r="F19" s="231"/>
      <c r="G19" s="1" t="s">
        <v>436</v>
      </c>
    </row>
    <row r="20" spans="1:7" s="214" customFormat="1" ht="13.5" customHeight="1">
      <c r="A20" s="777" t="s">
        <v>419</v>
      </c>
      <c r="B20" s="210" t="s">
        <v>77</v>
      </c>
      <c r="C20" s="232">
        <f>ROUND((C5+C19)*F20,0)</f>
        <v>423</v>
      </c>
      <c r="D20" s="232"/>
      <c r="E20" s="232"/>
      <c r="F20" s="233">
        <f>'数据-取费表'!B37</f>
        <v>0.02</v>
      </c>
      <c r="G20" s="1067" t="s">
        <v>430</v>
      </c>
    </row>
    <row r="21" spans="1:7" s="214" customFormat="1" ht="13.5" customHeight="1">
      <c r="A21" s="777" t="s">
        <v>421</v>
      </c>
      <c r="B21" s="210" t="s">
        <v>78</v>
      </c>
      <c r="C21" s="235">
        <f>F21</f>
        <v>0.03</v>
      </c>
      <c r="D21" s="236" t="s">
        <v>99</v>
      </c>
      <c r="E21" s="232"/>
      <c r="F21" s="233">
        <f>'数据-取费表'!B38</f>
        <v>0.03</v>
      </c>
      <c r="G21" s="234" t="s">
        <v>79</v>
      </c>
    </row>
    <row r="22" spans="1:7" s="214" customFormat="1" ht="13.5" customHeight="1">
      <c r="A22" s="777" t="s">
        <v>341</v>
      </c>
      <c r="B22" s="210" t="s">
        <v>80</v>
      </c>
      <c r="C22" s="1104">
        <f ca="1">ROUND(SUM(C23:C25),0)</f>
        <v>1341</v>
      </c>
      <c r="D22" s="235">
        <f ca="1">C26</f>
        <v>8.9999999999999998E-4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1296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32</v>
      </c>
      <c r="D24" s="238"/>
      <c r="E24" s="238"/>
      <c r="F24" s="239"/>
      <c r="G24" s="240" t="s">
        <v>82</v>
      </c>
    </row>
    <row r="25" spans="1:7" s="214" customFormat="1" ht="24">
      <c r="A25" s="780" t="s">
        <v>348</v>
      </c>
      <c r="B25" s="215" t="s">
        <v>420</v>
      </c>
      <c r="C25" s="1105">
        <f ca="1">ROUND(IF('数据-取费表'!B22&lt;=1,C20*F22*'数据-取费表'!B23/2,C20*(POWER((1+F22),'数据-取费表'!B23/2)-1)),0)</f>
        <v>13</v>
      </c>
      <c r="D25" s="238"/>
      <c r="E25" s="241"/>
      <c r="F25" s="239"/>
      <c r="G25" s="242" t="s">
        <v>83</v>
      </c>
    </row>
    <row r="26" spans="1:7" s="214" customFormat="1">
      <c r="A26" s="780" t="s">
        <v>350</v>
      </c>
      <c r="B26" s="215" t="s">
        <v>422</v>
      </c>
      <c r="C26" s="238">
        <f ca="1">ROUND(IF('数据-取费表'!B22&lt;=1,F21*F22*'数据-取费表'!B23/2,F21*(POWER((1+F22),'数据-取费表'!B23/2)-1)),4)</f>
        <v>8.9999999999999998E-4</v>
      </c>
      <c r="D26" s="238"/>
      <c r="E26" s="241"/>
      <c r="F26" s="239"/>
      <c r="G26" s="243"/>
    </row>
    <row r="27" spans="1:7" s="214" customFormat="1" ht="24.75">
      <c r="A27" s="777" t="s">
        <v>342</v>
      </c>
      <c r="B27" s="244" t="s">
        <v>85</v>
      </c>
      <c r="C27" s="245">
        <f>C28</f>
        <v>2155</v>
      </c>
      <c r="D27" s="235">
        <f>C29</f>
        <v>3.0000000000000001E-3</v>
      </c>
      <c r="E27" s="236" t="s">
        <v>99</v>
      </c>
      <c r="F27" s="246">
        <f>'数据-取费表'!Q16</f>
        <v>0.1</v>
      </c>
      <c r="G27" s="247" t="s">
        <v>431</v>
      </c>
    </row>
    <row r="28" spans="1:7" s="214" customFormat="1" ht="13.5" customHeight="1">
      <c r="A28" s="780" t="s">
        <v>349</v>
      </c>
      <c r="B28" s="248" t="s">
        <v>424</v>
      </c>
      <c r="C28" s="249">
        <f>ROUND((C5+C19+C20)*F27*'数据-取费表'!B21/'数据-取费表'!B20,0)</f>
        <v>2155</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27409</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6433</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5663</v>
      </c>
      <c r="D34" s="217"/>
      <c r="E34" s="220"/>
      <c r="F34" s="257">
        <f>IF('数据-取费表'!B24=0,1,'数据-取费表'!N16)</f>
        <v>1</v>
      </c>
      <c r="G34" s="219" t="s">
        <v>89</v>
      </c>
    </row>
    <row r="35" spans="1:7" ht="13.5" customHeight="1">
      <c r="A35" s="780" t="s">
        <v>351</v>
      </c>
      <c r="B35" s="215" t="s">
        <v>33</v>
      </c>
      <c r="C35" s="220">
        <f>ROUND(C34*F35,0)</f>
        <v>170</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515</v>
      </c>
      <c r="D37" s="217">
        <f>'数据-汇总表'!E3</f>
        <v>25739.82</v>
      </c>
      <c r="E37" s="249">
        <f>'数据-取费表'!B35</f>
        <v>200</v>
      </c>
      <c r="F37" s="259"/>
      <c r="G37" s="261" t="s">
        <v>92</v>
      </c>
    </row>
    <row r="38" spans="1:7" ht="13.5" customHeight="1">
      <c r="A38" s="780" t="s">
        <v>354</v>
      </c>
      <c r="B38" s="215" t="s">
        <v>36</v>
      </c>
      <c r="C38" s="220">
        <f>ROUND(C34*F38,0)</f>
        <v>85</v>
      </c>
      <c r="D38" s="220"/>
      <c r="E38" s="220"/>
      <c r="F38" s="259">
        <f>'数据-取费表'!B36</f>
        <v>1.4999999999999999E-2</v>
      </c>
      <c r="G38" s="219" t="s">
        <v>90</v>
      </c>
    </row>
    <row r="39" spans="1:7" s="214" customFormat="1" ht="13.5" customHeight="1">
      <c r="A39" s="777" t="s">
        <v>338</v>
      </c>
      <c r="B39" s="210" t="s">
        <v>77</v>
      </c>
      <c r="C39" s="232">
        <f>ROUND(C33*F20,0)</f>
        <v>129</v>
      </c>
      <c r="D39" s="232"/>
      <c r="E39" s="232"/>
      <c r="F39" s="233"/>
      <c r="G39" s="1067" t="s">
        <v>433</v>
      </c>
    </row>
    <row r="40" spans="1:7" s="214" customFormat="1" ht="13.5" customHeight="1">
      <c r="A40" s="777" t="s">
        <v>339</v>
      </c>
      <c r="B40" s="210" t="s">
        <v>78</v>
      </c>
      <c r="C40" s="262">
        <f>F21</f>
        <v>0.03</v>
      </c>
      <c r="D40" s="236" t="s">
        <v>102</v>
      </c>
      <c r="E40" s="232"/>
      <c r="F40" s="233"/>
      <c r="G40" s="234" t="s">
        <v>93</v>
      </c>
    </row>
    <row r="41" spans="1:7" s="214" customFormat="1" ht="13.5" customHeight="1">
      <c r="A41" s="777" t="s">
        <v>340</v>
      </c>
      <c r="B41" s="210" t="s">
        <v>80</v>
      </c>
      <c r="C41" s="232">
        <f ca="1">ROUND(SUM(C42:C43),0)</f>
        <v>203</v>
      </c>
      <c r="D41" s="235">
        <f ca="1">C44</f>
        <v>8.9999999999999998E-4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199</v>
      </c>
      <c r="D42" s="238"/>
      <c r="E42" s="238"/>
      <c r="F42" s="239"/>
      <c r="G42" s="3640" t="s">
        <v>94</v>
      </c>
    </row>
    <row r="43" spans="1:7" ht="13.5" customHeight="1">
      <c r="A43" s="780" t="s">
        <v>347</v>
      </c>
      <c r="B43" s="215" t="s">
        <v>426</v>
      </c>
      <c r="C43" s="238">
        <f ca="1">ROUND(IF('数据-取费表'!B22&lt;=1,C39*F22*'数据-取费表'!B21/2,C39*(POWER((1+F22),'数据-取费表'!B21/2)-1)),0)</f>
        <v>4</v>
      </c>
      <c r="D43" s="238"/>
      <c r="E43" s="238"/>
      <c r="F43" s="239"/>
      <c r="G43" s="3641"/>
    </row>
    <row r="44" spans="1:7" ht="13.5" customHeight="1">
      <c r="A44" s="780" t="s">
        <v>348</v>
      </c>
      <c r="B44" s="215" t="s">
        <v>428</v>
      </c>
      <c r="C44" s="238">
        <f ca="1">ROUND(IF('数据-取费表'!B22&lt;=1,C40*F22*'数据-取费表'!B21/2,C40*(POWER((1+F22),'数据-取费表'!B21/2)-1)),4)</f>
        <v>8.9999999999999998E-4</v>
      </c>
      <c r="D44" s="238"/>
      <c r="E44" s="238"/>
      <c r="F44" s="239"/>
      <c r="G44" s="3642"/>
    </row>
    <row r="45" spans="1:7" s="214" customFormat="1" ht="13.5" customHeight="1">
      <c r="A45" s="777" t="s">
        <v>341</v>
      </c>
      <c r="B45" s="244" t="s">
        <v>85</v>
      </c>
      <c r="C45" s="245">
        <f>C46</f>
        <v>656</v>
      </c>
      <c r="D45" s="235">
        <f>C47</f>
        <v>3.0000000000000001E-3</v>
      </c>
      <c r="E45" s="236" t="s">
        <v>102</v>
      </c>
      <c r="F45" s="246"/>
      <c r="G45" s="247" t="s">
        <v>434</v>
      </c>
    </row>
    <row r="46" spans="1:7" s="214" customFormat="1" ht="13.5" customHeight="1">
      <c r="A46" s="780" t="s">
        <v>349</v>
      </c>
      <c r="B46" s="248" t="s">
        <v>427</v>
      </c>
      <c r="C46" s="249">
        <f>ROUND((C33+C39)*F27,0)</f>
        <v>656</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8122</v>
      </c>
      <c r="D49" s="232"/>
      <c r="E49" s="232"/>
      <c r="F49" s="264"/>
      <c r="G49" s="234" t="s">
        <v>435</v>
      </c>
    </row>
    <row r="50" spans="1:7" s="258" customFormat="1" ht="24">
      <c r="A50" s="777" t="s">
        <v>344</v>
      </c>
      <c r="B50" s="210" t="s">
        <v>97</v>
      </c>
      <c r="C50" s="232"/>
      <c r="D50" s="232"/>
      <c r="E50" s="232"/>
      <c r="F50" s="264">
        <f>IF('数据-取费表'!B24=0,'数据-取费表'!N16,1)</f>
        <v>0.89</v>
      </c>
      <c r="G50" s="247" t="s">
        <v>98</v>
      </c>
    </row>
    <row r="51" spans="1:7" ht="16.5" customHeight="1">
      <c r="A51" s="777" t="s">
        <v>345</v>
      </c>
      <c r="B51" s="210" t="s">
        <v>105</v>
      </c>
      <c r="C51" s="232">
        <f ca="1">ROUND(C49*F50,0)</f>
        <v>7229</v>
      </c>
      <c r="D51" s="232"/>
      <c r="E51" s="232"/>
      <c r="F51" s="264"/>
      <c r="G51" s="234" t="s">
        <v>37</v>
      </c>
    </row>
    <row r="52" spans="1:7" s="208" customFormat="1" ht="16.5" thickBot="1">
      <c r="A52" s="265" t="s">
        <v>38</v>
      </c>
      <c r="B52" s="266"/>
      <c r="C52" s="267">
        <f ca="1">C31+C51</f>
        <v>34638</v>
      </c>
      <c r="D52" s="266"/>
      <c r="E52" s="266"/>
      <c r="F52" s="266"/>
      <c r="G52" s="268"/>
    </row>
    <row r="55" spans="1:7" ht="15">
      <c r="B55" s="270" t="s">
        <v>39</v>
      </c>
      <c r="C55" s="271"/>
    </row>
    <row r="56" spans="1:7">
      <c r="B56" s="273" t="s">
        <v>40</v>
      </c>
      <c r="C56" s="274">
        <f ca="1">ROUND(C51/C52,3)</f>
        <v>0.20899999999999999</v>
      </c>
    </row>
    <row r="57" spans="1:7">
      <c r="B57" s="273" t="s">
        <v>41</v>
      </c>
      <c r="C57" s="275">
        <f ca="1">1-C56</f>
        <v>0.79100000000000004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125" style="1492" customWidth="1"/>
    <col min="3" max="3" width="11.375" style="1492" customWidth="1"/>
    <col min="4" max="4" width="31.62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2"/>
      <c r="C2" s="3462"/>
      <c r="D2" s="3462"/>
      <c r="E2" s="3462"/>
    </row>
    <row r="3" spans="1:5" ht="18">
      <c r="A3" s="3463" t="str">
        <f>IF(项目基本情况!B9="房地产市场价值","估价结果一览表（市场价值不需“结果表-1”）","估价结果一览表")</f>
        <v>估价结果一览表</v>
      </c>
      <c r="B3" s="3463"/>
      <c r="C3" s="3463"/>
      <c r="D3" s="3463"/>
      <c r="E3" s="3463"/>
    </row>
    <row r="4" spans="1:5" ht="19.5" thickBot="1">
      <c r="A4" s="1493"/>
      <c r="B4" s="3461" t="s">
        <v>917</v>
      </c>
      <c r="C4" s="3461"/>
      <c r="D4" s="3461"/>
      <c r="E4" s="1493"/>
    </row>
    <row r="5" spans="1:5" ht="16.5" thickTop="1">
      <c r="A5" s="1491"/>
      <c r="B5" s="3459" t="s">
        <v>909</v>
      </c>
      <c r="C5" s="1494" t="s">
        <v>910</v>
      </c>
      <c r="D5" s="850">
        <f ca="1">结果表!H101</f>
        <v>11855</v>
      </c>
      <c r="E5" s="1491"/>
    </row>
    <row r="6" spans="1:5" ht="15.75">
      <c r="A6" s="1491"/>
      <c r="B6" s="3459"/>
      <c r="C6" s="1494" t="s">
        <v>911</v>
      </c>
      <c r="D6" s="850" t="str">
        <f ca="1">NUMBERSTRING(INT(D5*10000),2)&amp;"元整"</f>
        <v>壹亿壹仟捌佰伍拾伍万元整</v>
      </c>
      <c r="E6" s="1491"/>
    </row>
    <row r="7" spans="1:5" ht="15.75">
      <c r="A7" s="1491"/>
      <c r="B7" s="3464"/>
      <c r="C7" s="1495" t="s">
        <v>912</v>
      </c>
      <c r="D7" s="851">
        <f ca="1">结果表!H102</f>
        <v>4606</v>
      </c>
      <c r="E7" s="1491"/>
    </row>
    <row r="8" spans="1:5" ht="15.75">
      <c r="A8" s="1491"/>
      <c r="B8" s="3465" t="str">
        <f>结果表!E103</f>
        <v>2.估价师知悉的法定优先受偿款</v>
      </c>
      <c r="C8" s="1496" t="s">
        <v>913</v>
      </c>
      <c r="D8" s="851">
        <f>结果表!H103</f>
        <v>0</v>
      </c>
      <c r="E8" s="1491"/>
    </row>
    <row r="9" spans="1:5" ht="15.75">
      <c r="A9" s="1491"/>
      <c r="B9" s="3467"/>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8" t="str">
        <f>结果表!E107</f>
        <v>3.房地产抵押价值</v>
      </c>
      <c r="C13" s="1499" t="s">
        <v>910</v>
      </c>
      <c r="D13" s="853">
        <f ca="1">结果表!H107</f>
        <v>11855</v>
      </c>
      <c r="E13" s="1491"/>
    </row>
    <row r="14" spans="1:5" ht="15.75">
      <c r="A14" s="1491"/>
      <c r="B14" s="3459"/>
      <c r="C14" s="1494" t="s">
        <v>911</v>
      </c>
      <c r="D14" s="850" t="str">
        <f ca="1">NUMBERSTRING(INT(D13*10000),2)&amp;"元整"</f>
        <v>壹亿壹仟捌佰伍拾伍万元整</v>
      </c>
      <c r="E14" s="1491"/>
    </row>
    <row r="15" spans="1:5" ht="15">
      <c r="A15" s="1491"/>
      <c r="B15" s="3464"/>
      <c r="C15" s="1495" t="s">
        <v>921</v>
      </c>
      <c r="D15" s="859">
        <f ca="1">结果表!H108</f>
        <v>4606</v>
      </c>
      <c r="E15" s="1491"/>
    </row>
    <row r="16" spans="1:5" ht="15">
      <c r="A16" s="1491"/>
      <c r="B16" s="3465" t="str">
        <f>结果表!E109</f>
        <v>——</v>
      </c>
      <c r="C16" s="1499" t="s">
        <v>922</v>
      </c>
      <c r="D16" s="1500" t="str">
        <f>结果表!H109</f>
        <v>——</v>
      </c>
      <c r="E16" s="1491"/>
    </row>
    <row r="17" spans="1:5" ht="15.75">
      <c r="A17" s="1491"/>
      <c r="B17" s="3466"/>
      <c r="C17" s="1494" t="s">
        <v>923</v>
      </c>
      <c r="D17" s="850" t="e">
        <f>NUMBERSTRING(INT(D16*10000),2)&amp;"元整"</f>
        <v>#VALUE!</v>
      </c>
      <c r="E17" s="1491"/>
    </row>
    <row r="18" spans="1:5" ht="15">
      <c r="A18" s="1491"/>
      <c r="B18" s="3467"/>
      <c r="C18" s="1495" t="s">
        <v>912</v>
      </c>
      <c r="D18" s="859" t="str">
        <f>结果表!H110</f>
        <v>——</v>
      </c>
      <c r="E18" s="1491"/>
    </row>
    <row r="19" spans="1:5" ht="15.75">
      <c r="A19" s="1491"/>
      <c r="B19" s="3458" t="str">
        <f>结果表!E111</f>
        <v>——</v>
      </c>
      <c r="C19" s="1499" t="s">
        <v>910</v>
      </c>
      <c r="D19" s="851" t="str">
        <f>结果表!H111</f>
        <v>——</v>
      </c>
      <c r="E19" s="1491"/>
    </row>
    <row r="20" spans="1:5" ht="15.75">
      <c r="A20" s="1491"/>
      <c r="B20" s="3459"/>
      <c r="C20" s="1494" t="s">
        <v>923</v>
      </c>
      <c r="D20" s="850" t="e">
        <f>NUMBERSTRING(INT(D19*10000),2)&amp;"元整"</f>
        <v>#VALUE!</v>
      </c>
      <c r="E20" s="1491"/>
    </row>
    <row r="21" spans="1:5" ht="15.75" thickBot="1">
      <c r="A21" s="1491"/>
      <c r="B21" s="3460"/>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topLeftCell="E1" workbookViewId="0">
      <selection activeCell="E1" sqref="A1:XFD1048576"/>
    </sheetView>
  </sheetViews>
  <sheetFormatPr defaultColWidth="8.875" defaultRowHeight="11.25"/>
  <cols>
    <col min="1" max="1" width="9.625" style="3227" customWidth="1"/>
    <col min="2" max="2" width="18.625" style="3227" customWidth="1"/>
    <col min="3" max="6" width="10.125" style="3227" customWidth="1"/>
    <col min="7" max="7" width="10.5" style="3227" bestFit="1" customWidth="1"/>
    <col min="8" max="8" width="8.875" style="3223"/>
    <col min="9" max="9" width="13.375" style="3223" customWidth="1"/>
    <col min="10" max="13" width="13.375" style="3227" customWidth="1"/>
    <col min="14" max="14" width="18.125" style="3227" customWidth="1"/>
    <col min="15" max="17" width="15.125" style="3227" customWidth="1"/>
    <col min="18" max="20" width="11.5" style="3227" customWidth="1"/>
    <col min="21" max="16384" width="8.875" style="3227"/>
  </cols>
  <sheetData>
    <row r="1" spans="1:20" ht="12" thickBot="1">
      <c r="A1" s="3778" t="s">
        <v>2839</v>
      </c>
      <c r="B1" s="3778"/>
      <c r="C1" s="3778"/>
      <c r="D1" s="3778"/>
      <c r="E1" s="3778"/>
      <c r="F1" s="3778"/>
      <c r="G1" s="3779"/>
      <c r="I1" s="3224" t="s">
        <v>2840</v>
      </c>
      <c r="J1" s="3225" t="s">
        <v>2841</v>
      </c>
      <c r="K1" s="3225" t="s">
        <v>2842</v>
      </c>
      <c r="L1" s="3225" t="s">
        <v>2843</v>
      </c>
      <c r="M1" s="3225" t="s">
        <v>2844</v>
      </c>
      <c r="N1" s="3225" t="s">
        <v>2845</v>
      </c>
      <c r="O1" s="3225" t="s">
        <v>2846</v>
      </c>
      <c r="P1" s="3225" t="s">
        <v>2847</v>
      </c>
      <c r="Q1" s="3225" t="s">
        <v>2848</v>
      </c>
      <c r="R1" s="3225" t="s">
        <v>2849</v>
      </c>
      <c r="S1" s="3225" t="s">
        <v>2850</v>
      </c>
      <c r="T1" s="3226" t="s">
        <v>2851</v>
      </c>
    </row>
    <row r="2" spans="1:20" ht="12" thickBot="1">
      <c r="A2" s="3228" t="s">
        <v>2852</v>
      </c>
      <c r="B2" s="3228"/>
      <c r="C2" s="3228"/>
      <c r="D2" s="3228"/>
      <c r="E2" s="3228"/>
      <c r="F2" s="3228"/>
      <c r="G2" s="3229" t="s">
        <v>2853</v>
      </c>
      <c r="I2" s="3230" t="s">
        <v>2854</v>
      </c>
      <c r="J2" s="3230" t="s">
        <v>2855</v>
      </c>
      <c r="K2" s="3230" t="s">
        <v>2856</v>
      </c>
      <c r="L2" s="3230" t="s">
        <v>2857</v>
      </c>
      <c r="M2" s="3230" t="s">
        <v>2858</v>
      </c>
      <c r="N2" s="3230" t="s">
        <v>2859</v>
      </c>
      <c r="O2" s="3230" t="s">
        <v>2860</v>
      </c>
      <c r="P2" s="3230" t="s">
        <v>2861</v>
      </c>
      <c r="Q2" s="3230" t="s">
        <v>2862</v>
      </c>
      <c r="R2" s="3230" t="s">
        <v>2863</v>
      </c>
      <c r="S2" s="3230" t="s">
        <v>2864</v>
      </c>
      <c r="T2" s="3230" t="s">
        <v>2865</v>
      </c>
    </row>
    <row r="3" spans="1:20" s="3236" customFormat="1">
      <c r="A3" s="3776" t="s">
        <v>2866</v>
      </c>
      <c r="B3" s="3231"/>
      <c r="C3" s="3232" t="s">
        <v>2805</v>
      </c>
      <c r="D3" s="3232" t="s">
        <v>2867</v>
      </c>
      <c r="E3" s="3232" t="s">
        <v>2807</v>
      </c>
      <c r="F3" s="3232" t="s">
        <v>2868</v>
      </c>
      <c r="G3" s="3232" t="s">
        <v>2625</v>
      </c>
      <c r="H3" s="3233"/>
      <c r="I3" s="3234" t="s">
        <v>2869</v>
      </c>
      <c r="J3" s="3235" t="s">
        <v>128</v>
      </c>
      <c r="K3" s="3235" t="s">
        <v>129</v>
      </c>
      <c r="L3" s="3234" t="s">
        <v>130</v>
      </c>
      <c r="M3" s="3234" t="s">
        <v>131</v>
      </c>
      <c r="N3" s="3234" t="s">
        <v>132</v>
      </c>
      <c r="O3" s="3234" t="s">
        <v>133</v>
      </c>
      <c r="P3" s="3234" t="s">
        <v>134</v>
      </c>
      <c r="Q3" s="3234" t="s">
        <v>135</v>
      </c>
      <c r="R3" s="3234" t="s">
        <v>136</v>
      </c>
      <c r="S3" s="3234" t="s">
        <v>2870</v>
      </c>
      <c r="T3" s="3234" t="s">
        <v>2871</v>
      </c>
    </row>
    <row r="4" spans="1:20" s="3236" customFormat="1" ht="12" thickBot="1">
      <c r="A4" s="3777"/>
      <c r="B4" s="3237" t="s">
        <v>2872</v>
      </c>
      <c r="C4" s="3237" t="s">
        <v>2873</v>
      </c>
      <c r="D4" s="3237" t="s">
        <v>2873</v>
      </c>
      <c r="E4" s="3237" t="s">
        <v>2873</v>
      </c>
      <c r="F4" s="3238" t="s">
        <v>2873</v>
      </c>
      <c r="G4" s="3238" t="s">
        <v>2873</v>
      </c>
      <c r="H4" s="3233"/>
      <c r="I4" s="3235" t="s">
        <v>137</v>
      </c>
      <c r="J4" s="3235" t="s">
        <v>111</v>
      </c>
      <c r="K4" s="3235" t="s">
        <v>138</v>
      </c>
      <c r="L4" s="3234" t="s">
        <v>139</v>
      </c>
      <c r="M4" s="3234" t="s">
        <v>140</v>
      </c>
      <c r="N4" s="3234" t="s">
        <v>141</v>
      </c>
      <c r="O4" s="3234" t="s">
        <v>142</v>
      </c>
      <c r="P4" s="3234" t="s">
        <v>143</v>
      </c>
      <c r="Q4" s="3234" t="s">
        <v>2874</v>
      </c>
      <c r="R4" s="3234" t="s">
        <v>2875</v>
      </c>
      <c r="S4" s="3234" t="s">
        <v>2876</v>
      </c>
      <c r="T4" s="3234" t="s">
        <v>2877</v>
      </c>
    </row>
    <row r="5" spans="1:20">
      <c r="A5" s="3239" t="s">
        <v>2840</v>
      </c>
      <c r="B5" s="3230" t="s">
        <v>2854</v>
      </c>
      <c r="C5" s="3230">
        <v>34550</v>
      </c>
      <c r="D5" s="3230">
        <v>34470</v>
      </c>
      <c r="E5" s="3230">
        <v>34330</v>
      </c>
      <c r="F5" s="3230">
        <v>13400</v>
      </c>
      <c r="G5" s="3230">
        <v>25450</v>
      </c>
      <c r="H5" s="3233"/>
      <c r="I5" s="3234" t="s">
        <v>145</v>
      </c>
      <c r="J5" s="3235" t="s">
        <v>146</v>
      </c>
      <c r="K5" s="3235" t="s">
        <v>147</v>
      </c>
      <c r="L5" s="3234" t="s">
        <v>148</v>
      </c>
      <c r="M5" s="3234" t="s">
        <v>149</v>
      </c>
      <c r="N5" s="3234" t="s">
        <v>150</v>
      </c>
      <c r="O5" s="3234" t="s">
        <v>151</v>
      </c>
      <c r="P5" s="3234" t="s">
        <v>152</v>
      </c>
      <c r="Q5" s="3234" t="s">
        <v>2878</v>
      </c>
      <c r="R5" s="3234" t="s">
        <v>2879</v>
      </c>
      <c r="S5" s="3234" t="s">
        <v>153</v>
      </c>
      <c r="T5" s="3234" t="s">
        <v>2880</v>
      </c>
    </row>
    <row r="6" spans="1:20" ht="12" thickBot="1">
      <c r="A6" s="3234" t="s">
        <v>144</v>
      </c>
      <c r="B6" s="3234" t="s">
        <v>2869</v>
      </c>
      <c r="C6" s="3234">
        <v>36990</v>
      </c>
      <c r="D6" s="3234">
        <v>36850</v>
      </c>
      <c r="E6" s="3234">
        <v>36700</v>
      </c>
      <c r="F6" s="3234">
        <v>14590</v>
      </c>
      <c r="G6" s="3234">
        <v>27450</v>
      </c>
      <c r="H6" s="3233"/>
      <c r="I6" s="3240" t="s">
        <v>154</v>
      </c>
      <c r="J6" s="3235" t="s">
        <v>155</v>
      </c>
      <c r="K6" s="3235" t="s">
        <v>156</v>
      </c>
      <c r="L6" s="3234" t="s">
        <v>157</v>
      </c>
      <c r="M6" s="3234" t="s">
        <v>158</v>
      </c>
      <c r="N6" s="3234" t="s">
        <v>159</v>
      </c>
      <c r="O6" s="3234" t="s">
        <v>160</v>
      </c>
      <c r="P6" s="3234" t="s">
        <v>2881</v>
      </c>
      <c r="Q6" s="3234" t="s">
        <v>2882</v>
      </c>
      <c r="R6" s="3234" t="s">
        <v>161</v>
      </c>
      <c r="S6" s="3234" t="s">
        <v>2883</v>
      </c>
      <c r="T6" s="3234" t="s">
        <v>2884</v>
      </c>
    </row>
    <row r="7" spans="1:20">
      <c r="A7" s="3234" t="s">
        <v>144</v>
      </c>
      <c r="B7" s="3235" t="s">
        <v>137</v>
      </c>
      <c r="C7" s="3234">
        <v>34850</v>
      </c>
      <c r="D7" s="3234">
        <v>34690</v>
      </c>
      <c r="E7" s="3234">
        <v>34550</v>
      </c>
      <c r="F7" s="3234">
        <v>14360</v>
      </c>
      <c r="G7" s="3234">
        <v>25620</v>
      </c>
      <c r="H7" s="3233"/>
      <c r="J7" s="3235" t="s">
        <v>162</v>
      </c>
      <c r="K7" s="3235" t="s">
        <v>163</v>
      </c>
      <c r="L7" s="3234" t="s">
        <v>164</v>
      </c>
      <c r="M7" s="3234" t="s">
        <v>165</v>
      </c>
      <c r="N7" s="3234" t="s">
        <v>166</v>
      </c>
      <c r="O7" s="3234" t="s">
        <v>167</v>
      </c>
      <c r="P7" s="3234" t="s">
        <v>2885</v>
      </c>
      <c r="Q7" s="3234" t="s">
        <v>2886</v>
      </c>
      <c r="R7" s="3234" t="s">
        <v>2887</v>
      </c>
      <c r="S7" s="3234" t="s">
        <v>2888</v>
      </c>
      <c r="T7" s="3234" t="s">
        <v>2889</v>
      </c>
    </row>
    <row r="8" spans="1:20" ht="12" thickBot="1">
      <c r="A8" s="3234" t="s">
        <v>144</v>
      </c>
      <c r="B8" s="3234" t="s">
        <v>145</v>
      </c>
      <c r="C8" s="3234">
        <v>32630</v>
      </c>
      <c r="D8" s="3234">
        <v>32510</v>
      </c>
      <c r="E8" s="3234">
        <v>32420</v>
      </c>
      <c r="F8" s="3234">
        <v>13300</v>
      </c>
      <c r="G8" s="3234">
        <v>24010</v>
      </c>
      <c r="H8" s="3233"/>
      <c r="J8" s="3235" t="s">
        <v>168</v>
      </c>
      <c r="K8" s="3235" t="s">
        <v>169</v>
      </c>
      <c r="L8" s="3234" t="s">
        <v>170</v>
      </c>
      <c r="M8" s="3234" t="s">
        <v>171</v>
      </c>
      <c r="N8" s="3234" t="s">
        <v>172</v>
      </c>
      <c r="O8" s="3234" t="s">
        <v>173</v>
      </c>
      <c r="P8" s="3234" t="s">
        <v>2890</v>
      </c>
      <c r="Q8" s="3234" t="s">
        <v>174</v>
      </c>
      <c r="R8" s="3234" t="s">
        <v>2891</v>
      </c>
      <c r="S8" s="3234" t="s">
        <v>2892</v>
      </c>
      <c r="T8" s="3241" t="s">
        <v>2893</v>
      </c>
    </row>
    <row r="9" spans="1:20" ht="12" thickBot="1">
      <c r="A9" s="3242" t="s">
        <v>144</v>
      </c>
      <c r="B9" s="3240" t="s">
        <v>154</v>
      </c>
      <c r="C9" s="3241">
        <v>36370</v>
      </c>
      <c r="D9" s="3241">
        <v>36210</v>
      </c>
      <c r="E9" s="3241">
        <v>36050</v>
      </c>
      <c r="F9" s="3241"/>
      <c r="G9" s="3241">
        <v>26740</v>
      </c>
      <c r="H9" s="3233"/>
      <c r="J9" s="3235" t="s">
        <v>175</v>
      </c>
      <c r="K9" s="3235" t="s">
        <v>176</v>
      </c>
      <c r="L9" s="3234" t="s">
        <v>177</v>
      </c>
      <c r="M9" s="3234" t="s">
        <v>178</v>
      </c>
      <c r="N9" s="3234" t="s">
        <v>179</v>
      </c>
      <c r="O9" s="3234" t="s">
        <v>180</v>
      </c>
      <c r="P9" s="3234" t="s">
        <v>2894</v>
      </c>
      <c r="Q9" s="3234" t="s">
        <v>182</v>
      </c>
      <c r="R9" s="3234" t="s">
        <v>183</v>
      </c>
      <c r="S9" s="3234" t="s">
        <v>200</v>
      </c>
    </row>
    <row r="10" spans="1:20">
      <c r="A10" s="3239" t="s">
        <v>184</v>
      </c>
      <c r="B10" s="3230" t="s">
        <v>2855</v>
      </c>
      <c r="C10" s="3234">
        <v>32350</v>
      </c>
      <c r="D10" s="3234">
        <v>31430</v>
      </c>
      <c r="E10" s="3234">
        <v>31320</v>
      </c>
      <c r="F10" s="3234">
        <v>10850</v>
      </c>
      <c r="G10" s="3234">
        <v>22860</v>
      </c>
      <c r="H10" s="3233"/>
      <c r="J10" s="3235" t="s">
        <v>185</v>
      </c>
      <c r="K10" s="3235" t="s">
        <v>186</v>
      </c>
      <c r="L10" s="3234" t="s">
        <v>187</v>
      </c>
      <c r="M10" s="3234" t="s">
        <v>188</v>
      </c>
      <c r="N10" s="3234" t="s">
        <v>189</v>
      </c>
      <c r="O10" s="3234" t="s">
        <v>190</v>
      </c>
      <c r="P10" s="3234" t="s">
        <v>181</v>
      </c>
      <c r="Q10" s="3234" t="s">
        <v>192</v>
      </c>
      <c r="R10" s="3234" t="s">
        <v>193</v>
      </c>
      <c r="S10" s="3234" t="s">
        <v>2895</v>
      </c>
    </row>
    <row r="11" spans="1:20">
      <c r="A11" s="3234" t="s">
        <v>184</v>
      </c>
      <c r="B11" s="3235" t="s">
        <v>128</v>
      </c>
      <c r="C11" s="3234">
        <v>31590</v>
      </c>
      <c r="D11" s="3234">
        <v>29490</v>
      </c>
      <c r="E11" s="3234">
        <v>28700</v>
      </c>
      <c r="F11" s="3234">
        <v>10410</v>
      </c>
      <c r="G11" s="3234">
        <v>21460</v>
      </c>
      <c r="H11" s="3233"/>
      <c r="J11" s="3235" t="s">
        <v>194</v>
      </c>
      <c r="K11" s="3235" t="s">
        <v>195</v>
      </c>
      <c r="L11" s="3234" t="s">
        <v>196</v>
      </c>
      <c r="M11" s="3234" t="s">
        <v>197</v>
      </c>
      <c r="N11" s="3234" t="s">
        <v>198</v>
      </c>
      <c r="O11" s="3234" t="s">
        <v>2896</v>
      </c>
      <c r="P11" s="3234" t="s">
        <v>191</v>
      </c>
      <c r="Q11" s="3234" t="s">
        <v>199</v>
      </c>
      <c r="R11" s="3234" t="s">
        <v>2897</v>
      </c>
      <c r="S11" s="3234" t="s">
        <v>2898</v>
      </c>
    </row>
    <row r="12" spans="1:20">
      <c r="A12" s="3234" t="s">
        <v>184</v>
      </c>
      <c r="B12" s="3235" t="s">
        <v>111</v>
      </c>
      <c r="C12" s="3234">
        <v>29640</v>
      </c>
      <c r="D12" s="3234">
        <v>27550</v>
      </c>
      <c r="E12" s="3234">
        <v>28010</v>
      </c>
      <c r="F12" s="3234">
        <v>8730</v>
      </c>
      <c r="G12" s="3234">
        <v>20050</v>
      </c>
      <c r="H12" s="3233"/>
      <c r="J12" s="3235" t="s">
        <v>201</v>
      </c>
      <c r="K12" s="3235" t="s">
        <v>202</v>
      </c>
      <c r="L12" s="3234" t="s">
        <v>203</v>
      </c>
      <c r="M12" s="3234" t="s">
        <v>204</v>
      </c>
      <c r="N12" s="3234" t="s">
        <v>205</v>
      </c>
      <c r="O12" s="3234" t="s">
        <v>2899</v>
      </c>
      <c r="P12" s="3234" t="s">
        <v>2900</v>
      </c>
      <c r="Q12" s="3234" t="s">
        <v>2901</v>
      </c>
      <c r="R12" s="3234" t="s">
        <v>2902</v>
      </c>
      <c r="S12" s="3234" t="s">
        <v>2903</v>
      </c>
    </row>
    <row r="13" spans="1:20">
      <c r="A13" s="3234" t="s">
        <v>184</v>
      </c>
      <c r="B13" s="3235" t="s">
        <v>146</v>
      </c>
      <c r="C13" s="3234">
        <v>29680</v>
      </c>
      <c r="D13" s="3234">
        <v>27660</v>
      </c>
      <c r="E13" s="3234">
        <v>28210</v>
      </c>
      <c r="F13" s="3234">
        <v>9590</v>
      </c>
      <c r="G13" s="3234">
        <v>20120</v>
      </c>
      <c r="H13" s="3233"/>
      <c r="J13" s="3235" t="s">
        <v>208</v>
      </c>
      <c r="K13" s="3235" t="s">
        <v>209</v>
      </c>
      <c r="L13" s="3234" t="s">
        <v>210</v>
      </c>
      <c r="M13" s="3234" t="s">
        <v>211</v>
      </c>
      <c r="N13" s="3234" t="s">
        <v>212</v>
      </c>
      <c r="O13" s="3234" t="s">
        <v>2904</v>
      </c>
      <c r="P13" s="3234" t="s">
        <v>206</v>
      </c>
      <c r="Q13" s="3234" t="s">
        <v>219</v>
      </c>
      <c r="R13" s="3234" t="s">
        <v>220</v>
      </c>
      <c r="S13" s="3234" t="s">
        <v>214</v>
      </c>
    </row>
    <row r="14" spans="1:20">
      <c r="A14" s="3234" t="s">
        <v>184</v>
      </c>
      <c r="B14" s="3235" t="s">
        <v>155</v>
      </c>
      <c r="C14" s="3234">
        <v>30520</v>
      </c>
      <c r="D14" s="3234">
        <v>29510</v>
      </c>
      <c r="E14" s="3234">
        <v>29400</v>
      </c>
      <c r="F14" s="3234">
        <v>9630</v>
      </c>
      <c r="G14" s="3234">
        <v>21480</v>
      </c>
      <c r="H14" s="3233"/>
      <c r="J14" s="3235" t="s">
        <v>2905</v>
      </c>
      <c r="K14" s="3235" t="s">
        <v>215</v>
      </c>
      <c r="L14" s="3234" t="s">
        <v>216</v>
      </c>
      <c r="M14" s="3234" t="s">
        <v>217</v>
      </c>
      <c r="N14" s="3234" t="s">
        <v>218</v>
      </c>
      <c r="O14" s="3234" t="s">
        <v>240</v>
      </c>
      <c r="P14" s="3234" t="s">
        <v>213</v>
      </c>
      <c r="Q14" s="3234" t="s">
        <v>2906</v>
      </c>
      <c r="R14" s="3234" t="s">
        <v>228</v>
      </c>
      <c r="S14" s="3234" t="s">
        <v>221</v>
      </c>
    </row>
    <row r="15" spans="1:20">
      <c r="A15" s="3234" t="s">
        <v>184</v>
      </c>
      <c r="B15" s="3235" t="s">
        <v>162</v>
      </c>
      <c r="C15" s="3234">
        <v>29090</v>
      </c>
      <c r="D15" s="3234">
        <v>27590</v>
      </c>
      <c r="E15" s="3234">
        <v>28120</v>
      </c>
      <c r="F15" s="3234">
        <v>9110</v>
      </c>
      <c r="G15" s="3234">
        <v>20070</v>
      </c>
      <c r="H15" s="3233"/>
      <c r="J15" s="3235" t="s">
        <v>222</v>
      </c>
      <c r="K15" s="3235" t="s">
        <v>223</v>
      </c>
      <c r="L15" s="3234" t="s">
        <v>224</v>
      </c>
      <c r="M15" s="3234" t="s">
        <v>225</v>
      </c>
      <c r="N15" s="3234" t="s">
        <v>226</v>
      </c>
      <c r="O15" s="3234" t="s">
        <v>2907</v>
      </c>
      <c r="P15" s="3234" t="s">
        <v>2908</v>
      </c>
      <c r="Q15" s="3234" t="s">
        <v>242</v>
      </c>
      <c r="R15" s="3234" t="s">
        <v>2909</v>
      </c>
      <c r="S15" s="3234" t="s">
        <v>229</v>
      </c>
    </row>
    <row r="16" spans="1:20">
      <c r="A16" s="3234" t="s">
        <v>184</v>
      </c>
      <c r="B16" s="3235" t="s">
        <v>168</v>
      </c>
      <c r="C16" s="3234">
        <v>26790</v>
      </c>
      <c r="D16" s="3234">
        <v>30370</v>
      </c>
      <c r="E16" s="3234">
        <v>30240</v>
      </c>
      <c r="F16" s="3234">
        <v>11590</v>
      </c>
      <c r="G16" s="3234">
        <v>22090</v>
      </c>
      <c r="H16" s="3233"/>
      <c r="J16" s="3235" t="s">
        <v>230</v>
      </c>
      <c r="K16" s="3235" t="s">
        <v>231</v>
      </c>
      <c r="L16" s="3234" t="s">
        <v>232</v>
      </c>
      <c r="M16" s="3234" t="s">
        <v>233</v>
      </c>
      <c r="N16" s="3234" t="s">
        <v>234</v>
      </c>
      <c r="O16" s="3234" t="s">
        <v>2910</v>
      </c>
      <c r="P16" s="3234" t="s">
        <v>227</v>
      </c>
      <c r="Q16" s="3234" t="s">
        <v>250</v>
      </c>
      <c r="R16" s="3234" t="s">
        <v>207</v>
      </c>
      <c r="S16" s="3234" t="s">
        <v>2911</v>
      </c>
    </row>
    <row r="17" spans="1:19" ht="14.25" customHeight="1">
      <c r="A17" s="3234" t="s">
        <v>184</v>
      </c>
      <c r="B17" s="3235" t="s">
        <v>175</v>
      </c>
      <c r="C17" s="3234">
        <v>29180</v>
      </c>
      <c r="D17" s="3234">
        <v>27620</v>
      </c>
      <c r="E17" s="3234">
        <v>28180</v>
      </c>
      <c r="F17" s="3234">
        <v>10790</v>
      </c>
      <c r="G17" s="3234">
        <v>20090</v>
      </c>
      <c r="H17" s="3233"/>
      <c r="J17" s="3235" t="s">
        <v>235</v>
      </c>
      <c r="K17" s="3235" t="s">
        <v>236</v>
      </c>
      <c r="L17" s="3234" t="s">
        <v>237</v>
      </c>
      <c r="M17" s="3234" t="s">
        <v>238</v>
      </c>
      <c r="N17" s="3234" t="s">
        <v>239</v>
      </c>
      <c r="O17" s="3234" t="s">
        <v>2912</v>
      </c>
      <c r="P17" s="3234" t="s">
        <v>2913</v>
      </c>
      <c r="Q17" s="3234" t="s">
        <v>256</v>
      </c>
      <c r="R17" s="3234" t="s">
        <v>2914</v>
      </c>
      <c r="S17" s="3234" t="s">
        <v>258</v>
      </c>
    </row>
    <row r="18" spans="1:19" ht="14.25" customHeight="1">
      <c r="A18" s="3234" t="s">
        <v>184</v>
      </c>
      <c r="B18" s="3235" t="s">
        <v>185</v>
      </c>
      <c r="C18" s="3234">
        <v>26840</v>
      </c>
      <c r="D18" s="3234">
        <v>28930</v>
      </c>
      <c r="E18" s="3234">
        <v>28820</v>
      </c>
      <c r="F18" s="3234"/>
      <c r="G18" s="3234">
        <v>21050</v>
      </c>
      <c r="H18" s="3233"/>
      <c r="J18" s="3235" t="s">
        <v>244</v>
      </c>
      <c r="K18" s="3235" t="s">
        <v>245</v>
      </c>
      <c r="L18" s="3234" t="s">
        <v>246</v>
      </c>
      <c r="M18" s="3234" t="s">
        <v>247</v>
      </c>
      <c r="N18" s="3234" t="s">
        <v>248</v>
      </c>
      <c r="O18" s="3234" t="s">
        <v>2915</v>
      </c>
      <c r="P18" s="3234" t="s">
        <v>241</v>
      </c>
      <c r="Q18" s="3234" t="s">
        <v>2916</v>
      </c>
      <c r="R18" s="3234" t="s">
        <v>257</v>
      </c>
      <c r="S18" s="3234" t="s">
        <v>266</v>
      </c>
    </row>
    <row r="19" spans="1:19" ht="14.25" customHeight="1">
      <c r="A19" s="3234" t="s">
        <v>184</v>
      </c>
      <c r="B19" s="3235" t="s">
        <v>194</v>
      </c>
      <c r="C19" s="3234">
        <v>27750</v>
      </c>
      <c r="D19" s="3234">
        <v>26680</v>
      </c>
      <c r="E19" s="3234">
        <v>26590</v>
      </c>
      <c r="F19" s="3234"/>
      <c r="G19" s="3234">
        <v>19420</v>
      </c>
      <c r="H19" s="3233"/>
      <c r="J19" s="3235" t="s">
        <v>251</v>
      </c>
      <c r="K19" s="3235" t="s">
        <v>252</v>
      </c>
      <c r="L19" s="3234" t="s">
        <v>253</v>
      </c>
      <c r="M19" s="3234" t="s">
        <v>254</v>
      </c>
      <c r="N19" s="3234" t="s">
        <v>255</v>
      </c>
      <c r="O19" s="3234" t="s">
        <v>2917</v>
      </c>
      <c r="P19" s="3234" t="s">
        <v>249</v>
      </c>
      <c r="Q19" s="3234" t="s">
        <v>2918</v>
      </c>
      <c r="R19" s="3234" t="s">
        <v>265</v>
      </c>
      <c r="S19" s="3234" t="s">
        <v>2919</v>
      </c>
    </row>
    <row r="20" spans="1:19" ht="14.25" customHeight="1">
      <c r="A20" s="3234" t="s">
        <v>184</v>
      </c>
      <c r="B20" s="3235" t="s">
        <v>201</v>
      </c>
      <c r="C20" s="3234">
        <v>27050</v>
      </c>
      <c r="D20" s="3234">
        <v>29010</v>
      </c>
      <c r="E20" s="3234">
        <v>28910</v>
      </c>
      <c r="F20" s="3234"/>
      <c r="G20" s="3234">
        <v>21110</v>
      </c>
      <c r="J20" s="3235" t="s">
        <v>259</v>
      </c>
      <c r="K20" s="3235" t="s">
        <v>260</v>
      </c>
      <c r="L20" s="3234" t="s">
        <v>261</v>
      </c>
      <c r="M20" s="3234" t="s">
        <v>262</v>
      </c>
      <c r="N20" s="3234" t="s">
        <v>263</v>
      </c>
      <c r="O20" s="3234" t="s">
        <v>2920</v>
      </c>
      <c r="P20" s="3234" t="s">
        <v>2921</v>
      </c>
      <c r="Q20" s="3234" t="s">
        <v>290</v>
      </c>
      <c r="R20" s="3234" t="s">
        <v>2922</v>
      </c>
      <c r="S20" s="3234" t="s">
        <v>277</v>
      </c>
    </row>
    <row r="21" spans="1:19" ht="14.25" customHeight="1" thickBot="1">
      <c r="A21" s="3234" t="s">
        <v>184</v>
      </c>
      <c r="B21" s="3235" t="s">
        <v>208</v>
      </c>
      <c r="C21" s="3234">
        <v>32370</v>
      </c>
      <c r="D21" s="3234">
        <v>26730</v>
      </c>
      <c r="E21" s="3234">
        <v>26640</v>
      </c>
      <c r="F21" s="3234"/>
      <c r="G21" s="3234">
        <v>19440</v>
      </c>
      <c r="J21" s="3241" t="s">
        <v>2923</v>
      </c>
      <c r="K21" s="3235" t="s">
        <v>267</v>
      </c>
      <c r="L21" s="3234" t="s">
        <v>268</v>
      </c>
      <c r="M21" s="3234" t="s">
        <v>269</v>
      </c>
      <c r="N21" s="3234" t="s">
        <v>270</v>
      </c>
      <c r="O21" s="3234" t="s">
        <v>264</v>
      </c>
      <c r="P21" s="3234" t="s">
        <v>283</v>
      </c>
      <c r="Q21" s="3234" t="s">
        <v>293</v>
      </c>
      <c r="R21" s="3234" t="s">
        <v>2924</v>
      </c>
      <c r="S21" s="3241" t="s">
        <v>2925</v>
      </c>
    </row>
    <row r="22" spans="1:19" ht="14.25" customHeight="1">
      <c r="A22" s="3234" t="s">
        <v>184</v>
      </c>
      <c r="B22" s="3235" t="s">
        <v>2905</v>
      </c>
      <c r="C22" s="3234">
        <v>29830</v>
      </c>
      <c r="D22" s="3234">
        <v>27600</v>
      </c>
      <c r="E22" s="3234">
        <v>28150</v>
      </c>
      <c r="F22" s="3234"/>
      <c r="G22" s="3234">
        <v>20080</v>
      </c>
      <c r="K22" s="3235" t="s">
        <v>2926</v>
      </c>
      <c r="L22" s="3234" t="s">
        <v>272</v>
      </c>
      <c r="M22" s="3234" t="s">
        <v>273</v>
      </c>
      <c r="N22" s="3234" t="s">
        <v>274</v>
      </c>
      <c r="O22" s="3234" t="s">
        <v>2927</v>
      </c>
      <c r="P22" s="3234" t="s">
        <v>286</v>
      </c>
      <c r="Q22" s="3234" t="s">
        <v>295</v>
      </c>
      <c r="R22" s="3234" t="s">
        <v>243</v>
      </c>
    </row>
    <row r="23" spans="1:19" ht="14.25" customHeight="1">
      <c r="A23" s="3234" t="s">
        <v>184</v>
      </c>
      <c r="B23" s="3235" t="s">
        <v>222</v>
      </c>
      <c r="C23" s="3234">
        <v>27800</v>
      </c>
      <c r="D23" s="3234">
        <v>26900</v>
      </c>
      <c r="E23" s="3234">
        <v>27170</v>
      </c>
      <c r="F23" s="3234"/>
      <c r="G23" s="3234">
        <v>19570</v>
      </c>
      <c r="K23" s="3235" t="s">
        <v>2928</v>
      </c>
      <c r="L23" s="3234" t="s">
        <v>278</v>
      </c>
      <c r="M23" s="3234" t="s">
        <v>279</v>
      </c>
      <c r="N23" s="3234" t="s">
        <v>2929</v>
      </c>
      <c r="O23" s="3234" t="s">
        <v>2930</v>
      </c>
      <c r="P23" s="3234" t="s">
        <v>289</v>
      </c>
      <c r="Q23" s="3234" t="s">
        <v>298</v>
      </c>
      <c r="R23" s="3234" t="s">
        <v>2931</v>
      </c>
    </row>
    <row r="24" spans="1:19" ht="14.25" customHeight="1">
      <c r="A24" s="3234" t="s">
        <v>184</v>
      </c>
      <c r="B24" s="3235" t="s">
        <v>230</v>
      </c>
      <c r="C24" s="3234">
        <v>27930</v>
      </c>
      <c r="D24" s="3234">
        <v>32260</v>
      </c>
      <c r="E24" s="3234">
        <v>32120</v>
      </c>
      <c r="F24" s="3234"/>
      <c r="G24" s="3234">
        <v>23470</v>
      </c>
      <c r="K24" s="3235" t="s">
        <v>2932</v>
      </c>
      <c r="L24" s="3234" t="s">
        <v>281</v>
      </c>
      <c r="M24" s="3234" t="s">
        <v>282</v>
      </c>
      <c r="N24" s="3234" t="s">
        <v>2933</v>
      </c>
      <c r="O24" s="3234" t="s">
        <v>285</v>
      </c>
      <c r="P24" s="3234" t="s">
        <v>2934</v>
      </c>
      <c r="Q24" s="3243" t="s">
        <v>2935</v>
      </c>
      <c r="R24" s="3234" t="s">
        <v>2936</v>
      </c>
    </row>
    <row r="25" spans="1:19" ht="14.25" customHeight="1">
      <c r="A25" s="3234" t="s">
        <v>184</v>
      </c>
      <c r="B25" s="3235" t="s">
        <v>235</v>
      </c>
      <c r="C25" s="3234">
        <v>32230</v>
      </c>
      <c r="D25" s="3234">
        <v>29640</v>
      </c>
      <c r="E25" s="3234">
        <v>29510</v>
      </c>
      <c r="F25" s="3234"/>
      <c r="G25" s="3234">
        <v>21560</v>
      </c>
      <c r="K25" s="3235" t="s">
        <v>2937</v>
      </c>
      <c r="L25" s="3234" t="s">
        <v>2938</v>
      </c>
      <c r="M25" s="3234" t="s">
        <v>284</v>
      </c>
      <c r="N25" s="3234" t="s">
        <v>292</v>
      </c>
      <c r="O25" s="3234" t="s">
        <v>288</v>
      </c>
      <c r="P25" s="3234" t="s">
        <v>275</v>
      </c>
      <c r="Q25" s="3243" t="s">
        <v>271</v>
      </c>
      <c r="R25" s="3234" t="s">
        <v>2939</v>
      </c>
    </row>
    <row r="26" spans="1:19" ht="14.25" customHeight="1" thickBot="1">
      <c r="A26" s="3234" t="s">
        <v>184</v>
      </c>
      <c r="B26" s="3235" t="s">
        <v>244</v>
      </c>
      <c r="C26" s="3234">
        <v>31690</v>
      </c>
      <c r="D26" s="3234">
        <v>27650</v>
      </c>
      <c r="E26" s="3234">
        <v>28200</v>
      </c>
      <c r="F26" s="3234"/>
      <c r="G26" s="3234">
        <v>20110</v>
      </c>
      <c r="K26" s="3240" t="s">
        <v>2940</v>
      </c>
      <c r="L26" s="3234" t="s">
        <v>2941</v>
      </c>
      <c r="M26" s="3234" t="s">
        <v>287</v>
      </c>
      <c r="N26" s="3234" t="s">
        <v>294</v>
      </c>
      <c r="O26" s="3234" t="s">
        <v>2942</v>
      </c>
      <c r="P26" s="3234" t="s">
        <v>2943</v>
      </c>
      <c r="Q26" s="3243" t="s">
        <v>276</v>
      </c>
      <c r="R26" s="3234" t="s">
        <v>2944</v>
      </c>
    </row>
    <row r="27" spans="1:19" ht="14.25" customHeight="1">
      <c r="A27" s="3234" t="s">
        <v>184</v>
      </c>
      <c r="B27" s="3235" t="s">
        <v>251</v>
      </c>
      <c r="C27" s="3234">
        <v>29610</v>
      </c>
      <c r="D27" s="3234">
        <v>27770</v>
      </c>
      <c r="E27" s="3234">
        <v>28300</v>
      </c>
      <c r="F27" s="3234"/>
      <c r="G27" s="3234">
        <v>20210</v>
      </c>
      <c r="L27" s="3234" t="s">
        <v>2945</v>
      </c>
      <c r="M27" s="3234" t="s">
        <v>291</v>
      </c>
      <c r="N27" s="3234" t="s">
        <v>297</v>
      </c>
      <c r="O27" s="3234" t="s">
        <v>2946</v>
      </c>
      <c r="P27" s="3234" t="s">
        <v>2947</v>
      </c>
      <c r="Q27" s="3234" t="s">
        <v>2948</v>
      </c>
      <c r="R27" s="3234" t="s">
        <v>2949</v>
      </c>
    </row>
    <row r="28" spans="1:19" ht="14.25" customHeight="1">
      <c r="A28" s="3234" t="s">
        <v>184</v>
      </c>
      <c r="B28" s="3235" t="s">
        <v>259</v>
      </c>
      <c r="C28" s="3234"/>
      <c r="D28" s="3234">
        <v>31520</v>
      </c>
      <c r="E28" s="3234">
        <v>31410</v>
      </c>
      <c r="F28" s="3234"/>
      <c r="G28" s="3234">
        <v>22940</v>
      </c>
      <c r="L28" s="3234" t="s">
        <v>2950</v>
      </c>
      <c r="M28" s="3234" t="s">
        <v>2951</v>
      </c>
      <c r="N28" s="3234" t="s">
        <v>2952</v>
      </c>
      <c r="O28" s="3234" t="s">
        <v>2953</v>
      </c>
      <c r="P28" s="3234" t="s">
        <v>2954</v>
      </c>
      <c r="Q28" s="3234" t="s">
        <v>2955</v>
      </c>
      <c r="R28" s="3234" t="s">
        <v>2956</v>
      </c>
    </row>
    <row r="29" spans="1:19" ht="14.25" customHeight="1" thickBot="1">
      <c r="A29" s="3242" t="s">
        <v>184</v>
      </c>
      <c r="B29" s="3244" t="s">
        <v>2923</v>
      </c>
      <c r="C29" s="3245"/>
      <c r="D29" s="3245">
        <v>29460</v>
      </c>
      <c r="E29" s="3245">
        <v>28640</v>
      </c>
      <c r="F29" s="3245"/>
      <c r="G29" s="3245">
        <v>21430</v>
      </c>
      <c r="L29" s="3234" t="s">
        <v>2957</v>
      </c>
      <c r="M29" s="3234" t="s">
        <v>2958</v>
      </c>
      <c r="N29" s="3234" t="s">
        <v>2959</v>
      </c>
      <c r="O29" s="3234" t="s">
        <v>2960</v>
      </c>
      <c r="P29" s="3234" t="s">
        <v>2961</v>
      </c>
      <c r="Q29" s="3234" t="s">
        <v>2962</v>
      </c>
      <c r="R29" s="3234" t="s">
        <v>280</v>
      </c>
    </row>
    <row r="30" spans="1:19" ht="14.25" customHeight="1">
      <c r="A30" s="3239" t="s">
        <v>296</v>
      </c>
      <c r="B30" s="3230" t="s">
        <v>2856</v>
      </c>
      <c r="C30" s="3230">
        <v>26890</v>
      </c>
      <c r="D30" s="3230">
        <v>26770</v>
      </c>
      <c r="E30" s="3230">
        <v>25700</v>
      </c>
      <c r="F30" s="3230">
        <v>8180</v>
      </c>
      <c r="G30" s="3246">
        <v>18740</v>
      </c>
      <c r="L30" s="3234" t="s">
        <v>2963</v>
      </c>
      <c r="M30" s="3234" t="s">
        <v>2964</v>
      </c>
      <c r="N30" s="3234" t="s">
        <v>2965</v>
      </c>
      <c r="O30" s="3234" t="s">
        <v>2966</v>
      </c>
      <c r="P30" s="3234" t="s">
        <v>2967</v>
      </c>
      <c r="Q30" s="3234" t="s">
        <v>2968</v>
      </c>
      <c r="R30" s="3234" t="s">
        <v>2969</v>
      </c>
    </row>
    <row r="31" spans="1:19" ht="14.25" customHeight="1">
      <c r="A31" s="3234" t="s">
        <v>296</v>
      </c>
      <c r="B31" s="3235" t="s">
        <v>129</v>
      </c>
      <c r="C31" s="3234">
        <v>24550</v>
      </c>
      <c r="D31" s="3234">
        <v>23990</v>
      </c>
      <c r="E31" s="3234">
        <v>22930</v>
      </c>
      <c r="F31" s="3234">
        <v>7470</v>
      </c>
      <c r="G31" s="3247">
        <v>16790</v>
      </c>
      <c r="L31" s="3234" t="s">
        <v>2970</v>
      </c>
      <c r="M31" s="3234" t="s">
        <v>2971</v>
      </c>
      <c r="N31" s="3234" t="s">
        <v>2972</v>
      </c>
      <c r="O31" s="3234" t="s">
        <v>2973</v>
      </c>
      <c r="P31" s="3234" t="s">
        <v>2974</v>
      </c>
      <c r="Q31" s="3234" t="s">
        <v>2975</v>
      </c>
      <c r="R31" s="3234" t="s">
        <v>2976</v>
      </c>
    </row>
    <row r="32" spans="1:19" ht="14.25" customHeight="1" thickBot="1">
      <c r="A32" s="3234" t="s">
        <v>296</v>
      </c>
      <c r="B32" s="3235" t="s">
        <v>138</v>
      </c>
      <c r="C32" s="3234">
        <v>27210</v>
      </c>
      <c r="D32" s="3234">
        <v>23240</v>
      </c>
      <c r="E32" s="3234">
        <v>23260</v>
      </c>
      <c r="F32" s="3234">
        <v>7130</v>
      </c>
      <c r="G32" s="3247">
        <v>16270</v>
      </c>
      <c r="L32" s="3234" t="s">
        <v>2977</v>
      </c>
      <c r="M32" s="3234" t="s">
        <v>2978</v>
      </c>
      <c r="N32" s="3234" t="s">
        <v>300</v>
      </c>
      <c r="O32" s="3234" t="s">
        <v>2979</v>
      </c>
      <c r="P32" s="3234" t="s">
        <v>299</v>
      </c>
      <c r="Q32" s="3234" t="s">
        <v>2980</v>
      </c>
      <c r="R32" s="3241" t="s">
        <v>2981</v>
      </c>
    </row>
    <row r="33" spans="1:17" ht="14.25" customHeight="1" thickBot="1">
      <c r="A33" s="3234" t="s">
        <v>296</v>
      </c>
      <c r="B33" s="3235" t="s">
        <v>147</v>
      </c>
      <c r="C33" s="3234">
        <v>27300</v>
      </c>
      <c r="D33" s="3234">
        <v>22980</v>
      </c>
      <c r="E33" s="3234">
        <v>24260</v>
      </c>
      <c r="F33" s="3234">
        <v>5860</v>
      </c>
      <c r="G33" s="3247">
        <v>16090</v>
      </c>
      <c r="L33" s="3241" t="s">
        <v>2982</v>
      </c>
      <c r="M33" s="3234" t="s">
        <v>2983</v>
      </c>
      <c r="N33" s="3234" t="s">
        <v>301</v>
      </c>
      <c r="O33" s="3234" t="s">
        <v>2984</v>
      </c>
      <c r="P33" s="3234" t="s">
        <v>2985</v>
      </c>
      <c r="Q33" s="3234" t="s">
        <v>2986</v>
      </c>
    </row>
    <row r="34" spans="1:17" ht="14.25" customHeight="1">
      <c r="A34" s="3234" t="s">
        <v>296</v>
      </c>
      <c r="B34" s="3235" t="s">
        <v>156</v>
      </c>
      <c r="C34" s="3234">
        <v>23090</v>
      </c>
      <c r="D34" s="3234">
        <v>23390</v>
      </c>
      <c r="E34" s="3234">
        <v>23510</v>
      </c>
      <c r="F34" s="3234">
        <v>6700</v>
      </c>
      <c r="G34" s="3247">
        <v>16370</v>
      </c>
      <c r="M34" s="3234" t="s">
        <v>2987</v>
      </c>
      <c r="N34" s="3234" t="s">
        <v>302</v>
      </c>
      <c r="O34" s="3234" t="s">
        <v>2988</v>
      </c>
      <c r="P34" s="3234" t="s">
        <v>2989</v>
      </c>
      <c r="Q34" s="3234" t="s">
        <v>2990</v>
      </c>
    </row>
    <row r="35" spans="1:17" ht="14.25" customHeight="1">
      <c r="A35" s="3234" t="s">
        <v>296</v>
      </c>
      <c r="B35" s="3235" t="s">
        <v>163</v>
      </c>
      <c r="C35" s="3234">
        <v>27270</v>
      </c>
      <c r="D35" s="3234">
        <v>24270</v>
      </c>
      <c r="E35" s="3234">
        <v>24950</v>
      </c>
      <c r="F35" s="3234">
        <v>6600</v>
      </c>
      <c r="G35" s="3247">
        <v>16990</v>
      </c>
      <c r="M35" s="3234" t="s">
        <v>2991</v>
      </c>
      <c r="N35" s="3234" t="s">
        <v>2992</v>
      </c>
      <c r="O35" s="3234" t="s">
        <v>2993</v>
      </c>
      <c r="P35" s="3234" t="s">
        <v>2994</v>
      </c>
      <c r="Q35" s="3234" t="s">
        <v>2995</v>
      </c>
    </row>
    <row r="36" spans="1:17" ht="14.25" customHeight="1">
      <c r="A36" s="3234" t="s">
        <v>296</v>
      </c>
      <c r="B36" s="3235" t="s">
        <v>169</v>
      </c>
      <c r="C36" s="3234">
        <v>23490</v>
      </c>
      <c r="D36" s="3234">
        <v>23020</v>
      </c>
      <c r="E36" s="3234">
        <v>25230</v>
      </c>
      <c r="F36" s="3234">
        <v>6780</v>
      </c>
      <c r="G36" s="3247">
        <v>16120</v>
      </c>
      <c r="M36" s="3234" t="s">
        <v>2996</v>
      </c>
      <c r="N36" s="3234" t="s">
        <v>2997</v>
      </c>
      <c r="O36" s="3234" t="s">
        <v>2998</v>
      </c>
      <c r="P36" s="3234" t="s">
        <v>2999</v>
      </c>
      <c r="Q36" s="3234" t="s">
        <v>3000</v>
      </c>
    </row>
    <row r="37" spans="1:17" ht="14.25" customHeight="1">
      <c r="A37" s="3234" t="s">
        <v>296</v>
      </c>
      <c r="B37" s="3235" t="s">
        <v>176</v>
      </c>
      <c r="C37" s="3234">
        <v>24380</v>
      </c>
      <c r="D37" s="3234">
        <v>22240</v>
      </c>
      <c r="E37" s="3234">
        <v>25980</v>
      </c>
      <c r="F37" s="3234">
        <v>8160</v>
      </c>
      <c r="G37" s="3247">
        <v>15570</v>
      </c>
      <c r="M37" s="3234" t="s">
        <v>3001</v>
      </c>
      <c r="N37" s="3234" t="s">
        <v>3002</v>
      </c>
      <c r="O37" s="3234" t="s">
        <v>3003</v>
      </c>
      <c r="P37" s="3234" t="s">
        <v>3004</v>
      </c>
      <c r="Q37" s="3234" t="s">
        <v>3005</v>
      </c>
    </row>
    <row r="38" spans="1:17" ht="14.25" customHeight="1">
      <c r="A38" s="3234" t="s">
        <v>296</v>
      </c>
      <c r="B38" s="3235" t="s">
        <v>186</v>
      </c>
      <c r="C38" s="3234">
        <v>23120</v>
      </c>
      <c r="D38" s="3234">
        <v>24630</v>
      </c>
      <c r="E38" s="3234">
        <v>25030</v>
      </c>
      <c r="F38" s="3234">
        <v>7710</v>
      </c>
      <c r="G38" s="3247">
        <v>17240</v>
      </c>
      <c r="M38" s="3234" t="s">
        <v>3006</v>
      </c>
      <c r="N38" s="3234" t="s">
        <v>3007</v>
      </c>
      <c r="O38" s="3234" t="s">
        <v>3008</v>
      </c>
      <c r="P38" s="3234" t="s">
        <v>3009</v>
      </c>
      <c r="Q38" s="3234" t="s">
        <v>3010</v>
      </c>
    </row>
    <row r="39" spans="1:17" ht="14.25" customHeight="1">
      <c r="A39" s="3234" t="s">
        <v>296</v>
      </c>
      <c r="B39" s="3235" t="s">
        <v>195</v>
      </c>
      <c r="C39" s="3234">
        <v>22330</v>
      </c>
      <c r="D39" s="3234">
        <v>21140</v>
      </c>
      <c r="E39" s="3234">
        <v>23970</v>
      </c>
      <c r="F39" s="3234">
        <v>7940</v>
      </c>
      <c r="G39" s="3247">
        <v>14790</v>
      </c>
      <c r="M39" s="3234" t="s">
        <v>3011</v>
      </c>
      <c r="N39" s="3234" t="s">
        <v>3012</v>
      </c>
      <c r="O39" s="3234" t="s">
        <v>3013</v>
      </c>
      <c r="P39" s="3234" t="s">
        <v>3014</v>
      </c>
      <c r="Q39" s="3234" t="s">
        <v>3015</v>
      </c>
    </row>
    <row r="40" spans="1:17" ht="14.25" customHeight="1">
      <c r="A40" s="3234" t="s">
        <v>296</v>
      </c>
      <c r="B40" s="3235" t="s">
        <v>202</v>
      </c>
      <c r="C40" s="3234">
        <v>24740</v>
      </c>
      <c r="D40" s="3234">
        <v>24690</v>
      </c>
      <c r="E40" s="3234">
        <v>22610</v>
      </c>
      <c r="F40" s="3234"/>
      <c r="G40" s="3247">
        <v>17280</v>
      </c>
      <c r="M40" s="3234" t="s">
        <v>3016</v>
      </c>
      <c r="N40" s="3234" t="s">
        <v>3017</v>
      </c>
      <c r="O40" s="3234" t="s">
        <v>3018</v>
      </c>
      <c r="P40" s="3234" t="s">
        <v>3019</v>
      </c>
      <c r="Q40" s="3234" t="s">
        <v>3020</v>
      </c>
    </row>
    <row r="41" spans="1:17" ht="14.25" customHeight="1" thickBot="1">
      <c r="A41" s="3234" t="s">
        <v>296</v>
      </c>
      <c r="B41" s="3235" t="s">
        <v>209</v>
      </c>
      <c r="C41" s="3234">
        <v>21220</v>
      </c>
      <c r="D41" s="3234">
        <v>21120</v>
      </c>
      <c r="E41" s="3234">
        <v>22590</v>
      </c>
      <c r="F41" s="3234"/>
      <c r="G41" s="3247">
        <v>14780</v>
      </c>
      <c r="M41" s="3241" t="s">
        <v>3021</v>
      </c>
      <c r="N41" s="3234" t="s">
        <v>3022</v>
      </c>
      <c r="O41" s="3234" t="s">
        <v>3023</v>
      </c>
      <c r="P41" s="3234" t="s">
        <v>3024</v>
      </c>
      <c r="Q41" s="3234" t="s">
        <v>3025</v>
      </c>
    </row>
    <row r="42" spans="1:17" ht="14.25" customHeight="1">
      <c r="A42" s="3234" t="s">
        <v>296</v>
      </c>
      <c r="B42" s="3235" t="s">
        <v>215</v>
      </c>
      <c r="C42" s="3234">
        <v>24800</v>
      </c>
      <c r="D42" s="3234">
        <v>22280</v>
      </c>
      <c r="E42" s="3234">
        <v>24350</v>
      </c>
      <c r="F42" s="3234"/>
      <c r="G42" s="3247">
        <v>15590</v>
      </c>
      <c r="N42" s="3234" t="s">
        <v>3026</v>
      </c>
      <c r="O42" s="3234" t="s">
        <v>3027</v>
      </c>
      <c r="P42" s="3234" t="s">
        <v>3028</v>
      </c>
      <c r="Q42" s="3234" t="s">
        <v>3029</v>
      </c>
    </row>
    <row r="43" spans="1:17" ht="14.25" customHeight="1">
      <c r="A43" s="3234" t="s">
        <v>3030</v>
      </c>
      <c r="B43" s="3235" t="s">
        <v>223</v>
      </c>
      <c r="C43" s="3234">
        <v>21210</v>
      </c>
      <c r="D43" s="3234">
        <v>21160</v>
      </c>
      <c r="E43" s="3234">
        <v>22650</v>
      </c>
      <c r="F43" s="3234"/>
      <c r="G43" s="3247">
        <v>14800</v>
      </c>
      <c r="N43" s="3234" t="s">
        <v>3031</v>
      </c>
      <c r="O43" s="3234" t="s">
        <v>3032</v>
      </c>
      <c r="P43" s="3234" t="s">
        <v>3033</v>
      </c>
      <c r="Q43" s="3234" t="s">
        <v>3034</v>
      </c>
    </row>
    <row r="44" spans="1:17" ht="14.25" customHeight="1" thickBot="1">
      <c r="A44" s="3234" t="s">
        <v>296</v>
      </c>
      <c r="B44" s="3235" t="s">
        <v>231</v>
      </c>
      <c r="C44" s="3234">
        <v>22370</v>
      </c>
      <c r="D44" s="3234">
        <v>23140</v>
      </c>
      <c r="E44" s="3234">
        <v>25090</v>
      </c>
      <c r="F44" s="3234"/>
      <c r="G44" s="3247">
        <v>16190</v>
      </c>
      <c r="N44" s="3234" t="s">
        <v>3035</v>
      </c>
      <c r="O44" s="3234" t="s">
        <v>3036</v>
      </c>
      <c r="P44" s="3241" t="s">
        <v>3037</v>
      </c>
      <c r="Q44" s="3234" t="s">
        <v>3038</v>
      </c>
    </row>
    <row r="45" spans="1:17" ht="14.25" customHeight="1" thickBot="1">
      <c r="A45" s="3234" t="s">
        <v>296</v>
      </c>
      <c r="B45" s="3235" t="s">
        <v>236</v>
      </c>
      <c r="C45" s="3234">
        <v>21240</v>
      </c>
      <c r="D45" s="3234">
        <v>27050</v>
      </c>
      <c r="E45" s="3234">
        <v>28000</v>
      </c>
      <c r="F45" s="3234"/>
      <c r="G45" s="3247">
        <v>18940</v>
      </c>
      <c r="N45" s="3234" t="s">
        <v>3039</v>
      </c>
      <c r="O45" s="3241" t="s">
        <v>3040</v>
      </c>
      <c r="Q45" s="3234" t="s">
        <v>3041</v>
      </c>
    </row>
    <row r="46" spans="1:17" ht="14.25" customHeight="1">
      <c r="A46" s="3234" t="s">
        <v>296</v>
      </c>
      <c r="B46" s="3235" t="s">
        <v>245</v>
      </c>
      <c r="C46" s="3234">
        <v>23240</v>
      </c>
      <c r="D46" s="3234">
        <v>23000</v>
      </c>
      <c r="E46" s="3234">
        <v>24980</v>
      </c>
      <c r="F46" s="3234"/>
      <c r="G46" s="3247">
        <v>16100</v>
      </c>
      <c r="N46" s="3234" t="s">
        <v>3042</v>
      </c>
      <c r="Q46" s="3234" t="s">
        <v>3043</v>
      </c>
    </row>
    <row r="47" spans="1:17" ht="14.25" customHeight="1">
      <c r="A47" s="3234" t="s">
        <v>296</v>
      </c>
      <c r="B47" s="3235" t="s">
        <v>252</v>
      </c>
      <c r="C47" s="3234">
        <v>27150</v>
      </c>
      <c r="D47" s="3234">
        <v>23310</v>
      </c>
      <c r="E47" s="3234">
        <v>25150</v>
      </c>
      <c r="F47" s="3234"/>
      <c r="G47" s="3247">
        <v>16310</v>
      </c>
      <c r="N47" s="3234" t="s">
        <v>3044</v>
      </c>
      <c r="Q47" s="3234" t="s">
        <v>3045</v>
      </c>
    </row>
    <row r="48" spans="1:17" ht="14.25" customHeight="1">
      <c r="A48" s="3234" t="s">
        <v>296</v>
      </c>
      <c r="B48" s="3235" t="s">
        <v>260</v>
      </c>
      <c r="C48" s="3234">
        <v>23100</v>
      </c>
      <c r="D48" s="3234">
        <v>21110</v>
      </c>
      <c r="E48" s="3234">
        <v>23080</v>
      </c>
      <c r="F48" s="3234"/>
      <c r="G48" s="3247">
        <v>14780</v>
      </c>
      <c r="N48" s="3234" t="s">
        <v>3046</v>
      </c>
      <c r="Q48" s="3234" t="s">
        <v>3047</v>
      </c>
    </row>
    <row r="49" spans="1:17" ht="14.25" customHeight="1">
      <c r="A49" s="3234" t="s">
        <v>296</v>
      </c>
      <c r="B49" s="3235" t="s">
        <v>267</v>
      </c>
      <c r="C49" s="3234">
        <v>23400</v>
      </c>
      <c r="D49" s="3234">
        <v>22920</v>
      </c>
      <c r="E49" s="3234">
        <v>24900</v>
      </c>
      <c r="F49" s="3234"/>
      <c r="G49" s="3247">
        <v>16040</v>
      </c>
      <c r="N49" s="3234" t="s">
        <v>3048</v>
      </c>
      <c r="Q49" s="3234" t="s">
        <v>3049</v>
      </c>
    </row>
    <row r="50" spans="1:17" ht="14.25" customHeight="1">
      <c r="A50" s="3234" t="s">
        <v>296</v>
      </c>
      <c r="B50" s="3235" t="s">
        <v>2926</v>
      </c>
      <c r="C50" s="3234">
        <v>21200</v>
      </c>
      <c r="D50" s="3234">
        <v>26540</v>
      </c>
      <c r="E50" s="3234">
        <v>23200</v>
      </c>
      <c r="F50" s="3234"/>
      <c r="G50" s="3247">
        <v>18580</v>
      </c>
      <c r="N50" s="3234" t="s">
        <v>3050</v>
      </c>
      <c r="Q50" s="3235" t="s">
        <v>3051</v>
      </c>
    </row>
    <row r="51" spans="1:17" ht="14.25" customHeight="1" thickBot="1">
      <c r="A51" s="3234" t="s">
        <v>296</v>
      </c>
      <c r="B51" s="3235" t="s">
        <v>2928</v>
      </c>
      <c r="C51" s="3234">
        <v>23000</v>
      </c>
      <c r="D51" s="3234">
        <v>23460</v>
      </c>
      <c r="E51" s="3234">
        <v>25290</v>
      </c>
      <c r="F51" s="3234"/>
      <c r="G51" s="3247">
        <v>16420</v>
      </c>
      <c r="N51" s="3234" t="s">
        <v>3052</v>
      </c>
      <c r="Q51" s="3241" t="s">
        <v>3053</v>
      </c>
    </row>
    <row r="52" spans="1:17" ht="14.25" customHeight="1">
      <c r="A52" s="3234" t="s">
        <v>296</v>
      </c>
      <c r="B52" s="3235" t="s">
        <v>2932</v>
      </c>
      <c r="C52" s="3234">
        <v>26660</v>
      </c>
      <c r="D52" s="3234">
        <v>22350</v>
      </c>
      <c r="E52" s="3234">
        <v>22920</v>
      </c>
      <c r="F52" s="3234"/>
      <c r="G52" s="3247">
        <v>15640</v>
      </c>
      <c r="N52" s="3234" t="s">
        <v>3054</v>
      </c>
    </row>
    <row r="53" spans="1:17" ht="14.25" customHeight="1">
      <c r="A53" s="3234" t="s">
        <v>296</v>
      </c>
      <c r="B53" s="3235" t="s">
        <v>2937</v>
      </c>
      <c r="C53" s="3234">
        <v>23580</v>
      </c>
      <c r="D53" s="3234"/>
      <c r="E53" s="3234">
        <v>24280</v>
      </c>
      <c r="F53" s="3234"/>
      <c r="G53" s="3247"/>
      <c r="N53" s="3234" t="s">
        <v>3055</v>
      </c>
    </row>
    <row r="54" spans="1:17" ht="14.25" customHeight="1" thickBot="1">
      <c r="A54" s="3248" t="s">
        <v>296</v>
      </c>
      <c r="B54" s="3240" t="s">
        <v>2940</v>
      </c>
      <c r="C54" s="3241">
        <v>22460</v>
      </c>
      <c r="D54" s="3241"/>
      <c r="E54" s="3241"/>
      <c r="F54" s="3241"/>
      <c r="G54" s="3249"/>
      <c r="N54" s="3234" t="s">
        <v>3056</v>
      </c>
    </row>
    <row r="55" spans="1:17" ht="14.25" customHeight="1">
      <c r="A55" s="3239" t="s">
        <v>110</v>
      </c>
      <c r="B55" s="3230" t="s">
        <v>3057</v>
      </c>
      <c r="C55" s="3234">
        <v>21970</v>
      </c>
      <c r="D55" s="3234">
        <v>20370</v>
      </c>
      <c r="E55" s="3234">
        <v>20180</v>
      </c>
      <c r="F55" s="3234">
        <v>5730</v>
      </c>
      <c r="G55" s="3234">
        <v>13820</v>
      </c>
      <c r="N55" s="3234" t="s">
        <v>3058</v>
      </c>
    </row>
    <row r="56" spans="1:17" ht="14.25" customHeight="1">
      <c r="A56" s="3234" t="s">
        <v>110</v>
      </c>
      <c r="B56" s="3234" t="s">
        <v>130</v>
      </c>
      <c r="C56" s="3234">
        <v>20470</v>
      </c>
      <c r="D56" s="3234">
        <v>20700</v>
      </c>
      <c r="E56" s="3234">
        <v>20380</v>
      </c>
      <c r="F56" s="3234">
        <v>4760</v>
      </c>
      <c r="G56" s="3234">
        <v>14050</v>
      </c>
      <c r="N56" s="3234" t="s">
        <v>3059</v>
      </c>
    </row>
    <row r="57" spans="1:17" ht="14.25" customHeight="1">
      <c r="A57" s="3234" t="s">
        <v>110</v>
      </c>
      <c r="B57" s="3234" t="s">
        <v>139</v>
      </c>
      <c r="C57" s="3234">
        <v>20790</v>
      </c>
      <c r="D57" s="3234">
        <v>21370</v>
      </c>
      <c r="E57" s="3234">
        <v>20890</v>
      </c>
      <c r="F57" s="3234">
        <v>4910</v>
      </c>
      <c r="G57" s="3234">
        <v>14510</v>
      </c>
      <c r="N57" s="3234" t="s">
        <v>3060</v>
      </c>
    </row>
    <row r="58" spans="1:17" ht="14.25" customHeight="1">
      <c r="A58" s="3234" t="s">
        <v>110</v>
      </c>
      <c r="B58" s="3234" t="s">
        <v>148</v>
      </c>
      <c r="C58" s="3234">
        <v>21460</v>
      </c>
      <c r="D58" s="3234">
        <v>20920</v>
      </c>
      <c r="E58" s="3234">
        <v>23410</v>
      </c>
      <c r="F58" s="3234">
        <v>5100</v>
      </c>
      <c r="G58" s="3234">
        <v>14200</v>
      </c>
      <c r="N58" s="3234" t="s">
        <v>3061</v>
      </c>
    </row>
    <row r="59" spans="1:17" ht="14.25" customHeight="1">
      <c r="A59" s="3234" t="s">
        <v>110</v>
      </c>
      <c r="B59" s="3234" t="s">
        <v>157</v>
      </c>
      <c r="C59" s="3234">
        <v>21000</v>
      </c>
      <c r="D59" s="3234">
        <v>21550</v>
      </c>
      <c r="E59" s="3234">
        <v>21150</v>
      </c>
      <c r="F59" s="3234">
        <v>5250</v>
      </c>
      <c r="G59" s="3234">
        <v>14630</v>
      </c>
      <c r="N59" s="3234" t="s">
        <v>3062</v>
      </c>
    </row>
    <row r="60" spans="1:17" ht="14.25" customHeight="1">
      <c r="A60" s="3234" t="s">
        <v>110</v>
      </c>
      <c r="B60" s="3234" t="s">
        <v>164</v>
      </c>
      <c r="C60" s="3234">
        <v>21640</v>
      </c>
      <c r="D60" s="3234">
        <v>21260</v>
      </c>
      <c r="E60" s="3234">
        <v>24040</v>
      </c>
      <c r="F60" s="3234">
        <v>4470</v>
      </c>
      <c r="G60" s="3234">
        <v>14430</v>
      </c>
      <c r="N60" s="3234" t="s">
        <v>3063</v>
      </c>
    </row>
    <row r="61" spans="1:17" ht="14.25" customHeight="1">
      <c r="A61" s="3234" t="s">
        <v>110</v>
      </c>
      <c r="B61" s="3234" t="s">
        <v>170</v>
      </c>
      <c r="C61" s="3234">
        <v>21330</v>
      </c>
      <c r="D61" s="3234">
        <v>18640</v>
      </c>
      <c r="E61" s="3234">
        <v>21190</v>
      </c>
      <c r="F61" s="3234">
        <v>4180</v>
      </c>
      <c r="G61" s="3234">
        <v>12650</v>
      </c>
      <c r="N61" s="3234" t="s">
        <v>3064</v>
      </c>
    </row>
    <row r="62" spans="1:17" ht="14.25" customHeight="1">
      <c r="A62" s="3234" t="s">
        <v>110</v>
      </c>
      <c r="B62" s="3234" t="s">
        <v>177</v>
      </c>
      <c r="C62" s="3234">
        <v>18710</v>
      </c>
      <c r="D62" s="3234">
        <v>19400</v>
      </c>
      <c r="E62" s="3234">
        <v>23750</v>
      </c>
      <c r="F62" s="3234">
        <v>4860</v>
      </c>
      <c r="G62" s="3234">
        <v>13170</v>
      </c>
      <c r="N62" s="3234" t="s">
        <v>3065</v>
      </c>
    </row>
    <row r="63" spans="1:17" ht="14.25" customHeight="1">
      <c r="A63" s="3234" t="s">
        <v>110</v>
      </c>
      <c r="B63" s="3234" t="s">
        <v>187</v>
      </c>
      <c r="C63" s="3234">
        <v>19480</v>
      </c>
      <c r="D63" s="3234">
        <v>16830</v>
      </c>
      <c r="E63" s="3234">
        <v>21590</v>
      </c>
      <c r="F63" s="3234">
        <v>4560</v>
      </c>
      <c r="G63" s="3234">
        <v>11420</v>
      </c>
      <c r="N63" s="3234" t="s">
        <v>3066</v>
      </c>
    </row>
    <row r="64" spans="1:17" ht="14.25" customHeight="1" thickBot="1">
      <c r="A64" s="3234" t="s">
        <v>110</v>
      </c>
      <c r="B64" s="3234" t="s">
        <v>196</v>
      </c>
      <c r="C64" s="3234">
        <v>16920</v>
      </c>
      <c r="D64" s="3234">
        <v>19190</v>
      </c>
      <c r="E64" s="3234">
        <v>22200</v>
      </c>
      <c r="F64" s="3234">
        <v>4390</v>
      </c>
      <c r="G64" s="3234">
        <v>13030</v>
      </c>
      <c r="N64" s="3241" t="s">
        <v>3067</v>
      </c>
    </row>
    <row r="65" spans="1:7" s="3223" customFormat="1" ht="14.25" customHeight="1">
      <c r="A65" s="3234" t="s">
        <v>110</v>
      </c>
      <c r="B65" s="3234" t="s">
        <v>203</v>
      </c>
      <c r="C65" s="3234">
        <v>19290</v>
      </c>
      <c r="D65" s="3234">
        <v>17020</v>
      </c>
      <c r="E65" s="3234">
        <v>19880</v>
      </c>
      <c r="F65" s="3234">
        <v>4070</v>
      </c>
      <c r="G65" s="3234">
        <v>11550</v>
      </c>
    </row>
    <row r="66" spans="1:7" s="3223" customFormat="1" ht="14.25" customHeight="1">
      <c r="A66" s="3234" t="s">
        <v>110</v>
      </c>
      <c r="B66" s="3234" t="s">
        <v>210</v>
      </c>
      <c r="C66" s="3234">
        <v>17090</v>
      </c>
      <c r="D66" s="3234">
        <v>18340</v>
      </c>
      <c r="E66" s="3234">
        <v>21830</v>
      </c>
      <c r="F66" s="3234">
        <v>4690</v>
      </c>
      <c r="G66" s="3234">
        <v>12450</v>
      </c>
    </row>
    <row r="67" spans="1:7" s="3223" customFormat="1" ht="14.25" customHeight="1">
      <c r="A67" s="3234" t="s">
        <v>110</v>
      </c>
      <c r="B67" s="3234" t="s">
        <v>216</v>
      </c>
      <c r="C67" s="3234">
        <v>18420</v>
      </c>
      <c r="D67" s="3234">
        <v>16360</v>
      </c>
      <c r="E67" s="3234">
        <v>20020</v>
      </c>
      <c r="F67" s="3234">
        <v>5150</v>
      </c>
      <c r="G67" s="3234">
        <v>11110</v>
      </c>
    </row>
    <row r="68" spans="1:7" s="3223" customFormat="1" ht="14.25" customHeight="1">
      <c r="A68" s="3234" t="s">
        <v>110</v>
      </c>
      <c r="B68" s="3234" t="s">
        <v>224</v>
      </c>
      <c r="C68" s="3234">
        <v>16450</v>
      </c>
      <c r="D68" s="3234">
        <v>18430</v>
      </c>
      <c r="E68" s="3234">
        <v>21010</v>
      </c>
      <c r="F68" s="3234">
        <v>4720</v>
      </c>
      <c r="G68" s="3234">
        <v>12510</v>
      </c>
    </row>
    <row r="69" spans="1:7" s="3223" customFormat="1" ht="14.25" customHeight="1">
      <c r="A69" s="3234" t="s">
        <v>110</v>
      </c>
      <c r="B69" s="3234" t="s">
        <v>232</v>
      </c>
      <c r="C69" s="3234">
        <v>18510</v>
      </c>
      <c r="D69" s="3234">
        <v>16300</v>
      </c>
      <c r="E69" s="3234">
        <v>18830</v>
      </c>
      <c r="F69" s="3234">
        <v>5400</v>
      </c>
      <c r="G69" s="3234">
        <v>11070</v>
      </c>
    </row>
    <row r="70" spans="1:7" s="3223" customFormat="1" ht="14.25" customHeight="1">
      <c r="A70" s="3234" t="s">
        <v>110</v>
      </c>
      <c r="B70" s="3234" t="s">
        <v>237</v>
      </c>
      <c r="C70" s="3234">
        <v>16370</v>
      </c>
      <c r="D70" s="3234">
        <v>18620</v>
      </c>
      <c r="E70" s="3234">
        <v>21100</v>
      </c>
      <c r="F70" s="3234">
        <v>5700</v>
      </c>
      <c r="G70" s="3234">
        <v>12640</v>
      </c>
    </row>
    <row r="71" spans="1:7" s="3223" customFormat="1" ht="14.25" customHeight="1">
      <c r="A71" s="3234" t="s">
        <v>110</v>
      </c>
      <c r="B71" s="3234" t="s">
        <v>246</v>
      </c>
      <c r="C71" s="3234">
        <v>18700</v>
      </c>
      <c r="D71" s="3234">
        <v>16290</v>
      </c>
      <c r="E71" s="3234">
        <v>18760</v>
      </c>
      <c r="F71" s="3234">
        <v>4780</v>
      </c>
      <c r="G71" s="3234">
        <v>11050</v>
      </c>
    </row>
    <row r="72" spans="1:7" s="3223" customFormat="1" ht="14.25" customHeight="1">
      <c r="A72" s="3234" t="s">
        <v>110</v>
      </c>
      <c r="B72" s="3234" t="s">
        <v>253</v>
      </c>
      <c r="C72" s="3234">
        <v>16340</v>
      </c>
      <c r="D72" s="3234">
        <v>17520</v>
      </c>
      <c r="E72" s="3234">
        <v>21170</v>
      </c>
      <c r="F72" s="3234"/>
      <c r="G72" s="3234">
        <v>11900</v>
      </c>
    </row>
    <row r="73" spans="1:7" s="3223" customFormat="1" ht="14.25" customHeight="1">
      <c r="A73" s="3234" t="s">
        <v>110</v>
      </c>
      <c r="B73" s="3234" t="s">
        <v>261</v>
      </c>
      <c r="C73" s="3234">
        <v>17610</v>
      </c>
      <c r="D73" s="3234">
        <v>18520</v>
      </c>
      <c r="E73" s="3234">
        <v>18720</v>
      </c>
      <c r="F73" s="3234"/>
      <c r="G73" s="3234">
        <v>12570</v>
      </c>
    </row>
    <row r="74" spans="1:7" s="3223" customFormat="1" ht="14.25" customHeight="1">
      <c r="A74" s="3234" t="s">
        <v>110</v>
      </c>
      <c r="B74" s="3234" t="s">
        <v>268</v>
      </c>
      <c r="C74" s="3234">
        <v>18600</v>
      </c>
      <c r="D74" s="3234">
        <v>16480</v>
      </c>
      <c r="E74" s="3234">
        <v>20100</v>
      </c>
      <c r="F74" s="3234"/>
      <c r="G74" s="3234">
        <v>11190</v>
      </c>
    </row>
    <row r="75" spans="1:7" s="3223" customFormat="1" ht="14.25" customHeight="1">
      <c r="A75" s="3234" t="s">
        <v>110</v>
      </c>
      <c r="B75" s="3234" t="s">
        <v>272</v>
      </c>
      <c r="C75" s="3234">
        <v>16570</v>
      </c>
      <c r="D75" s="3234">
        <v>17530</v>
      </c>
      <c r="E75" s="3234">
        <v>21030</v>
      </c>
      <c r="F75" s="3234"/>
      <c r="G75" s="3234">
        <v>11900</v>
      </c>
    </row>
    <row r="76" spans="1:7" s="3223" customFormat="1" ht="14.25" customHeight="1">
      <c r="A76" s="3234" t="s">
        <v>110</v>
      </c>
      <c r="B76" s="3234" t="s">
        <v>278</v>
      </c>
      <c r="C76" s="3234">
        <v>17610</v>
      </c>
      <c r="D76" s="3234">
        <v>20800</v>
      </c>
      <c r="E76" s="3234">
        <v>18920</v>
      </c>
      <c r="F76" s="3234"/>
      <c r="G76" s="3234">
        <v>14120</v>
      </c>
    </row>
    <row r="77" spans="1:7" s="3223" customFormat="1" ht="14.25" customHeight="1">
      <c r="A77" s="3234" t="s">
        <v>110</v>
      </c>
      <c r="B77" s="3234" t="s">
        <v>281</v>
      </c>
      <c r="C77" s="3234">
        <v>20890</v>
      </c>
      <c r="D77" s="3234">
        <v>19740</v>
      </c>
      <c r="E77" s="3234">
        <v>20110</v>
      </c>
      <c r="F77" s="3234"/>
      <c r="G77" s="3234">
        <v>13400</v>
      </c>
    </row>
    <row r="78" spans="1:7" s="3223" customFormat="1" ht="14.25" customHeight="1">
      <c r="A78" s="3234" t="s">
        <v>110</v>
      </c>
      <c r="B78" s="3234" t="s">
        <v>2938</v>
      </c>
      <c r="C78" s="3234">
        <v>19820</v>
      </c>
      <c r="D78" s="3234">
        <v>19780</v>
      </c>
      <c r="E78" s="3234">
        <v>18560</v>
      </c>
      <c r="F78" s="3234"/>
      <c r="G78" s="3234">
        <v>13430</v>
      </c>
    </row>
    <row r="79" spans="1:7" s="3223" customFormat="1" ht="14.25" customHeight="1">
      <c r="A79" s="3234" t="s">
        <v>110</v>
      </c>
      <c r="B79" s="3234" t="s">
        <v>2941</v>
      </c>
      <c r="C79" s="3234">
        <v>21660</v>
      </c>
      <c r="D79" s="3234">
        <v>18000</v>
      </c>
      <c r="E79" s="3234">
        <v>22570</v>
      </c>
      <c r="F79" s="3234"/>
      <c r="G79" s="3234">
        <v>12220</v>
      </c>
    </row>
    <row r="80" spans="1:7" s="3223" customFormat="1" ht="14.25" customHeight="1">
      <c r="A80" s="3234" t="s">
        <v>110</v>
      </c>
      <c r="B80" s="3234" t="s">
        <v>2945</v>
      </c>
      <c r="C80" s="3234">
        <v>19850</v>
      </c>
      <c r="D80" s="3234"/>
      <c r="E80" s="3234">
        <v>21700</v>
      </c>
      <c r="F80" s="3234"/>
      <c r="G80" s="3234"/>
    </row>
    <row r="81" spans="1:7" s="3223" customFormat="1" ht="14.25" customHeight="1">
      <c r="A81" s="3234" t="s">
        <v>110</v>
      </c>
      <c r="B81" s="3234" t="s">
        <v>2950</v>
      </c>
      <c r="C81" s="3234">
        <v>18080</v>
      </c>
      <c r="D81" s="3234"/>
      <c r="E81" s="3234">
        <v>20900</v>
      </c>
      <c r="F81" s="3234"/>
      <c r="G81" s="3234"/>
    </row>
    <row r="82" spans="1:7" s="3223" customFormat="1" ht="14.25" customHeight="1">
      <c r="A82" s="3234" t="s">
        <v>110</v>
      </c>
      <c r="B82" s="3234" t="s">
        <v>2957</v>
      </c>
      <c r="C82" s="3234"/>
      <c r="D82" s="3234"/>
      <c r="E82" s="3234">
        <v>20840</v>
      </c>
      <c r="F82" s="3234"/>
      <c r="G82" s="3234"/>
    </row>
    <row r="83" spans="1:7" s="3223" customFormat="1" ht="14.25" customHeight="1">
      <c r="A83" s="3234" t="s">
        <v>110</v>
      </c>
      <c r="B83" s="3234" t="s">
        <v>3068</v>
      </c>
      <c r="C83" s="3234"/>
      <c r="D83" s="3234"/>
      <c r="E83" s="3234"/>
      <c r="F83" s="3234">
        <v>4770</v>
      </c>
      <c r="G83" s="3234"/>
    </row>
    <row r="84" spans="1:7" s="3223" customFormat="1" ht="14.25" customHeight="1">
      <c r="A84" s="3234" t="s">
        <v>110</v>
      </c>
      <c r="B84" s="3234" t="s">
        <v>3069</v>
      </c>
      <c r="C84" s="3234"/>
      <c r="D84" s="3234"/>
      <c r="E84" s="3234"/>
      <c r="F84" s="3234">
        <v>4600</v>
      </c>
      <c r="G84" s="3234"/>
    </row>
    <row r="85" spans="1:7" s="3223" customFormat="1" ht="14.25" customHeight="1">
      <c r="A85" s="3234" t="s">
        <v>110</v>
      </c>
      <c r="B85" s="3234" t="s">
        <v>3070</v>
      </c>
      <c r="C85" s="3234"/>
      <c r="D85" s="3234"/>
      <c r="E85" s="3234"/>
      <c r="F85" s="3234">
        <v>4680</v>
      </c>
      <c r="G85" s="3234"/>
    </row>
    <row r="86" spans="1:7" s="3223" customFormat="1" ht="14.25" customHeight="1" thickBot="1">
      <c r="A86" s="3242" t="s">
        <v>110</v>
      </c>
      <c r="B86" s="3244" t="s">
        <v>3071</v>
      </c>
      <c r="C86" s="3245">
        <v>16610</v>
      </c>
      <c r="D86" s="3245">
        <v>16540</v>
      </c>
      <c r="E86" s="3245">
        <v>18850</v>
      </c>
      <c r="F86" s="3245"/>
      <c r="G86" s="3245">
        <v>11220</v>
      </c>
    </row>
    <row r="87" spans="1:7" s="3223" customFormat="1" ht="14.25" customHeight="1">
      <c r="A87" s="3239" t="s">
        <v>303</v>
      </c>
      <c r="B87" s="3230" t="s">
        <v>3072</v>
      </c>
      <c r="C87" s="3230">
        <v>15240</v>
      </c>
      <c r="D87" s="3230">
        <v>15170</v>
      </c>
      <c r="E87" s="3230">
        <v>18260</v>
      </c>
      <c r="F87" s="3230">
        <v>3830</v>
      </c>
      <c r="G87" s="3246">
        <v>10020</v>
      </c>
    </row>
    <row r="88" spans="1:7" s="3223" customFormat="1" ht="14.25" customHeight="1">
      <c r="A88" s="3234" t="s">
        <v>303</v>
      </c>
      <c r="B88" s="3234" t="s">
        <v>131</v>
      </c>
      <c r="C88" s="3234">
        <v>17310</v>
      </c>
      <c r="D88" s="3234">
        <v>17220</v>
      </c>
      <c r="E88" s="3234">
        <v>18610</v>
      </c>
      <c r="F88" s="3234">
        <v>3990</v>
      </c>
      <c r="G88" s="3247">
        <v>11380</v>
      </c>
    </row>
    <row r="89" spans="1:7" s="3223" customFormat="1" ht="14.25" customHeight="1">
      <c r="A89" s="3234" t="s">
        <v>303</v>
      </c>
      <c r="B89" s="3234" t="s">
        <v>140</v>
      </c>
      <c r="C89" s="3234">
        <v>15600</v>
      </c>
      <c r="D89" s="3234">
        <v>15550</v>
      </c>
      <c r="E89" s="3234">
        <v>19200</v>
      </c>
      <c r="F89" s="3234">
        <v>4110</v>
      </c>
      <c r="G89" s="3247">
        <v>10270</v>
      </c>
    </row>
    <row r="90" spans="1:7" s="3223" customFormat="1" ht="14.25" customHeight="1">
      <c r="A90" s="3234" t="s">
        <v>303</v>
      </c>
      <c r="B90" s="3234" t="s">
        <v>149</v>
      </c>
      <c r="C90" s="3234">
        <v>17330</v>
      </c>
      <c r="D90" s="3234">
        <v>17240</v>
      </c>
      <c r="E90" s="3234">
        <v>18570</v>
      </c>
      <c r="F90" s="3234">
        <v>4070</v>
      </c>
      <c r="G90" s="3247">
        <v>11390</v>
      </c>
    </row>
    <row r="91" spans="1:7" s="3223" customFormat="1" ht="14.25" customHeight="1">
      <c r="A91" s="3234" t="s">
        <v>303</v>
      </c>
      <c r="B91" s="3234" t="s">
        <v>158</v>
      </c>
      <c r="C91" s="3234">
        <v>16330</v>
      </c>
      <c r="D91" s="3234">
        <v>16260</v>
      </c>
      <c r="E91" s="3234">
        <v>16800</v>
      </c>
      <c r="F91" s="3234">
        <v>3410</v>
      </c>
      <c r="G91" s="3247">
        <v>10740</v>
      </c>
    </row>
    <row r="92" spans="1:7" s="3223" customFormat="1" ht="14.25" customHeight="1">
      <c r="A92" s="3234" t="s">
        <v>303</v>
      </c>
      <c r="B92" s="3234" t="s">
        <v>165</v>
      </c>
      <c r="C92" s="3234">
        <v>15570</v>
      </c>
      <c r="D92" s="3234">
        <v>15500</v>
      </c>
      <c r="E92" s="3234">
        <v>17360</v>
      </c>
      <c r="F92" s="3234">
        <v>3510</v>
      </c>
      <c r="G92" s="3247">
        <v>10240</v>
      </c>
    </row>
    <row r="93" spans="1:7" s="3223" customFormat="1" ht="14.25" customHeight="1">
      <c r="A93" s="3234" t="s">
        <v>303</v>
      </c>
      <c r="B93" s="3234" t="s">
        <v>171</v>
      </c>
      <c r="C93" s="3234">
        <v>14000</v>
      </c>
      <c r="D93" s="3234">
        <v>13930</v>
      </c>
      <c r="E93" s="3234">
        <v>18200</v>
      </c>
      <c r="F93" s="3234">
        <v>3640</v>
      </c>
      <c r="G93" s="3247">
        <v>9210</v>
      </c>
    </row>
    <row r="94" spans="1:7" s="3223" customFormat="1" ht="14.25" customHeight="1">
      <c r="A94" s="3234" t="s">
        <v>303</v>
      </c>
      <c r="B94" s="3234" t="s">
        <v>178</v>
      </c>
      <c r="C94" s="3234">
        <v>14530</v>
      </c>
      <c r="D94" s="3234">
        <v>14470</v>
      </c>
      <c r="E94" s="3234">
        <v>18240</v>
      </c>
      <c r="F94" s="3234">
        <v>3180</v>
      </c>
      <c r="G94" s="3247">
        <v>9560</v>
      </c>
    </row>
    <row r="95" spans="1:7" s="3223" customFormat="1" ht="14.25" customHeight="1">
      <c r="A95" s="3234" t="s">
        <v>303</v>
      </c>
      <c r="B95" s="3234" t="s">
        <v>188</v>
      </c>
      <c r="C95" s="3234">
        <v>17330</v>
      </c>
      <c r="D95" s="3234">
        <v>17260</v>
      </c>
      <c r="E95" s="3234">
        <v>18420</v>
      </c>
      <c r="F95" s="3234">
        <v>3060</v>
      </c>
      <c r="G95" s="3247">
        <v>11410</v>
      </c>
    </row>
    <row r="96" spans="1:7" s="3223" customFormat="1" ht="14.25" customHeight="1">
      <c r="A96" s="3234" t="s">
        <v>303</v>
      </c>
      <c r="B96" s="3234" t="s">
        <v>197</v>
      </c>
      <c r="C96" s="3234">
        <v>15030</v>
      </c>
      <c r="D96" s="3234">
        <v>14970</v>
      </c>
      <c r="E96" s="3234">
        <v>17580</v>
      </c>
      <c r="F96" s="3234">
        <v>2970</v>
      </c>
      <c r="G96" s="3247">
        <v>9890</v>
      </c>
    </row>
    <row r="97" spans="1:7" s="3223" customFormat="1" ht="14.25" customHeight="1">
      <c r="A97" s="3234" t="s">
        <v>303</v>
      </c>
      <c r="B97" s="3234" t="s">
        <v>204</v>
      </c>
      <c r="C97" s="3234">
        <v>17400</v>
      </c>
      <c r="D97" s="3234">
        <v>17330</v>
      </c>
      <c r="E97" s="3234">
        <v>16430</v>
      </c>
      <c r="F97" s="3234">
        <v>2950</v>
      </c>
      <c r="G97" s="3247">
        <v>11450</v>
      </c>
    </row>
    <row r="98" spans="1:7" s="3223" customFormat="1" ht="14.25" customHeight="1">
      <c r="A98" s="3234" t="s">
        <v>303</v>
      </c>
      <c r="B98" s="3234" t="s">
        <v>211</v>
      </c>
      <c r="C98" s="3234">
        <v>15200</v>
      </c>
      <c r="D98" s="3234">
        <v>15120</v>
      </c>
      <c r="E98" s="3234">
        <v>17550</v>
      </c>
      <c r="F98" s="3234">
        <v>3080</v>
      </c>
      <c r="G98" s="3247">
        <v>9990</v>
      </c>
    </row>
    <row r="99" spans="1:7" s="3223" customFormat="1" ht="14.25" customHeight="1">
      <c r="A99" s="3234" t="s">
        <v>303</v>
      </c>
      <c r="B99" s="3234" t="s">
        <v>217</v>
      </c>
      <c r="C99" s="3234">
        <v>17520</v>
      </c>
      <c r="D99" s="3234">
        <v>17430</v>
      </c>
      <c r="E99" s="3234">
        <v>16350</v>
      </c>
      <c r="F99" s="3234">
        <v>3260</v>
      </c>
      <c r="G99" s="3247">
        <v>11510</v>
      </c>
    </row>
    <row r="100" spans="1:7" s="3223" customFormat="1" ht="14.25" customHeight="1">
      <c r="A100" s="3234" t="s">
        <v>303</v>
      </c>
      <c r="B100" s="3234" t="s">
        <v>225</v>
      </c>
      <c r="C100" s="3234">
        <v>15340</v>
      </c>
      <c r="D100" s="3234">
        <v>15260</v>
      </c>
      <c r="E100" s="3234">
        <v>15930</v>
      </c>
      <c r="F100" s="3234">
        <v>2740</v>
      </c>
      <c r="G100" s="3247">
        <v>10080</v>
      </c>
    </row>
    <row r="101" spans="1:7" s="3223" customFormat="1" ht="14.25" customHeight="1">
      <c r="A101" s="3234" t="s">
        <v>303</v>
      </c>
      <c r="B101" s="3234" t="s">
        <v>233</v>
      </c>
      <c r="C101" s="3234">
        <v>14620</v>
      </c>
      <c r="D101" s="3234">
        <v>14560</v>
      </c>
      <c r="E101" s="3234">
        <v>15570</v>
      </c>
      <c r="F101" s="3234">
        <v>3500</v>
      </c>
      <c r="G101" s="3247">
        <v>9630</v>
      </c>
    </row>
    <row r="102" spans="1:7" s="3223" customFormat="1" ht="14.25" customHeight="1">
      <c r="A102" s="3234" t="s">
        <v>303</v>
      </c>
      <c r="B102" s="3234" t="s">
        <v>238</v>
      </c>
      <c r="C102" s="3234">
        <v>13680</v>
      </c>
      <c r="D102" s="3234">
        <v>13610</v>
      </c>
      <c r="E102" s="3234">
        <v>15690</v>
      </c>
      <c r="F102" s="3234">
        <v>2870</v>
      </c>
      <c r="G102" s="3247">
        <v>8990</v>
      </c>
    </row>
    <row r="103" spans="1:7" s="3223" customFormat="1" ht="14.25" customHeight="1">
      <c r="A103" s="3234" t="s">
        <v>303</v>
      </c>
      <c r="B103" s="3234" t="s">
        <v>247</v>
      </c>
      <c r="C103" s="3234">
        <v>14620</v>
      </c>
      <c r="D103" s="3234">
        <v>14540</v>
      </c>
      <c r="E103" s="3234">
        <v>15240</v>
      </c>
      <c r="F103" s="3234">
        <v>2840</v>
      </c>
      <c r="G103" s="3247">
        <v>9610</v>
      </c>
    </row>
    <row r="104" spans="1:7" s="3223" customFormat="1" ht="14.25" customHeight="1">
      <c r="A104" s="3234" t="s">
        <v>303</v>
      </c>
      <c r="B104" s="3234" t="s">
        <v>254</v>
      </c>
      <c r="C104" s="3234">
        <v>13610</v>
      </c>
      <c r="D104" s="3234">
        <v>13540</v>
      </c>
      <c r="E104" s="3234">
        <v>15750</v>
      </c>
      <c r="F104" s="3234">
        <v>2770</v>
      </c>
      <c r="G104" s="3247">
        <v>8940</v>
      </c>
    </row>
    <row r="105" spans="1:7" s="3223" customFormat="1" ht="14.25" customHeight="1">
      <c r="A105" s="3234" t="s">
        <v>303</v>
      </c>
      <c r="B105" s="3234" t="s">
        <v>262</v>
      </c>
      <c r="C105" s="3234">
        <v>13310</v>
      </c>
      <c r="D105" s="3234">
        <v>13240</v>
      </c>
      <c r="E105" s="3234">
        <v>16280</v>
      </c>
      <c r="F105" s="3234">
        <v>3210</v>
      </c>
      <c r="G105" s="3247">
        <v>8750</v>
      </c>
    </row>
    <row r="106" spans="1:7" s="3223" customFormat="1" ht="14.25" customHeight="1">
      <c r="A106" s="3234" t="s">
        <v>303</v>
      </c>
      <c r="B106" s="3234" t="s">
        <v>269</v>
      </c>
      <c r="C106" s="3234">
        <v>13010</v>
      </c>
      <c r="D106" s="3234">
        <v>12930</v>
      </c>
      <c r="E106" s="3234">
        <v>14960</v>
      </c>
      <c r="F106" s="3234">
        <v>3530</v>
      </c>
      <c r="G106" s="3247">
        <v>8550</v>
      </c>
    </row>
    <row r="107" spans="1:7" s="3223" customFormat="1" ht="14.25" customHeight="1">
      <c r="A107" s="3234" t="s">
        <v>303</v>
      </c>
      <c r="B107" s="3234" t="s">
        <v>273</v>
      </c>
      <c r="C107" s="3234">
        <v>13070</v>
      </c>
      <c r="D107" s="3234">
        <v>13000</v>
      </c>
      <c r="E107" s="3234">
        <v>15910</v>
      </c>
      <c r="F107" s="3234">
        <v>3990</v>
      </c>
      <c r="G107" s="3247">
        <v>8580</v>
      </c>
    </row>
    <row r="108" spans="1:7" s="3223" customFormat="1" ht="14.25" customHeight="1">
      <c r="A108" s="3234" t="s">
        <v>303</v>
      </c>
      <c r="B108" s="3234" t="s">
        <v>279</v>
      </c>
      <c r="C108" s="3234">
        <v>12640</v>
      </c>
      <c r="D108" s="3234">
        <v>12580</v>
      </c>
      <c r="E108" s="3234">
        <v>15730</v>
      </c>
      <c r="F108" s="3234"/>
      <c r="G108" s="3247">
        <v>8310</v>
      </c>
    </row>
    <row r="109" spans="1:7" s="3223" customFormat="1" ht="14.25" customHeight="1">
      <c r="A109" s="3234" t="s">
        <v>303</v>
      </c>
      <c r="B109" s="3234" t="s">
        <v>282</v>
      </c>
      <c r="C109" s="3234">
        <v>13130</v>
      </c>
      <c r="D109" s="3234">
        <v>13070</v>
      </c>
      <c r="E109" s="3234">
        <v>15000</v>
      </c>
      <c r="F109" s="3234"/>
      <c r="G109" s="3247">
        <v>8630</v>
      </c>
    </row>
    <row r="110" spans="1:7" s="3223" customFormat="1" ht="14.25" customHeight="1">
      <c r="A110" s="3234" t="s">
        <v>303</v>
      </c>
      <c r="B110" s="3234" t="s">
        <v>284</v>
      </c>
      <c r="C110" s="3234">
        <v>13560</v>
      </c>
      <c r="D110" s="3234">
        <v>13490</v>
      </c>
      <c r="E110" s="3234">
        <v>16300</v>
      </c>
      <c r="F110" s="3234"/>
      <c r="G110" s="3247">
        <v>8920</v>
      </c>
    </row>
    <row r="111" spans="1:7" s="3223" customFormat="1" ht="14.25" customHeight="1">
      <c r="A111" s="3234" t="s">
        <v>303</v>
      </c>
      <c r="B111" s="3234" t="s">
        <v>287</v>
      </c>
      <c r="C111" s="3234">
        <v>12440</v>
      </c>
      <c r="D111" s="3234">
        <v>12380</v>
      </c>
      <c r="E111" s="3234">
        <v>17850</v>
      </c>
      <c r="F111" s="3234"/>
      <c r="G111" s="3247">
        <v>8180</v>
      </c>
    </row>
    <row r="112" spans="1:7" s="3223" customFormat="1" ht="14.25" customHeight="1">
      <c r="A112" s="3234" t="s">
        <v>303</v>
      </c>
      <c r="B112" s="3234" t="s">
        <v>291</v>
      </c>
      <c r="C112" s="3234">
        <v>13260</v>
      </c>
      <c r="D112" s="3234">
        <v>13180</v>
      </c>
      <c r="E112" s="3234">
        <v>19740</v>
      </c>
      <c r="F112" s="3234"/>
      <c r="G112" s="3247">
        <v>8710</v>
      </c>
    </row>
    <row r="113" spans="1:7" s="3223" customFormat="1" ht="14.25" customHeight="1">
      <c r="A113" s="3234" t="s">
        <v>303</v>
      </c>
      <c r="B113" s="3234" t="s">
        <v>2951</v>
      </c>
      <c r="C113" s="3234">
        <v>15520</v>
      </c>
      <c r="D113" s="3234">
        <v>15450</v>
      </c>
      <c r="E113" s="3234"/>
      <c r="F113" s="3234"/>
      <c r="G113" s="3247">
        <v>10210</v>
      </c>
    </row>
    <row r="114" spans="1:7" s="3223" customFormat="1" ht="14.25" customHeight="1">
      <c r="A114" s="3234" t="s">
        <v>303</v>
      </c>
      <c r="B114" s="3234" t="s">
        <v>2958</v>
      </c>
      <c r="C114" s="3234">
        <v>13110</v>
      </c>
      <c r="D114" s="3234">
        <v>13050</v>
      </c>
      <c r="E114" s="3234"/>
      <c r="F114" s="3234"/>
      <c r="G114" s="3247">
        <v>8620</v>
      </c>
    </row>
    <row r="115" spans="1:7" s="3223" customFormat="1" ht="14.25" customHeight="1">
      <c r="A115" s="3234" t="s">
        <v>303</v>
      </c>
      <c r="B115" s="3234" t="s">
        <v>2964</v>
      </c>
      <c r="C115" s="3234">
        <v>12460</v>
      </c>
      <c r="D115" s="3234">
        <v>12390</v>
      </c>
      <c r="E115" s="3234"/>
      <c r="F115" s="3234"/>
      <c r="G115" s="3247">
        <v>8190</v>
      </c>
    </row>
    <row r="116" spans="1:7" s="3223" customFormat="1" ht="14.25" customHeight="1">
      <c r="A116" s="3234" t="s">
        <v>303</v>
      </c>
      <c r="B116" s="3234" t="s">
        <v>2971</v>
      </c>
      <c r="C116" s="3234">
        <v>13580</v>
      </c>
      <c r="D116" s="3234">
        <v>13520</v>
      </c>
      <c r="E116" s="3234"/>
      <c r="F116" s="3234"/>
      <c r="G116" s="3247">
        <v>8930</v>
      </c>
    </row>
    <row r="117" spans="1:7" s="3223" customFormat="1" ht="14.25" customHeight="1">
      <c r="A117" s="3234" t="s">
        <v>303</v>
      </c>
      <c r="B117" s="3234" t="s">
        <v>2978</v>
      </c>
      <c r="C117" s="3234">
        <v>17120</v>
      </c>
      <c r="D117" s="3234">
        <v>17040</v>
      </c>
      <c r="E117" s="3234"/>
      <c r="F117" s="3234"/>
      <c r="G117" s="3247">
        <v>11260</v>
      </c>
    </row>
    <row r="118" spans="1:7" s="3223" customFormat="1" ht="14.25" customHeight="1">
      <c r="A118" s="3234" t="s">
        <v>303</v>
      </c>
      <c r="B118" s="3234" t="s">
        <v>2983</v>
      </c>
      <c r="C118" s="3234">
        <v>14860</v>
      </c>
      <c r="D118" s="3234">
        <v>14790</v>
      </c>
      <c r="E118" s="3234"/>
      <c r="F118" s="3234"/>
      <c r="G118" s="3247">
        <v>9780</v>
      </c>
    </row>
    <row r="119" spans="1:7" s="3223" customFormat="1" ht="14.25" customHeight="1">
      <c r="A119" s="3234" t="s">
        <v>303</v>
      </c>
      <c r="B119" s="3234" t="s">
        <v>2987</v>
      </c>
      <c r="C119" s="3234">
        <v>16470</v>
      </c>
      <c r="D119" s="3234">
        <v>16400</v>
      </c>
      <c r="E119" s="3234"/>
      <c r="F119" s="3234"/>
      <c r="G119" s="3247">
        <v>10840</v>
      </c>
    </row>
    <row r="120" spans="1:7" s="3223" customFormat="1" ht="14.25" customHeight="1">
      <c r="A120" s="3234" t="s">
        <v>303</v>
      </c>
      <c r="B120" s="3234" t="s">
        <v>3073</v>
      </c>
      <c r="C120" s="3234"/>
      <c r="D120" s="3234"/>
      <c r="E120" s="3234"/>
      <c r="F120" s="3234">
        <v>4160</v>
      </c>
      <c r="G120" s="3247"/>
    </row>
    <row r="121" spans="1:7" s="3223" customFormat="1" ht="14.25" customHeight="1">
      <c r="A121" s="3234" t="s">
        <v>303</v>
      </c>
      <c r="B121" s="3234" t="s">
        <v>3074</v>
      </c>
      <c r="C121" s="3234"/>
      <c r="D121" s="3234"/>
      <c r="E121" s="3234"/>
      <c r="F121" s="3234">
        <v>3880</v>
      </c>
      <c r="G121" s="3247"/>
    </row>
    <row r="122" spans="1:7" s="3223" customFormat="1" ht="14.25" customHeight="1">
      <c r="A122" s="3234" t="s">
        <v>303</v>
      </c>
      <c r="B122" s="3234" t="s">
        <v>3075</v>
      </c>
      <c r="C122" s="3234">
        <v>13750</v>
      </c>
      <c r="D122" s="3234">
        <v>13680</v>
      </c>
      <c r="E122" s="3234">
        <v>16460</v>
      </c>
      <c r="F122" s="3234">
        <v>2880</v>
      </c>
      <c r="G122" s="3247">
        <v>9040</v>
      </c>
    </row>
    <row r="123" spans="1:7" s="3223" customFormat="1" ht="14.25" customHeight="1">
      <c r="A123" s="3234" t="s">
        <v>303</v>
      </c>
      <c r="B123" s="3234" t="s">
        <v>3006</v>
      </c>
      <c r="C123" s="3234">
        <v>13590</v>
      </c>
      <c r="D123" s="3234">
        <v>13520</v>
      </c>
      <c r="E123" s="3234">
        <v>16290</v>
      </c>
      <c r="F123" s="3234">
        <v>2790</v>
      </c>
      <c r="G123" s="3247">
        <v>8930</v>
      </c>
    </row>
    <row r="124" spans="1:7" s="3223" customFormat="1" ht="14.25" customHeight="1">
      <c r="A124" s="3234" t="s">
        <v>303</v>
      </c>
      <c r="B124" s="3234" t="s">
        <v>3011</v>
      </c>
      <c r="C124" s="3234">
        <v>13400</v>
      </c>
      <c r="D124" s="3234">
        <v>13320</v>
      </c>
      <c r="E124" s="3234">
        <v>16100</v>
      </c>
      <c r="F124" s="3234">
        <v>2320</v>
      </c>
      <c r="G124" s="3247">
        <v>8800</v>
      </c>
    </row>
    <row r="125" spans="1:7" s="3223" customFormat="1" ht="14.25" customHeight="1">
      <c r="A125" s="3234" t="s">
        <v>303</v>
      </c>
      <c r="B125" s="3234" t="s">
        <v>3016</v>
      </c>
      <c r="C125" s="3234">
        <v>12860</v>
      </c>
      <c r="D125" s="3234">
        <v>12790</v>
      </c>
      <c r="E125" s="3234">
        <v>15370</v>
      </c>
      <c r="F125" s="3234">
        <v>2280</v>
      </c>
      <c r="G125" s="3247">
        <v>8450</v>
      </c>
    </row>
    <row r="126" spans="1:7" s="3223" customFormat="1" ht="14.25" customHeight="1" thickBot="1">
      <c r="A126" s="3248" t="s">
        <v>303</v>
      </c>
      <c r="B126" s="3241" t="s">
        <v>3021</v>
      </c>
      <c r="C126" s="3241">
        <v>12960</v>
      </c>
      <c r="D126" s="3241">
        <v>12890</v>
      </c>
      <c r="E126" s="3241">
        <v>15530</v>
      </c>
      <c r="F126" s="3241">
        <v>2910</v>
      </c>
      <c r="G126" s="3249">
        <v>8520</v>
      </c>
    </row>
    <row r="127" spans="1:7" s="3223" customFormat="1" ht="14.25" customHeight="1">
      <c r="A127" s="3239" t="s">
        <v>29</v>
      </c>
      <c r="B127" s="3230" t="s">
        <v>3076</v>
      </c>
      <c r="C127" s="3234">
        <v>12280</v>
      </c>
      <c r="D127" s="3234">
        <v>12250</v>
      </c>
      <c r="E127" s="3234">
        <v>15130</v>
      </c>
      <c r="F127" s="3234">
        <v>2710</v>
      </c>
      <c r="G127" s="3234">
        <v>7870</v>
      </c>
    </row>
    <row r="128" spans="1:7" s="3223" customFormat="1" ht="14.25" customHeight="1">
      <c r="A128" s="3234" t="s">
        <v>29</v>
      </c>
      <c r="B128" s="3234" t="s">
        <v>132</v>
      </c>
      <c r="C128" s="3234">
        <v>13180</v>
      </c>
      <c r="D128" s="3234">
        <v>13150</v>
      </c>
      <c r="E128" s="3234">
        <v>16190</v>
      </c>
      <c r="F128" s="3234">
        <v>2820</v>
      </c>
      <c r="G128" s="3234">
        <v>8460</v>
      </c>
    </row>
    <row r="129" spans="1:7" s="3223" customFormat="1" ht="14.25" customHeight="1">
      <c r="A129" s="3234" t="s">
        <v>29</v>
      </c>
      <c r="B129" s="3234" t="s">
        <v>141</v>
      </c>
      <c r="C129" s="3234">
        <v>10950</v>
      </c>
      <c r="D129" s="3234">
        <v>10920</v>
      </c>
      <c r="E129" s="3234">
        <v>13820</v>
      </c>
      <c r="F129" s="3234">
        <v>2500</v>
      </c>
      <c r="G129" s="3234">
        <v>7020</v>
      </c>
    </row>
    <row r="130" spans="1:7" s="3223" customFormat="1" ht="14.25" customHeight="1">
      <c r="A130" s="3234" t="s">
        <v>29</v>
      </c>
      <c r="B130" s="3234" t="s">
        <v>150</v>
      </c>
      <c r="C130" s="3234">
        <v>10910</v>
      </c>
      <c r="D130" s="3234">
        <v>10860</v>
      </c>
      <c r="E130" s="3234">
        <v>13730</v>
      </c>
      <c r="F130" s="3234">
        <v>2760</v>
      </c>
      <c r="G130" s="3234">
        <v>6990</v>
      </c>
    </row>
    <row r="131" spans="1:7" s="3223" customFormat="1" ht="14.25" customHeight="1">
      <c r="A131" s="3234" t="s">
        <v>29</v>
      </c>
      <c r="B131" s="3234" t="s">
        <v>159</v>
      </c>
      <c r="C131" s="3234">
        <v>12910</v>
      </c>
      <c r="D131" s="3234">
        <v>12870</v>
      </c>
      <c r="E131" s="3234">
        <v>15720</v>
      </c>
      <c r="F131" s="3234">
        <v>2750</v>
      </c>
      <c r="G131" s="3234">
        <v>8280</v>
      </c>
    </row>
    <row r="132" spans="1:7" s="3223" customFormat="1" ht="14.25" customHeight="1">
      <c r="A132" s="3234" t="s">
        <v>29</v>
      </c>
      <c r="B132" s="3234" t="s">
        <v>166</v>
      </c>
      <c r="C132" s="3234">
        <v>11910</v>
      </c>
      <c r="D132" s="3234">
        <v>11860</v>
      </c>
      <c r="E132" s="3234">
        <v>14730</v>
      </c>
      <c r="F132" s="3234">
        <v>2360</v>
      </c>
      <c r="G132" s="3234">
        <v>7630</v>
      </c>
    </row>
    <row r="133" spans="1:7" s="3223" customFormat="1" ht="14.25" customHeight="1">
      <c r="A133" s="3234" t="s">
        <v>29</v>
      </c>
      <c r="B133" s="3234" t="s">
        <v>172</v>
      </c>
      <c r="C133" s="3234">
        <v>12270</v>
      </c>
      <c r="D133" s="3234">
        <v>12210</v>
      </c>
      <c r="E133" s="3234">
        <v>15010</v>
      </c>
      <c r="F133" s="3234">
        <v>2580</v>
      </c>
      <c r="G133" s="3234">
        <v>7860</v>
      </c>
    </row>
    <row r="134" spans="1:7" s="3223" customFormat="1" ht="14.25" customHeight="1">
      <c r="A134" s="3234" t="s">
        <v>29</v>
      </c>
      <c r="B134" s="3234" t="s">
        <v>179</v>
      </c>
      <c r="C134" s="3234">
        <v>10800</v>
      </c>
      <c r="D134" s="3234">
        <v>10780</v>
      </c>
      <c r="E134" s="3234">
        <v>13640</v>
      </c>
      <c r="F134" s="3234">
        <v>2110</v>
      </c>
      <c r="G134" s="3234">
        <v>6930</v>
      </c>
    </row>
    <row r="135" spans="1:7" s="3223" customFormat="1" ht="14.25" customHeight="1">
      <c r="A135" s="3234" t="s">
        <v>29</v>
      </c>
      <c r="B135" s="3234" t="s">
        <v>189</v>
      </c>
      <c r="C135" s="3234">
        <v>10430</v>
      </c>
      <c r="D135" s="3234">
        <v>10390</v>
      </c>
      <c r="E135" s="3234">
        <v>13140</v>
      </c>
      <c r="F135" s="3234">
        <v>2240</v>
      </c>
      <c r="G135" s="3234">
        <v>6680</v>
      </c>
    </row>
    <row r="136" spans="1:7" s="3223" customFormat="1" ht="14.25" customHeight="1">
      <c r="A136" s="3234" t="s">
        <v>29</v>
      </c>
      <c r="B136" s="3234" t="s">
        <v>198</v>
      </c>
      <c r="C136" s="3234">
        <v>11930</v>
      </c>
      <c r="D136" s="3234">
        <v>11880</v>
      </c>
      <c r="E136" s="3234">
        <v>14770</v>
      </c>
      <c r="F136" s="3234">
        <v>1970</v>
      </c>
      <c r="G136" s="3234">
        <v>7640</v>
      </c>
    </row>
    <row r="137" spans="1:7" s="3223" customFormat="1" ht="14.25" customHeight="1">
      <c r="A137" s="3234" t="s">
        <v>29</v>
      </c>
      <c r="B137" s="3234" t="s">
        <v>205</v>
      </c>
      <c r="C137" s="3234">
        <v>10470</v>
      </c>
      <c r="D137" s="3234">
        <v>10430</v>
      </c>
      <c r="E137" s="3234">
        <v>13190</v>
      </c>
      <c r="F137" s="3234">
        <v>1990</v>
      </c>
      <c r="G137" s="3234">
        <v>6710</v>
      </c>
    </row>
    <row r="138" spans="1:7" s="3223" customFormat="1" ht="14.25" customHeight="1">
      <c r="A138" s="3234" t="s">
        <v>29</v>
      </c>
      <c r="B138" s="3234" t="s">
        <v>212</v>
      </c>
      <c r="C138" s="3234">
        <v>10410</v>
      </c>
      <c r="D138" s="3234">
        <v>10380</v>
      </c>
      <c r="E138" s="3234">
        <v>13130</v>
      </c>
      <c r="F138" s="3234">
        <v>2030</v>
      </c>
      <c r="G138" s="3234">
        <v>6680</v>
      </c>
    </row>
    <row r="139" spans="1:7" s="3223" customFormat="1" ht="14.25" customHeight="1">
      <c r="A139" s="3234" t="s">
        <v>29</v>
      </c>
      <c r="B139" s="3234" t="s">
        <v>218</v>
      </c>
      <c r="C139" s="3234">
        <v>9460</v>
      </c>
      <c r="D139" s="3234">
        <v>9410</v>
      </c>
      <c r="E139" s="3234">
        <v>12050</v>
      </c>
      <c r="F139" s="3234">
        <v>2140</v>
      </c>
      <c r="G139" s="3234">
        <v>6050</v>
      </c>
    </row>
    <row r="140" spans="1:7" s="3223" customFormat="1" ht="14.25" customHeight="1">
      <c r="A140" s="3234" t="s">
        <v>29</v>
      </c>
      <c r="B140" s="3234" t="s">
        <v>226</v>
      </c>
      <c r="C140" s="3234">
        <v>11030</v>
      </c>
      <c r="D140" s="3234">
        <v>10980</v>
      </c>
      <c r="E140" s="3234">
        <v>13880</v>
      </c>
      <c r="F140" s="3234">
        <v>2210</v>
      </c>
      <c r="G140" s="3234">
        <v>7060</v>
      </c>
    </row>
    <row r="141" spans="1:7" s="3223" customFormat="1" ht="14.25" customHeight="1">
      <c r="A141" s="3234" t="s">
        <v>29</v>
      </c>
      <c r="B141" s="3234" t="s">
        <v>234</v>
      </c>
      <c r="C141" s="3234">
        <v>11200</v>
      </c>
      <c r="D141" s="3234">
        <v>11150</v>
      </c>
      <c r="E141" s="3234">
        <v>14100</v>
      </c>
      <c r="F141" s="3234">
        <v>2470</v>
      </c>
      <c r="G141" s="3234">
        <v>7170</v>
      </c>
    </row>
    <row r="142" spans="1:7" s="3223" customFormat="1" ht="14.25" customHeight="1">
      <c r="A142" s="3234" t="s">
        <v>29</v>
      </c>
      <c r="B142" s="3234" t="s">
        <v>239</v>
      </c>
      <c r="C142" s="3234">
        <v>10780</v>
      </c>
      <c r="D142" s="3234">
        <v>10730</v>
      </c>
      <c r="E142" s="3234">
        <v>13540</v>
      </c>
      <c r="F142" s="3234">
        <v>2280</v>
      </c>
      <c r="G142" s="3234">
        <v>6900</v>
      </c>
    </row>
    <row r="143" spans="1:7" s="3223" customFormat="1" ht="14.25" customHeight="1">
      <c r="A143" s="3234" t="s">
        <v>29</v>
      </c>
      <c r="B143" s="3234" t="s">
        <v>248</v>
      </c>
      <c r="C143" s="3234">
        <v>11550</v>
      </c>
      <c r="D143" s="3234">
        <v>11490</v>
      </c>
      <c r="E143" s="3234">
        <v>14480</v>
      </c>
      <c r="F143" s="3234">
        <v>2070</v>
      </c>
      <c r="G143" s="3234">
        <v>7390</v>
      </c>
    </row>
    <row r="144" spans="1:7" s="3223" customFormat="1" ht="14.25" customHeight="1">
      <c r="A144" s="3234" t="s">
        <v>29</v>
      </c>
      <c r="B144" s="3234" t="s">
        <v>255</v>
      </c>
      <c r="C144" s="3234">
        <v>10720</v>
      </c>
      <c r="D144" s="3234">
        <v>10680</v>
      </c>
      <c r="E144" s="3234">
        <v>13480</v>
      </c>
      <c r="F144" s="3234">
        <v>2440</v>
      </c>
      <c r="G144" s="3234">
        <v>6870</v>
      </c>
    </row>
    <row r="145" spans="1:7" s="3223" customFormat="1" ht="14.25" customHeight="1">
      <c r="A145" s="3234" t="s">
        <v>29</v>
      </c>
      <c r="B145" s="3234" t="s">
        <v>263</v>
      </c>
      <c r="C145" s="3234">
        <v>10340</v>
      </c>
      <c r="D145" s="3234">
        <v>10290</v>
      </c>
      <c r="E145" s="3234">
        <v>12880</v>
      </c>
      <c r="F145" s="3234">
        <v>2650</v>
      </c>
      <c r="G145" s="3234">
        <v>6620</v>
      </c>
    </row>
    <row r="146" spans="1:7" s="3223" customFormat="1" ht="14.25" customHeight="1">
      <c r="A146" s="3234" t="s">
        <v>29</v>
      </c>
      <c r="B146" s="3234" t="s">
        <v>270</v>
      </c>
      <c r="C146" s="3234">
        <v>11890</v>
      </c>
      <c r="D146" s="3234">
        <v>11830</v>
      </c>
      <c r="E146" s="3234">
        <v>14670</v>
      </c>
      <c r="F146" s="3234"/>
      <c r="G146" s="3234">
        <v>7610</v>
      </c>
    </row>
    <row r="147" spans="1:7" s="3223" customFormat="1" ht="14.25" customHeight="1">
      <c r="A147" s="3234" t="s">
        <v>29</v>
      </c>
      <c r="B147" s="3234" t="s">
        <v>274</v>
      </c>
      <c r="C147" s="3234">
        <v>12650</v>
      </c>
      <c r="D147" s="3234">
        <v>12600</v>
      </c>
      <c r="E147" s="3234">
        <v>15440</v>
      </c>
      <c r="F147" s="3234"/>
      <c r="G147" s="3234">
        <v>8110</v>
      </c>
    </row>
    <row r="148" spans="1:7" s="3223" customFormat="1" ht="14.25" customHeight="1">
      <c r="A148" s="3234" t="s">
        <v>29</v>
      </c>
      <c r="B148" s="3234" t="s">
        <v>3077</v>
      </c>
      <c r="C148" s="3234">
        <v>10370</v>
      </c>
      <c r="D148" s="3234">
        <v>10310</v>
      </c>
      <c r="E148" s="3234">
        <v>12970</v>
      </c>
      <c r="F148" s="3234"/>
      <c r="G148" s="3234">
        <v>6630</v>
      </c>
    </row>
    <row r="149" spans="1:7" s="3223" customFormat="1" ht="14.25" customHeight="1">
      <c r="A149" s="3234" t="s">
        <v>29</v>
      </c>
      <c r="B149" s="3234" t="s">
        <v>3078</v>
      </c>
      <c r="C149" s="3234">
        <v>11600</v>
      </c>
      <c r="D149" s="3234">
        <v>11560</v>
      </c>
      <c r="E149" s="3234">
        <v>14540</v>
      </c>
      <c r="F149" s="3234">
        <v>2390</v>
      </c>
      <c r="G149" s="3234">
        <v>7430</v>
      </c>
    </row>
    <row r="150" spans="1:7" s="3223" customFormat="1" ht="14.25" customHeight="1">
      <c r="A150" s="3234" t="s">
        <v>29</v>
      </c>
      <c r="B150" s="3234" t="s">
        <v>292</v>
      </c>
      <c r="C150" s="3234">
        <v>9950</v>
      </c>
      <c r="D150" s="3234">
        <v>9890</v>
      </c>
      <c r="E150" s="3234">
        <v>12590</v>
      </c>
      <c r="F150" s="3234">
        <v>1970</v>
      </c>
      <c r="G150" s="3234">
        <v>6360</v>
      </c>
    </row>
    <row r="151" spans="1:7" s="3223" customFormat="1" ht="14.25" customHeight="1">
      <c r="A151" s="3234" t="s">
        <v>29</v>
      </c>
      <c r="B151" s="3234" t="s">
        <v>294</v>
      </c>
      <c r="C151" s="3234">
        <v>10700</v>
      </c>
      <c r="D151" s="3234">
        <v>10650</v>
      </c>
      <c r="E151" s="3234">
        <v>13420</v>
      </c>
      <c r="F151" s="3234">
        <v>2020</v>
      </c>
      <c r="G151" s="3234">
        <v>6850</v>
      </c>
    </row>
    <row r="152" spans="1:7" s="3223" customFormat="1" ht="14.25" customHeight="1">
      <c r="A152" s="3234" t="s">
        <v>29</v>
      </c>
      <c r="B152" s="3234" t="s">
        <v>297</v>
      </c>
      <c r="C152" s="3234">
        <v>10310</v>
      </c>
      <c r="D152" s="3234">
        <v>10260</v>
      </c>
      <c r="E152" s="3234">
        <v>12820</v>
      </c>
      <c r="F152" s="3234">
        <v>1980</v>
      </c>
      <c r="G152" s="3234">
        <v>6600</v>
      </c>
    </row>
    <row r="153" spans="1:7" s="3223" customFormat="1" ht="14.25" customHeight="1">
      <c r="A153" s="3234" t="s">
        <v>29</v>
      </c>
      <c r="B153" s="3234" t="s">
        <v>2952</v>
      </c>
      <c r="C153" s="3234">
        <v>10880</v>
      </c>
      <c r="D153" s="3234">
        <v>10820</v>
      </c>
      <c r="E153" s="3234">
        <v>13660</v>
      </c>
      <c r="F153" s="3234">
        <v>2260</v>
      </c>
      <c r="G153" s="3234">
        <v>6970</v>
      </c>
    </row>
    <row r="154" spans="1:7" s="3223" customFormat="1" ht="14.25" customHeight="1">
      <c r="A154" s="3234" t="s">
        <v>29</v>
      </c>
      <c r="B154" s="3234" t="s">
        <v>3079</v>
      </c>
      <c r="C154" s="3234">
        <v>11220</v>
      </c>
      <c r="D154" s="3234">
        <v>11160</v>
      </c>
      <c r="E154" s="3234">
        <v>14130</v>
      </c>
      <c r="F154" s="3234">
        <v>2230</v>
      </c>
      <c r="G154" s="3234">
        <v>7180</v>
      </c>
    </row>
    <row r="155" spans="1:7" s="3223" customFormat="1" ht="14.25" customHeight="1">
      <c r="A155" s="3234" t="s">
        <v>29</v>
      </c>
      <c r="B155" s="3234" t="s">
        <v>2965</v>
      </c>
      <c r="C155" s="3234">
        <v>10430</v>
      </c>
      <c r="D155" s="3234">
        <v>10380</v>
      </c>
      <c r="E155" s="3234">
        <v>13140</v>
      </c>
      <c r="F155" s="3234">
        <v>2080</v>
      </c>
      <c r="G155" s="3234">
        <v>6650</v>
      </c>
    </row>
    <row r="156" spans="1:7" s="3223" customFormat="1" ht="14.25" customHeight="1">
      <c r="A156" s="3234" t="s">
        <v>29</v>
      </c>
      <c r="B156" s="3234" t="s">
        <v>3080</v>
      </c>
      <c r="C156" s="3234">
        <v>10440</v>
      </c>
      <c r="D156" s="3234">
        <v>10400</v>
      </c>
      <c r="E156" s="3234">
        <v>13150</v>
      </c>
      <c r="F156" s="3234">
        <v>2490</v>
      </c>
      <c r="G156" s="3234">
        <v>6690</v>
      </c>
    </row>
    <row r="157" spans="1:7" s="3223" customFormat="1" ht="14.25" customHeight="1">
      <c r="A157" s="3234" t="s">
        <v>29</v>
      </c>
      <c r="B157" s="3234" t="s">
        <v>300</v>
      </c>
      <c r="C157" s="3234">
        <v>10970</v>
      </c>
      <c r="D157" s="3234">
        <v>10920</v>
      </c>
      <c r="E157" s="3234">
        <v>13840</v>
      </c>
      <c r="F157" s="3234">
        <v>2420</v>
      </c>
      <c r="G157" s="3234">
        <v>7020</v>
      </c>
    </row>
    <row r="158" spans="1:7" s="3223" customFormat="1" ht="14.25" customHeight="1">
      <c r="A158" s="3234" t="s">
        <v>29</v>
      </c>
      <c r="B158" s="3234" t="s">
        <v>301</v>
      </c>
      <c r="C158" s="3234">
        <v>9590</v>
      </c>
      <c r="D158" s="3234">
        <v>9540</v>
      </c>
      <c r="E158" s="3234">
        <v>12210</v>
      </c>
      <c r="F158" s="3234">
        <v>2100</v>
      </c>
      <c r="G158" s="3234">
        <v>6130</v>
      </c>
    </row>
    <row r="159" spans="1:7" s="3223" customFormat="1" ht="14.25" customHeight="1">
      <c r="A159" s="3234" t="s">
        <v>29</v>
      </c>
      <c r="B159" s="3234" t="s">
        <v>302</v>
      </c>
      <c r="C159" s="3234">
        <v>11190</v>
      </c>
      <c r="D159" s="3234">
        <v>11140</v>
      </c>
      <c r="E159" s="3234">
        <v>14090</v>
      </c>
      <c r="F159" s="3234">
        <v>2470</v>
      </c>
      <c r="G159" s="3234">
        <v>7170</v>
      </c>
    </row>
    <row r="160" spans="1:7" s="3223" customFormat="1" ht="14.25" customHeight="1">
      <c r="A160" s="3234" t="s">
        <v>29</v>
      </c>
      <c r="B160" s="3234" t="s">
        <v>3081</v>
      </c>
      <c r="C160" s="3234">
        <v>11180</v>
      </c>
      <c r="D160" s="3234">
        <v>11140</v>
      </c>
      <c r="E160" s="3234">
        <v>14050</v>
      </c>
      <c r="F160" s="3234">
        <v>2270</v>
      </c>
      <c r="G160" s="3234">
        <v>7170</v>
      </c>
    </row>
    <row r="161" spans="1:7" s="3223" customFormat="1" ht="14.25" customHeight="1">
      <c r="A161" s="3234" t="s">
        <v>29</v>
      </c>
      <c r="B161" s="3234" t="s">
        <v>2997</v>
      </c>
      <c r="C161" s="3234">
        <v>11160</v>
      </c>
      <c r="D161" s="3234">
        <v>11120</v>
      </c>
      <c r="E161" s="3234">
        <v>14020</v>
      </c>
      <c r="F161" s="3234">
        <v>2150</v>
      </c>
      <c r="G161" s="3234">
        <v>7160</v>
      </c>
    </row>
    <row r="162" spans="1:7" s="3223" customFormat="1" ht="14.25" customHeight="1">
      <c r="A162" s="3234" t="s">
        <v>29</v>
      </c>
      <c r="B162" s="3234" t="s">
        <v>3002</v>
      </c>
      <c r="C162" s="3234">
        <v>9620</v>
      </c>
      <c r="D162" s="3234">
        <v>9570</v>
      </c>
      <c r="E162" s="3234">
        <v>12320</v>
      </c>
      <c r="F162" s="3234">
        <v>2010</v>
      </c>
      <c r="G162" s="3234">
        <v>6160</v>
      </c>
    </row>
    <row r="163" spans="1:7" s="3223" customFormat="1" ht="14.25" customHeight="1">
      <c r="A163" s="3234" t="s">
        <v>29</v>
      </c>
      <c r="B163" s="3234" t="s">
        <v>3007</v>
      </c>
      <c r="C163" s="3234">
        <v>9320</v>
      </c>
      <c r="D163" s="3234">
        <v>9270</v>
      </c>
      <c r="E163" s="3234">
        <v>11790</v>
      </c>
      <c r="F163" s="3234">
        <v>1920</v>
      </c>
      <c r="G163" s="3234">
        <v>5960</v>
      </c>
    </row>
    <row r="164" spans="1:7" s="3223" customFormat="1" ht="14.25" customHeight="1">
      <c r="A164" s="3234" t="s">
        <v>29</v>
      </c>
      <c r="B164" s="3234" t="s">
        <v>3012</v>
      </c>
      <c r="C164" s="3234"/>
      <c r="D164" s="3234"/>
      <c r="E164" s="3234"/>
      <c r="F164" s="3234">
        <v>1980</v>
      </c>
      <c r="G164" s="3234"/>
    </row>
    <row r="165" spans="1:7" s="3223" customFormat="1" ht="14.25" customHeight="1">
      <c r="A165" s="3234" t="s">
        <v>29</v>
      </c>
      <c r="B165" s="3234" t="s">
        <v>3082</v>
      </c>
      <c r="C165" s="3234">
        <v>11060</v>
      </c>
      <c r="D165" s="3234">
        <v>11030</v>
      </c>
      <c r="E165" s="3234">
        <v>13850</v>
      </c>
      <c r="F165" s="3234">
        <v>2170</v>
      </c>
      <c r="G165" s="3234">
        <v>7090</v>
      </c>
    </row>
    <row r="166" spans="1:7" s="3223" customFormat="1" ht="14.25" customHeight="1">
      <c r="A166" s="3234" t="s">
        <v>29</v>
      </c>
      <c r="B166" s="3234" t="s">
        <v>3022</v>
      </c>
      <c r="C166" s="3234">
        <v>11050</v>
      </c>
      <c r="D166" s="3234">
        <v>11010</v>
      </c>
      <c r="E166" s="3234">
        <v>13920</v>
      </c>
      <c r="F166" s="3234">
        <v>2140</v>
      </c>
      <c r="G166" s="3234">
        <v>7080</v>
      </c>
    </row>
    <row r="167" spans="1:7" s="3223" customFormat="1" ht="14.25" customHeight="1">
      <c r="A167" s="3234" t="s">
        <v>29</v>
      </c>
      <c r="B167" s="3234" t="s">
        <v>3026</v>
      </c>
      <c r="C167" s="3234">
        <v>10930</v>
      </c>
      <c r="D167" s="3234">
        <v>10890</v>
      </c>
      <c r="E167" s="3234">
        <v>13790</v>
      </c>
      <c r="F167" s="3234">
        <v>2010</v>
      </c>
      <c r="G167" s="3234">
        <v>7000</v>
      </c>
    </row>
    <row r="168" spans="1:7" s="3223" customFormat="1" ht="14.25" customHeight="1">
      <c r="A168" s="3234" t="s">
        <v>29</v>
      </c>
      <c r="B168" s="3234" t="s">
        <v>3031</v>
      </c>
      <c r="C168" s="3234">
        <v>9420</v>
      </c>
      <c r="D168" s="3234">
        <v>9380</v>
      </c>
      <c r="E168" s="3234">
        <v>11970</v>
      </c>
      <c r="F168" s="3234"/>
      <c r="G168" s="3234">
        <v>6040</v>
      </c>
    </row>
    <row r="169" spans="1:7" s="3223" customFormat="1" ht="14.25" customHeight="1">
      <c r="A169" s="3234" t="s">
        <v>29</v>
      </c>
      <c r="B169" s="3234" t="s">
        <v>3083</v>
      </c>
      <c r="C169" s="3234"/>
      <c r="D169" s="3234"/>
      <c r="E169" s="3234"/>
      <c r="F169" s="3234">
        <v>2880</v>
      </c>
      <c r="G169" s="3234"/>
    </row>
    <row r="170" spans="1:7" s="3223" customFormat="1" ht="14.25" customHeight="1">
      <c r="A170" s="3234" t="s">
        <v>29</v>
      </c>
      <c r="B170" s="3234" t="s">
        <v>3039</v>
      </c>
      <c r="C170" s="3234"/>
      <c r="D170" s="3234"/>
      <c r="E170" s="3234"/>
      <c r="F170" s="3234">
        <v>2880</v>
      </c>
      <c r="G170" s="3234"/>
    </row>
    <row r="171" spans="1:7" s="3223" customFormat="1" ht="14.25" customHeight="1">
      <c r="A171" s="3234" t="s">
        <v>29</v>
      </c>
      <c r="B171" s="3234" t="s">
        <v>3042</v>
      </c>
      <c r="C171" s="3234"/>
      <c r="D171" s="3234"/>
      <c r="E171" s="3234"/>
      <c r="F171" s="3234">
        <v>2880</v>
      </c>
      <c r="G171" s="3234"/>
    </row>
    <row r="172" spans="1:7" s="3223" customFormat="1" ht="14.25" customHeight="1">
      <c r="A172" s="3234" t="s">
        <v>29</v>
      </c>
      <c r="B172" s="3234" t="s">
        <v>3044</v>
      </c>
      <c r="C172" s="3234"/>
      <c r="D172" s="3234"/>
      <c r="E172" s="3234"/>
      <c r="F172" s="3234">
        <v>2880</v>
      </c>
      <c r="G172" s="3234"/>
    </row>
    <row r="173" spans="1:7" s="3223" customFormat="1" ht="14.25" customHeight="1">
      <c r="A173" s="3234" t="s">
        <v>29</v>
      </c>
      <c r="B173" s="3234" t="s">
        <v>3046</v>
      </c>
      <c r="C173" s="3234"/>
      <c r="D173" s="3234"/>
      <c r="E173" s="3234"/>
      <c r="F173" s="3234">
        <v>2150</v>
      </c>
      <c r="G173" s="3234"/>
    </row>
    <row r="174" spans="1:7" s="3223" customFormat="1" ht="14.25" customHeight="1">
      <c r="A174" s="3234" t="s">
        <v>29</v>
      </c>
      <c r="B174" s="3234" t="s">
        <v>3048</v>
      </c>
      <c r="C174" s="3234"/>
      <c r="D174" s="3234"/>
      <c r="E174" s="3234"/>
      <c r="F174" s="3234">
        <v>2030</v>
      </c>
      <c r="G174" s="3234"/>
    </row>
    <row r="175" spans="1:7" s="3223" customFormat="1" ht="14.25" customHeight="1">
      <c r="A175" s="3234" t="s">
        <v>29</v>
      </c>
      <c r="B175" s="3234" t="s">
        <v>3050</v>
      </c>
      <c r="C175" s="3234"/>
      <c r="D175" s="3234"/>
      <c r="E175" s="3234"/>
      <c r="F175" s="3234">
        <v>2780</v>
      </c>
      <c r="G175" s="3234"/>
    </row>
    <row r="176" spans="1:7" s="3223" customFormat="1" ht="14.25" customHeight="1">
      <c r="A176" s="3234" t="s">
        <v>29</v>
      </c>
      <c r="B176" s="3234" t="s">
        <v>3052</v>
      </c>
      <c r="C176" s="3234"/>
      <c r="D176" s="3234"/>
      <c r="E176" s="3234"/>
      <c r="F176" s="3234">
        <v>2780</v>
      </c>
      <c r="G176" s="3234"/>
    </row>
    <row r="177" spans="1:7" s="3223" customFormat="1" ht="14.25" customHeight="1">
      <c r="A177" s="3234" t="s">
        <v>29</v>
      </c>
      <c r="B177" s="3234" t="s">
        <v>3084</v>
      </c>
      <c r="C177" s="3234"/>
      <c r="D177" s="3234"/>
      <c r="E177" s="3234"/>
      <c r="F177" s="3234">
        <v>2780</v>
      </c>
      <c r="G177" s="3234"/>
    </row>
    <row r="178" spans="1:7" s="3223" customFormat="1" ht="14.25" customHeight="1">
      <c r="A178" s="3234" t="s">
        <v>29</v>
      </c>
      <c r="B178" s="3234" t="s">
        <v>3085</v>
      </c>
      <c r="C178" s="3234"/>
      <c r="D178" s="3234"/>
      <c r="E178" s="3234"/>
      <c r="F178" s="3234">
        <v>2060</v>
      </c>
      <c r="G178" s="3234"/>
    </row>
    <row r="179" spans="1:7" s="3223" customFormat="1" ht="14.25" customHeight="1">
      <c r="A179" s="3234" t="s">
        <v>29</v>
      </c>
      <c r="B179" s="3234" t="s">
        <v>3086</v>
      </c>
      <c r="C179" s="3234"/>
      <c r="D179" s="3234"/>
      <c r="E179" s="3234"/>
      <c r="F179" s="3234">
        <v>2120</v>
      </c>
      <c r="G179" s="3234"/>
    </row>
    <row r="180" spans="1:7" s="3223" customFormat="1" ht="14.25" customHeight="1">
      <c r="A180" s="3234" t="s">
        <v>29</v>
      </c>
      <c r="B180" s="3234" t="s">
        <v>3058</v>
      </c>
      <c r="C180" s="3234"/>
      <c r="D180" s="3234"/>
      <c r="E180" s="3234"/>
      <c r="F180" s="3234">
        <v>2340</v>
      </c>
      <c r="G180" s="3234"/>
    </row>
    <row r="181" spans="1:7" s="3223" customFormat="1" ht="14.25" customHeight="1">
      <c r="A181" s="3234" t="s">
        <v>29</v>
      </c>
      <c r="B181" s="3234" t="s">
        <v>3059</v>
      </c>
      <c r="C181" s="3234"/>
      <c r="D181" s="3234"/>
      <c r="E181" s="3234"/>
      <c r="F181" s="3234">
        <v>2340</v>
      </c>
      <c r="G181" s="3234"/>
    </row>
    <row r="182" spans="1:7" s="3223" customFormat="1" ht="14.25" customHeight="1">
      <c r="A182" s="3234" t="s">
        <v>29</v>
      </c>
      <c r="B182" s="3234" t="s">
        <v>3060</v>
      </c>
      <c r="C182" s="3234"/>
      <c r="D182" s="3234"/>
      <c r="E182" s="3234"/>
      <c r="F182" s="3234">
        <v>2340</v>
      </c>
      <c r="G182" s="3234"/>
    </row>
    <row r="183" spans="1:7" s="3223" customFormat="1" ht="14.25" customHeight="1">
      <c r="A183" s="3234" t="s">
        <v>29</v>
      </c>
      <c r="B183" s="3234" t="s">
        <v>3061</v>
      </c>
      <c r="C183" s="3234"/>
      <c r="D183" s="3234"/>
      <c r="E183" s="3234"/>
      <c r="F183" s="3234">
        <v>2340</v>
      </c>
      <c r="G183" s="3234"/>
    </row>
    <row r="184" spans="1:7" s="3223" customFormat="1" ht="14.25" customHeight="1">
      <c r="A184" s="3234" t="s">
        <v>29</v>
      </c>
      <c r="B184" s="3234" t="s">
        <v>3062</v>
      </c>
      <c r="C184" s="3234"/>
      <c r="D184" s="3234"/>
      <c r="E184" s="3234"/>
      <c r="F184" s="3234">
        <v>2340</v>
      </c>
      <c r="G184" s="3234"/>
    </row>
    <row r="185" spans="1:7" s="3223" customFormat="1" ht="14.25" customHeight="1">
      <c r="A185" s="3234" t="s">
        <v>29</v>
      </c>
      <c r="B185" s="3234" t="s">
        <v>3063</v>
      </c>
      <c r="C185" s="3234"/>
      <c r="D185" s="3234"/>
      <c r="E185" s="3234"/>
      <c r="F185" s="3234">
        <v>2530</v>
      </c>
      <c r="G185" s="3234"/>
    </row>
    <row r="186" spans="1:7" s="3223" customFormat="1" ht="14.25" customHeight="1">
      <c r="A186" s="3234" t="s">
        <v>29</v>
      </c>
      <c r="B186" s="3234" t="s">
        <v>3064</v>
      </c>
      <c r="C186" s="3234"/>
      <c r="D186" s="3234"/>
      <c r="E186" s="3234"/>
      <c r="F186" s="3234">
        <v>2550</v>
      </c>
      <c r="G186" s="3234"/>
    </row>
    <row r="187" spans="1:7" s="3223" customFormat="1" ht="14.25" customHeight="1">
      <c r="A187" s="3234" t="s">
        <v>29</v>
      </c>
      <c r="B187" s="3234" t="s">
        <v>3065</v>
      </c>
      <c r="C187" s="3234"/>
      <c r="D187" s="3234"/>
      <c r="E187" s="3234"/>
      <c r="F187" s="3234">
        <v>2070</v>
      </c>
      <c r="G187" s="3234"/>
    </row>
    <row r="188" spans="1:7" s="3223" customFormat="1" ht="14.25" customHeight="1">
      <c r="A188" s="3234" t="s">
        <v>29</v>
      </c>
      <c r="B188" s="3234" t="s">
        <v>3066</v>
      </c>
      <c r="C188" s="3234"/>
      <c r="D188" s="3234"/>
      <c r="E188" s="3234"/>
      <c r="F188" s="3234">
        <v>2340</v>
      </c>
      <c r="G188" s="3234"/>
    </row>
    <row r="189" spans="1:7" s="3223" customFormat="1" ht="14.25" customHeight="1" thickBot="1">
      <c r="A189" s="3242" t="s">
        <v>29</v>
      </c>
      <c r="B189" s="3245" t="s">
        <v>3067</v>
      </c>
      <c r="C189" s="3245"/>
      <c r="D189" s="3245"/>
      <c r="E189" s="3245"/>
      <c r="F189" s="3245">
        <v>2050</v>
      </c>
      <c r="G189" s="3245"/>
    </row>
    <row r="190" spans="1:7" s="3223" customFormat="1" ht="14.25" customHeight="1">
      <c r="A190" s="3239" t="s">
        <v>304</v>
      </c>
      <c r="B190" s="3230" t="s">
        <v>3087</v>
      </c>
      <c r="C190" s="3230">
        <v>8830</v>
      </c>
      <c r="D190" s="3230">
        <v>8790</v>
      </c>
      <c r="E190" s="3230">
        <v>11630</v>
      </c>
      <c r="F190" s="3230">
        <v>1790</v>
      </c>
      <c r="G190" s="3246">
        <v>5550</v>
      </c>
    </row>
    <row r="191" spans="1:7" s="3223" customFormat="1" ht="14.25" customHeight="1">
      <c r="A191" s="3234" t="s">
        <v>304</v>
      </c>
      <c r="B191" s="3234" t="s">
        <v>133</v>
      </c>
      <c r="C191" s="3234">
        <v>9780</v>
      </c>
      <c r="D191" s="3234">
        <v>9710</v>
      </c>
      <c r="E191" s="3234">
        <v>12550</v>
      </c>
      <c r="F191" s="3234">
        <v>1980</v>
      </c>
      <c r="G191" s="3247">
        <v>6130</v>
      </c>
    </row>
    <row r="192" spans="1:7" s="3223" customFormat="1" ht="14.25" customHeight="1">
      <c r="A192" s="3234" t="s">
        <v>304</v>
      </c>
      <c r="B192" s="3234" t="s">
        <v>142</v>
      </c>
      <c r="C192" s="3234">
        <v>8180</v>
      </c>
      <c r="D192" s="3234">
        <v>8140</v>
      </c>
      <c r="E192" s="3234">
        <v>10870</v>
      </c>
      <c r="F192" s="3234">
        <v>1690</v>
      </c>
      <c r="G192" s="3247">
        <v>5140</v>
      </c>
    </row>
    <row r="193" spans="1:7" s="3223" customFormat="1" ht="14.25" customHeight="1">
      <c r="A193" s="3234" t="s">
        <v>304</v>
      </c>
      <c r="B193" s="3234" t="s">
        <v>151</v>
      </c>
      <c r="C193" s="3234">
        <v>8440</v>
      </c>
      <c r="D193" s="3234">
        <v>8390</v>
      </c>
      <c r="E193" s="3234">
        <v>11210</v>
      </c>
      <c r="F193" s="3234">
        <v>1600</v>
      </c>
      <c r="G193" s="3247">
        <v>5300</v>
      </c>
    </row>
    <row r="194" spans="1:7" s="3223" customFormat="1" ht="14.25" customHeight="1">
      <c r="A194" s="3234" t="s">
        <v>304</v>
      </c>
      <c r="B194" s="3234" t="s">
        <v>160</v>
      </c>
      <c r="C194" s="3234">
        <v>8780</v>
      </c>
      <c r="D194" s="3234">
        <v>8730</v>
      </c>
      <c r="E194" s="3234">
        <v>11550</v>
      </c>
      <c r="F194" s="3234">
        <v>1660</v>
      </c>
      <c r="G194" s="3247">
        <v>5520</v>
      </c>
    </row>
    <row r="195" spans="1:7" s="3223" customFormat="1" ht="14.25" customHeight="1">
      <c r="A195" s="3234" t="s">
        <v>304</v>
      </c>
      <c r="B195" s="3234" t="s">
        <v>167</v>
      </c>
      <c r="C195" s="3234">
        <v>8720</v>
      </c>
      <c r="D195" s="3234">
        <v>8670</v>
      </c>
      <c r="E195" s="3234">
        <v>11450</v>
      </c>
      <c r="F195" s="3234">
        <v>1720</v>
      </c>
      <c r="G195" s="3247">
        <v>5480</v>
      </c>
    </row>
    <row r="196" spans="1:7" s="3223" customFormat="1" ht="14.25" customHeight="1">
      <c r="A196" s="3234" t="s">
        <v>304</v>
      </c>
      <c r="B196" s="3234" t="s">
        <v>173</v>
      </c>
      <c r="C196" s="3234">
        <v>8460</v>
      </c>
      <c r="D196" s="3234">
        <v>8410</v>
      </c>
      <c r="E196" s="3234">
        <v>11230</v>
      </c>
      <c r="F196" s="3234">
        <v>1730</v>
      </c>
      <c r="G196" s="3247">
        <v>5310</v>
      </c>
    </row>
    <row r="197" spans="1:7" s="3223" customFormat="1" ht="14.25" customHeight="1">
      <c r="A197" s="3234" t="s">
        <v>304</v>
      </c>
      <c r="B197" s="3234" t="s">
        <v>180</v>
      </c>
      <c r="C197" s="3234">
        <v>8790</v>
      </c>
      <c r="D197" s="3234">
        <v>8730</v>
      </c>
      <c r="E197" s="3234">
        <v>11560</v>
      </c>
      <c r="F197" s="3234">
        <v>1750</v>
      </c>
      <c r="G197" s="3247">
        <v>5520</v>
      </c>
    </row>
    <row r="198" spans="1:7" s="3223" customFormat="1" ht="14.25" customHeight="1">
      <c r="A198" s="3234" t="s">
        <v>304</v>
      </c>
      <c r="B198" s="3234" t="s">
        <v>190</v>
      </c>
      <c r="C198" s="3234">
        <v>8720</v>
      </c>
      <c r="D198" s="3234">
        <v>8680</v>
      </c>
      <c r="E198" s="3234">
        <v>11470</v>
      </c>
      <c r="F198" s="3234"/>
      <c r="G198" s="3247">
        <v>5480</v>
      </c>
    </row>
    <row r="199" spans="1:7" s="3223" customFormat="1" ht="14.25" customHeight="1">
      <c r="A199" s="3234" t="s">
        <v>304</v>
      </c>
      <c r="B199" s="3234" t="s">
        <v>3088</v>
      </c>
      <c r="C199" s="3234">
        <v>8690</v>
      </c>
      <c r="D199" s="3234">
        <v>8630</v>
      </c>
      <c r="E199" s="3234">
        <v>11350</v>
      </c>
      <c r="F199" s="3234">
        <v>1600</v>
      </c>
      <c r="G199" s="3247">
        <v>5450</v>
      </c>
    </row>
    <row r="200" spans="1:7" s="3223" customFormat="1" ht="14.25" customHeight="1">
      <c r="A200" s="3234" t="s">
        <v>304</v>
      </c>
      <c r="B200" s="3234" t="s">
        <v>2899</v>
      </c>
      <c r="C200" s="3234"/>
      <c r="D200" s="3234"/>
      <c r="E200" s="3234"/>
      <c r="F200" s="3234">
        <v>1510</v>
      </c>
      <c r="G200" s="3247"/>
    </row>
    <row r="201" spans="1:7" s="3223" customFormat="1" ht="14.25" customHeight="1">
      <c r="A201" s="3234" t="s">
        <v>304</v>
      </c>
      <c r="B201" s="3234" t="s">
        <v>3089</v>
      </c>
      <c r="C201" s="3234">
        <v>8440</v>
      </c>
      <c r="D201" s="3234">
        <v>8390</v>
      </c>
      <c r="E201" s="3234">
        <v>10930</v>
      </c>
      <c r="F201" s="3234">
        <v>1500</v>
      </c>
      <c r="G201" s="3247">
        <v>5300</v>
      </c>
    </row>
    <row r="202" spans="1:7" s="3223" customFormat="1" ht="14.25" customHeight="1">
      <c r="A202" s="3234" t="s">
        <v>304</v>
      </c>
      <c r="B202" s="3234" t="s">
        <v>240</v>
      </c>
      <c r="C202" s="3234">
        <v>8530</v>
      </c>
      <c r="D202" s="3234">
        <v>8490</v>
      </c>
      <c r="E202" s="3234">
        <v>11160</v>
      </c>
      <c r="F202" s="3234">
        <v>1580</v>
      </c>
      <c r="G202" s="3247">
        <v>5360</v>
      </c>
    </row>
    <row r="203" spans="1:7" s="3223" customFormat="1" ht="14.25" customHeight="1">
      <c r="A203" s="3234" t="s">
        <v>304</v>
      </c>
      <c r="B203" s="3234" t="s">
        <v>3090</v>
      </c>
      <c r="C203" s="3234">
        <v>8130</v>
      </c>
      <c r="D203" s="3234">
        <v>8070</v>
      </c>
      <c r="E203" s="3234">
        <v>10820</v>
      </c>
      <c r="F203" s="3234">
        <v>1690</v>
      </c>
      <c r="G203" s="3247">
        <v>5100</v>
      </c>
    </row>
    <row r="204" spans="1:7" s="3223" customFormat="1" ht="14.25" customHeight="1">
      <c r="A204" s="3234" t="s">
        <v>304</v>
      </c>
      <c r="B204" s="3234" t="s">
        <v>2910</v>
      </c>
      <c r="C204" s="3234">
        <v>8350</v>
      </c>
      <c r="D204" s="3234">
        <v>8290</v>
      </c>
      <c r="E204" s="3234">
        <v>11080</v>
      </c>
      <c r="F204" s="3234">
        <v>1450</v>
      </c>
      <c r="G204" s="3247">
        <v>5240</v>
      </c>
    </row>
    <row r="205" spans="1:7" s="3223" customFormat="1" ht="14.25" customHeight="1">
      <c r="A205" s="3234" t="s">
        <v>304</v>
      </c>
      <c r="B205" s="3234" t="s">
        <v>2912</v>
      </c>
      <c r="C205" s="3234">
        <v>7190</v>
      </c>
      <c r="D205" s="3234">
        <v>7130</v>
      </c>
      <c r="E205" s="3234">
        <v>9490</v>
      </c>
      <c r="F205" s="3234">
        <v>1470</v>
      </c>
      <c r="G205" s="3247">
        <v>4510</v>
      </c>
    </row>
    <row r="206" spans="1:7" s="3223" customFormat="1" ht="14.25" customHeight="1">
      <c r="A206" s="3234" t="s">
        <v>304</v>
      </c>
      <c r="B206" s="3234" t="s">
        <v>2915</v>
      </c>
      <c r="C206" s="3234">
        <v>7000</v>
      </c>
      <c r="D206" s="3234">
        <v>6950</v>
      </c>
      <c r="E206" s="3234">
        <v>9170</v>
      </c>
      <c r="F206" s="3234">
        <v>1400</v>
      </c>
      <c r="G206" s="3247">
        <v>4380</v>
      </c>
    </row>
    <row r="207" spans="1:7" s="3223" customFormat="1" ht="14.25" customHeight="1">
      <c r="A207" s="3234" t="s">
        <v>304</v>
      </c>
      <c r="B207" s="3234" t="s">
        <v>2917</v>
      </c>
      <c r="C207" s="3234">
        <v>6950</v>
      </c>
      <c r="D207" s="3234">
        <v>6900</v>
      </c>
      <c r="E207" s="3234">
        <v>9110</v>
      </c>
      <c r="F207" s="3234">
        <v>1790</v>
      </c>
      <c r="G207" s="3247">
        <v>4360</v>
      </c>
    </row>
    <row r="208" spans="1:7" s="3223" customFormat="1" ht="14.25" customHeight="1">
      <c r="A208" s="3234" t="s">
        <v>304</v>
      </c>
      <c r="B208" s="3234" t="s">
        <v>3091</v>
      </c>
      <c r="C208" s="3234">
        <v>9470</v>
      </c>
      <c r="D208" s="3234">
        <v>9410</v>
      </c>
      <c r="E208" s="3234">
        <v>12330</v>
      </c>
      <c r="F208" s="3234">
        <v>1770</v>
      </c>
      <c r="G208" s="3247">
        <v>5940</v>
      </c>
    </row>
    <row r="209" spans="1:7" s="3223" customFormat="1" ht="14.25" customHeight="1">
      <c r="A209" s="3234" t="s">
        <v>304</v>
      </c>
      <c r="B209" s="3234" t="s">
        <v>264</v>
      </c>
      <c r="C209" s="3234">
        <v>8740</v>
      </c>
      <c r="D209" s="3234">
        <v>8700</v>
      </c>
      <c r="E209" s="3234">
        <v>11500</v>
      </c>
      <c r="F209" s="3234">
        <v>1730</v>
      </c>
      <c r="G209" s="3247">
        <v>5490</v>
      </c>
    </row>
    <row r="210" spans="1:7" s="3223" customFormat="1" ht="14.25" customHeight="1">
      <c r="A210" s="3234" t="s">
        <v>304</v>
      </c>
      <c r="B210" s="3234" t="s">
        <v>2927</v>
      </c>
      <c r="C210" s="3234">
        <v>8710</v>
      </c>
      <c r="D210" s="3234">
        <v>8660</v>
      </c>
      <c r="E210" s="3234">
        <v>11440</v>
      </c>
      <c r="F210" s="3234">
        <v>1740</v>
      </c>
      <c r="G210" s="3247">
        <v>5470</v>
      </c>
    </row>
    <row r="211" spans="1:7" s="3223" customFormat="1" ht="14.25" customHeight="1">
      <c r="A211" s="3234" t="s">
        <v>304</v>
      </c>
      <c r="B211" s="3234" t="s">
        <v>3092</v>
      </c>
      <c r="C211" s="3234">
        <v>9480</v>
      </c>
      <c r="D211" s="3234">
        <v>9430</v>
      </c>
      <c r="E211" s="3234">
        <v>12360</v>
      </c>
      <c r="F211" s="3234">
        <v>1820</v>
      </c>
      <c r="G211" s="3247">
        <v>5950</v>
      </c>
    </row>
    <row r="212" spans="1:7" s="3223" customFormat="1" ht="14.25" customHeight="1">
      <c r="A212" s="3234" t="s">
        <v>304</v>
      </c>
      <c r="B212" s="3234" t="s">
        <v>285</v>
      </c>
      <c r="C212" s="3234">
        <v>9070</v>
      </c>
      <c r="D212" s="3234">
        <v>9020</v>
      </c>
      <c r="E212" s="3234">
        <v>11720</v>
      </c>
      <c r="F212" s="3234">
        <v>1850</v>
      </c>
      <c r="G212" s="3247">
        <v>5700</v>
      </c>
    </row>
    <row r="213" spans="1:7" s="3223" customFormat="1" ht="14.25" customHeight="1">
      <c r="A213" s="3234" t="s">
        <v>304</v>
      </c>
      <c r="B213" s="3234" t="s">
        <v>288</v>
      </c>
      <c r="C213" s="3234">
        <v>9030</v>
      </c>
      <c r="D213" s="3234">
        <v>8980</v>
      </c>
      <c r="E213" s="3234">
        <v>11670</v>
      </c>
      <c r="F213" s="3234">
        <v>1690</v>
      </c>
      <c r="G213" s="3247">
        <v>5670</v>
      </c>
    </row>
    <row r="214" spans="1:7" s="3223" customFormat="1" ht="14.25" customHeight="1">
      <c r="A214" s="3234" t="s">
        <v>304</v>
      </c>
      <c r="B214" s="3234" t="s">
        <v>3093</v>
      </c>
      <c r="C214" s="3234">
        <v>8090</v>
      </c>
      <c r="D214" s="3234">
        <v>8030</v>
      </c>
      <c r="E214" s="3234">
        <v>10780</v>
      </c>
      <c r="F214" s="3234">
        <v>1570</v>
      </c>
      <c r="G214" s="3247">
        <v>5070</v>
      </c>
    </row>
    <row r="215" spans="1:7" s="3223" customFormat="1" ht="14.25" customHeight="1">
      <c r="A215" s="3234" t="s">
        <v>304</v>
      </c>
      <c r="B215" s="3234" t="s">
        <v>3094</v>
      </c>
      <c r="C215" s="3234">
        <v>7950</v>
      </c>
      <c r="D215" s="3234">
        <v>7900</v>
      </c>
      <c r="E215" s="3234">
        <v>10560</v>
      </c>
      <c r="F215" s="3234">
        <v>1630</v>
      </c>
      <c r="G215" s="3247">
        <v>4990</v>
      </c>
    </row>
    <row r="216" spans="1:7" s="3223" customFormat="1" ht="14.25" customHeight="1">
      <c r="A216" s="3234" t="s">
        <v>304</v>
      </c>
      <c r="B216" s="3234" t="s">
        <v>3095</v>
      </c>
      <c r="C216" s="3234">
        <v>8490</v>
      </c>
      <c r="D216" s="3234">
        <v>8440</v>
      </c>
      <c r="E216" s="3234">
        <v>11260</v>
      </c>
      <c r="F216" s="3234">
        <v>1690</v>
      </c>
      <c r="G216" s="3247">
        <v>5330</v>
      </c>
    </row>
    <row r="217" spans="1:7" s="3223" customFormat="1" ht="14.25" customHeight="1">
      <c r="A217" s="3234" t="s">
        <v>304</v>
      </c>
      <c r="B217" s="3234" t="s">
        <v>2960</v>
      </c>
      <c r="C217" s="3234">
        <v>8200</v>
      </c>
      <c r="D217" s="3234">
        <v>8150</v>
      </c>
      <c r="E217" s="3234">
        <v>10910</v>
      </c>
      <c r="F217" s="3234">
        <v>1670</v>
      </c>
      <c r="G217" s="3247">
        <v>5150</v>
      </c>
    </row>
    <row r="218" spans="1:7" s="3223" customFormat="1" ht="14.25" customHeight="1">
      <c r="A218" s="3234" t="s">
        <v>304</v>
      </c>
      <c r="B218" s="3234" t="s">
        <v>3096</v>
      </c>
      <c r="C218" s="3234"/>
      <c r="D218" s="3234"/>
      <c r="E218" s="3234"/>
      <c r="F218" s="3234">
        <v>2040</v>
      </c>
      <c r="G218" s="3247"/>
    </row>
    <row r="219" spans="1:7" s="3223" customFormat="1" ht="14.25" customHeight="1">
      <c r="A219" s="3234" t="s">
        <v>304</v>
      </c>
      <c r="B219" s="3234" t="s">
        <v>3097</v>
      </c>
      <c r="C219" s="3234"/>
      <c r="D219" s="3234"/>
      <c r="E219" s="3234"/>
      <c r="F219" s="3234">
        <v>2040</v>
      </c>
      <c r="G219" s="3247"/>
    </row>
    <row r="220" spans="1:7" s="3223" customFormat="1" ht="14.25" customHeight="1">
      <c r="A220" s="3234" t="s">
        <v>304</v>
      </c>
      <c r="B220" s="3234" t="s">
        <v>3098</v>
      </c>
      <c r="C220" s="3234"/>
      <c r="D220" s="3234"/>
      <c r="E220" s="3234"/>
      <c r="F220" s="3234">
        <v>2040</v>
      </c>
      <c r="G220" s="3247"/>
    </row>
    <row r="221" spans="1:7" s="3223" customFormat="1" ht="14.25" customHeight="1">
      <c r="A221" s="3234" t="s">
        <v>304</v>
      </c>
      <c r="B221" s="3234" t="s">
        <v>3099</v>
      </c>
      <c r="C221" s="3234"/>
      <c r="D221" s="3234"/>
      <c r="E221" s="3234"/>
      <c r="F221" s="3234">
        <v>2040</v>
      </c>
      <c r="G221" s="3247"/>
    </row>
    <row r="222" spans="1:7" s="3223" customFormat="1" ht="14.25" customHeight="1">
      <c r="A222" s="3234" t="s">
        <v>304</v>
      </c>
      <c r="B222" s="3234" t="s">
        <v>3100</v>
      </c>
      <c r="C222" s="3234"/>
      <c r="D222" s="3234"/>
      <c r="E222" s="3234"/>
      <c r="F222" s="3234">
        <v>2040</v>
      </c>
      <c r="G222" s="3247"/>
    </row>
    <row r="223" spans="1:7" s="3223" customFormat="1" ht="14.25" customHeight="1">
      <c r="A223" s="3234" t="s">
        <v>304</v>
      </c>
      <c r="B223" s="3234" t="s">
        <v>3101</v>
      </c>
      <c r="C223" s="3234"/>
      <c r="D223" s="3234"/>
      <c r="E223" s="3234"/>
      <c r="F223" s="3234">
        <v>1930</v>
      </c>
      <c r="G223" s="3247"/>
    </row>
    <row r="224" spans="1:7" s="3223" customFormat="1" ht="14.25" customHeight="1">
      <c r="A224" s="3234" t="s">
        <v>304</v>
      </c>
      <c r="B224" s="3234" t="s">
        <v>3102</v>
      </c>
      <c r="C224" s="3234"/>
      <c r="D224" s="3234"/>
      <c r="E224" s="3234"/>
      <c r="F224" s="3234">
        <v>1930</v>
      </c>
      <c r="G224" s="3247"/>
    </row>
    <row r="225" spans="1:7" s="3223" customFormat="1" ht="14.25" customHeight="1">
      <c r="A225" s="3234" t="s">
        <v>304</v>
      </c>
      <c r="B225" s="3234" t="s">
        <v>3103</v>
      </c>
      <c r="C225" s="3234"/>
      <c r="D225" s="3234"/>
      <c r="E225" s="3234"/>
      <c r="F225" s="3234">
        <v>1930</v>
      </c>
      <c r="G225" s="3247"/>
    </row>
    <row r="226" spans="1:7" s="3223" customFormat="1" ht="14.25" customHeight="1">
      <c r="A226" s="3234" t="s">
        <v>304</v>
      </c>
      <c r="B226" s="3234" t="s">
        <v>3104</v>
      </c>
      <c r="C226" s="3234"/>
      <c r="D226" s="3234"/>
      <c r="E226" s="3234"/>
      <c r="F226" s="3234">
        <v>1700</v>
      </c>
      <c r="G226" s="3247"/>
    </row>
    <row r="227" spans="1:7" s="3223" customFormat="1" ht="14.25" customHeight="1">
      <c r="A227" s="3234" t="s">
        <v>304</v>
      </c>
      <c r="B227" s="3234" t="s">
        <v>3105</v>
      </c>
      <c r="C227" s="3234"/>
      <c r="D227" s="3234"/>
      <c r="E227" s="3234"/>
      <c r="F227" s="3234">
        <v>1520</v>
      </c>
      <c r="G227" s="3247"/>
    </row>
    <row r="228" spans="1:7" s="3223" customFormat="1" ht="14.25" customHeight="1">
      <c r="A228" s="3234" t="s">
        <v>304</v>
      </c>
      <c r="B228" s="3234" t="s">
        <v>3106</v>
      </c>
      <c r="C228" s="3234"/>
      <c r="D228" s="3234"/>
      <c r="E228" s="3234"/>
      <c r="F228" s="3234">
        <v>1520</v>
      </c>
      <c r="G228" s="3247"/>
    </row>
    <row r="229" spans="1:7" s="3223" customFormat="1" ht="14.25" customHeight="1">
      <c r="A229" s="3234" t="s">
        <v>304</v>
      </c>
      <c r="B229" s="3234" t="s">
        <v>3023</v>
      </c>
      <c r="C229" s="3234"/>
      <c r="D229" s="3234"/>
      <c r="E229" s="3234"/>
      <c r="F229" s="3234">
        <v>1520</v>
      </c>
      <c r="G229" s="3247"/>
    </row>
    <row r="230" spans="1:7" s="3223" customFormat="1" ht="14.25" customHeight="1">
      <c r="A230" s="3234" t="s">
        <v>304</v>
      </c>
      <c r="B230" s="3234" t="s">
        <v>3107</v>
      </c>
      <c r="C230" s="3234"/>
      <c r="D230" s="3234"/>
      <c r="E230" s="3234"/>
      <c r="F230" s="3234">
        <v>1820</v>
      </c>
      <c r="G230" s="3247"/>
    </row>
    <row r="231" spans="1:7" s="3223" customFormat="1" ht="14.25" customHeight="1">
      <c r="A231" s="3234" t="s">
        <v>304</v>
      </c>
      <c r="B231" s="3234" t="s">
        <v>3108</v>
      </c>
      <c r="C231" s="3234"/>
      <c r="D231" s="3234"/>
      <c r="E231" s="3234"/>
      <c r="F231" s="3234">
        <v>1760</v>
      </c>
      <c r="G231" s="3247"/>
    </row>
    <row r="232" spans="1:7" s="3223" customFormat="1" ht="14.25" customHeight="1">
      <c r="A232" s="3234" t="s">
        <v>304</v>
      </c>
      <c r="B232" s="3234" t="s">
        <v>3109</v>
      </c>
      <c r="C232" s="3234"/>
      <c r="D232" s="3234"/>
      <c r="E232" s="3234"/>
      <c r="F232" s="3234">
        <v>1840</v>
      </c>
      <c r="G232" s="3247"/>
    </row>
    <row r="233" spans="1:7" s="3223" customFormat="1" ht="14.25" customHeight="1" thickBot="1">
      <c r="A233" s="3248" t="s">
        <v>304</v>
      </c>
      <c r="B233" s="3241" t="s">
        <v>3040</v>
      </c>
      <c r="C233" s="3241"/>
      <c r="D233" s="3241"/>
      <c r="E233" s="3241"/>
      <c r="F233" s="3241">
        <v>1770</v>
      </c>
      <c r="G233" s="3249"/>
    </row>
    <row r="234" spans="1:7" s="3223" customFormat="1" ht="14.25" customHeight="1">
      <c r="A234" s="3239" t="s">
        <v>305</v>
      </c>
      <c r="B234" s="3230" t="s">
        <v>3110</v>
      </c>
      <c r="C234" s="3234">
        <v>6980</v>
      </c>
      <c r="D234" s="3234">
        <v>6970</v>
      </c>
      <c r="E234" s="3234">
        <v>8720</v>
      </c>
      <c r="F234" s="3234">
        <v>1350</v>
      </c>
      <c r="G234" s="3234">
        <v>4280</v>
      </c>
    </row>
    <row r="235" spans="1:7" s="3223" customFormat="1" ht="14.25" customHeight="1">
      <c r="A235" s="3234" t="s">
        <v>305</v>
      </c>
      <c r="B235" s="3234" t="s">
        <v>134</v>
      </c>
      <c r="C235" s="3234">
        <v>7620</v>
      </c>
      <c r="D235" s="3234">
        <v>7580</v>
      </c>
      <c r="E235" s="3234">
        <v>9360</v>
      </c>
      <c r="F235" s="3234">
        <v>1490</v>
      </c>
      <c r="G235" s="3234">
        <v>4650</v>
      </c>
    </row>
    <row r="236" spans="1:7" s="3223" customFormat="1" ht="14.25" customHeight="1">
      <c r="A236" s="3234" t="s">
        <v>305</v>
      </c>
      <c r="B236" s="3234" t="s">
        <v>143</v>
      </c>
      <c r="C236" s="3234">
        <v>6650</v>
      </c>
      <c r="D236" s="3234">
        <v>6630</v>
      </c>
      <c r="E236" s="3234">
        <v>8330</v>
      </c>
      <c r="F236" s="3234">
        <v>1250</v>
      </c>
      <c r="G236" s="3234">
        <v>4070</v>
      </c>
    </row>
    <row r="237" spans="1:7" s="3223" customFormat="1" ht="14.25" customHeight="1">
      <c r="A237" s="3234" t="s">
        <v>305</v>
      </c>
      <c r="B237" s="3234" t="s">
        <v>152</v>
      </c>
      <c r="C237" s="3234">
        <v>5850</v>
      </c>
      <c r="D237" s="3234">
        <v>5820</v>
      </c>
      <c r="E237" s="3234">
        <v>7260</v>
      </c>
      <c r="F237" s="3234">
        <v>1140</v>
      </c>
      <c r="G237" s="3234">
        <v>3570</v>
      </c>
    </row>
    <row r="238" spans="1:7" s="3223" customFormat="1" ht="14.25" customHeight="1">
      <c r="A238" s="3234" t="s">
        <v>305</v>
      </c>
      <c r="B238" s="3234" t="s">
        <v>2881</v>
      </c>
      <c r="C238" s="3234">
        <v>6920</v>
      </c>
      <c r="D238" s="3234">
        <v>6890</v>
      </c>
      <c r="E238" s="3234">
        <v>8640</v>
      </c>
      <c r="F238" s="3234">
        <v>1310</v>
      </c>
      <c r="G238" s="3234">
        <v>4230</v>
      </c>
    </row>
    <row r="239" spans="1:7" s="3223" customFormat="1" ht="14.25" customHeight="1">
      <c r="A239" s="3234" t="s">
        <v>305</v>
      </c>
      <c r="B239" s="3234" t="s">
        <v>3111</v>
      </c>
      <c r="C239" s="3234">
        <v>6780</v>
      </c>
      <c r="D239" s="3234">
        <v>6750</v>
      </c>
      <c r="E239" s="3234">
        <v>8440</v>
      </c>
      <c r="F239" s="3234">
        <v>1160</v>
      </c>
      <c r="G239" s="3234">
        <v>4140</v>
      </c>
    </row>
    <row r="240" spans="1:7" s="3223" customFormat="1" ht="14.25" customHeight="1">
      <c r="A240" s="3234" t="s">
        <v>305</v>
      </c>
      <c r="B240" s="3234" t="s">
        <v>3112</v>
      </c>
      <c r="C240" s="3234">
        <v>5420</v>
      </c>
      <c r="D240" s="3234">
        <v>5380</v>
      </c>
      <c r="E240" s="3234">
        <v>6640</v>
      </c>
      <c r="F240" s="3234">
        <v>1020</v>
      </c>
      <c r="G240" s="3234">
        <v>3300</v>
      </c>
    </row>
    <row r="241" spans="1:7" s="3223" customFormat="1" ht="14.25" customHeight="1">
      <c r="A241" s="3234" t="s">
        <v>305</v>
      </c>
      <c r="B241" s="3234" t="s">
        <v>3113</v>
      </c>
      <c r="C241" s="3234">
        <v>6660</v>
      </c>
      <c r="D241" s="3234">
        <v>6640</v>
      </c>
      <c r="E241" s="3234">
        <v>8340</v>
      </c>
      <c r="F241" s="3234">
        <v>1130</v>
      </c>
      <c r="G241" s="3234">
        <v>4080</v>
      </c>
    </row>
    <row r="242" spans="1:7" s="3223" customFormat="1" ht="14.25" customHeight="1">
      <c r="A242" s="3234" t="s">
        <v>305</v>
      </c>
      <c r="B242" s="3234" t="s">
        <v>181</v>
      </c>
      <c r="C242" s="3234">
        <v>6580</v>
      </c>
      <c r="D242" s="3234">
        <v>6550</v>
      </c>
      <c r="E242" s="3234">
        <v>8090</v>
      </c>
      <c r="F242" s="3234">
        <v>1240</v>
      </c>
      <c r="G242" s="3234">
        <v>4020</v>
      </c>
    </row>
    <row r="243" spans="1:7" s="3223" customFormat="1" ht="14.25" customHeight="1">
      <c r="A243" s="3234" t="s">
        <v>305</v>
      </c>
      <c r="B243" s="3234" t="s">
        <v>191</v>
      </c>
      <c r="C243" s="3234">
        <v>6000</v>
      </c>
      <c r="D243" s="3234">
        <v>5970</v>
      </c>
      <c r="E243" s="3234">
        <v>7370</v>
      </c>
      <c r="F243" s="3234">
        <v>1070</v>
      </c>
      <c r="G243" s="3234">
        <v>3670</v>
      </c>
    </row>
    <row r="244" spans="1:7" s="3223" customFormat="1" ht="14.25" customHeight="1">
      <c r="A244" s="3234" t="s">
        <v>305</v>
      </c>
      <c r="B244" s="3234" t="s">
        <v>3114</v>
      </c>
      <c r="C244" s="3234">
        <v>5840</v>
      </c>
      <c r="D244" s="3234">
        <v>5810</v>
      </c>
      <c r="E244" s="3234">
        <v>7240</v>
      </c>
      <c r="F244" s="3234">
        <v>1100</v>
      </c>
      <c r="G244" s="3234">
        <v>3560</v>
      </c>
    </row>
    <row r="245" spans="1:7" s="3223" customFormat="1" ht="14.25" customHeight="1">
      <c r="A245" s="3234" t="s">
        <v>305</v>
      </c>
      <c r="B245" s="3234" t="s">
        <v>206</v>
      </c>
      <c r="C245" s="3234">
        <v>6040</v>
      </c>
      <c r="D245" s="3234">
        <v>6000</v>
      </c>
      <c r="E245" s="3234">
        <v>7420</v>
      </c>
      <c r="F245" s="3234">
        <v>1140</v>
      </c>
      <c r="G245" s="3234">
        <v>3690</v>
      </c>
    </row>
    <row r="246" spans="1:7" s="3223" customFormat="1" ht="14.25" customHeight="1">
      <c r="A246" s="3234" t="s">
        <v>305</v>
      </c>
      <c r="B246" s="3234" t="s">
        <v>213</v>
      </c>
      <c r="C246" s="3234">
        <v>5890</v>
      </c>
      <c r="D246" s="3234">
        <v>5860</v>
      </c>
      <c r="E246" s="3234">
        <v>7300</v>
      </c>
      <c r="F246" s="3234">
        <v>1110</v>
      </c>
      <c r="G246" s="3234">
        <v>3590</v>
      </c>
    </row>
    <row r="247" spans="1:7" s="3223" customFormat="1" ht="14.25" customHeight="1">
      <c r="A247" s="3234" t="s">
        <v>305</v>
      </c>
      <c r="B247" s="3234" t="s">
        <v>3115</v>
      </c>
      <c r="C247" s="3234">
        <v>6480</v>
      </c>
      <c r="D247" s="3234">
        <v>6450</v>
      </c>
      <c r="E247" s="3234">
        <v>8010</v>
      </c>
      <c r="F247" s="3234">
        <v>1170</v>
      </c>
      <c r="G247" s="3234">
        <v>3960</v>
      </c>
    </row>
    <row r="248" spans="1:7" s="3223" customFormat="1" ht="14.25" customHeight="1">
      <c r="A248" s="3234" t="s">
        <v>305</v>
      </c>
      <c r="B248" s="3234" t="s">
        <v>227</v>
      </c>
      <c r="C248" s="3234">
        <v>6860</v>
      </c>
      <c r="D248" s="3234">
        <v>6840</v>
      </c>
      <c r="E248" s="3234">
        <v>8520</v>
      </c>
      <c r="F248" s="3234">
        <v>1240</v>
      </c>
      <c r="G248" s="3234">
        <v>4200</v>
      </c>
    </row>
    <row r="249" spans="1:7" s="3223" customFormat="1" ht="14.25" customHeight="1">
      <c r="A249" s="3234" t="s">
        <v>305</v>
      </c>
      <c r="B249" s="3234" t="s">
        <v>3116</v>
      </c>
      <c r="C249" s="3234">
        <v>7180</v>
      </c>
      <c r="D249" s="3234">
        <v>7140</v>
      </c>
      <c r="E249" s="3234">
        <v>8900</v>
      </c>
      <c r="F249" s="3234">
        <v>1350</v>
      </c>
      <c r="G249" s="3234">
        <v>4380</v>
      </c>
    </row>
    <row r="250" spans="1:7" s="3223" customFormat="1" ht="14.25" customHeight="1">
      <c r="A250" s="3234" t="s">
        <v>305</v>
      </c>
      <c r="B250" s="3234" t="s">
        <v>241</v>
      </c>
      <c r="C250" s="3234">
        <v>6880</v>
      </c>
      <c r="D250" s="3234">
        <v>6860</v>
      </c>
      <c r="E250" s="3234">
        <v>8550</v>
      </c>
      <c r="F250" s="3234">
        <v>1220</v>
      </c>
      <c r="G250" s="3234">
        <v>4210</v>
      </c>
    </row>
    <row r="251" spans="1:7" s="3223" customFormat="1" ht="14.25" customHeight="1">
      <c r="A251" s="3234" t="s">
        <v>305</v>
      </c>
      <c r="B251" s="3234" t="s">
        <v>249</v>
      </c>
      <c r="C251" s="3234"/>
      <c r="D251" s="3234"/>
      <c r="E251" s="3234"/>
      <c r="F251" s="3234">
        <v>1100</v>
      </c>
      <c r="G251" s="3234"/>
    </row>
    <row r="252" spans="1:7" s="3223" customFormat="1" ht="14.25" customHeight="1">
      <c r="A252" s="3234" t="s">
        <v>305</v>
      </c>
      <c r="B252" s="3234" t="s">
        <v>3117</v>
      </c>
      <c r="C252" s="3234">
        <v>7240</v>
      </c>
      <c r="D252" s="3234">
        <v>7200</v>
      </c>
      <c r="E252" s="3234">
        <v>9040</v>
      </c>
      <c r="F252" s="3234">
        <v>1380</v>
      </c>
      <c r="G252" s="3234">
        <v>4420</v>
      </c>
    </row>
    <row r="253" spans="1:7" s="3223" customFormat="1" ht="14.25" customHeight="1">
      <c r="A253" s="3234" t="s">
        <v>305</v>
      </c>
      <c r="B253" s="3234" t="s">
        <v>283</v>
      </c>
      <c r="C253" s="3234">
        <v>6670</v>
      </c>
      <c r="D253" s="3234">
        <v>6650</v>
      </c>
      <c r="E253" s="3234">
        <v>8350</v>
      </c>
      <c r="F253" s="3234">
        <v>1260</v>
      </c>
      <c r="G253" s="3234">
        <v>4080</v>
      </c>
    </row>
    <row r="254" spans="1:7" s="3223" customFormat="1" ht="14.25" customHeight="1">
      <c r="A254" s="3234" t="s">
        <v>305</v>
      </c>
      <c r="B254" s="3234" t="s">
        <v>286</v>
      </c>
      <c r="C254" s="3234">
        <v>7630</v>
      </c>
      <c r="D254" s="3234">
        <v>7590</v>
      </c>
      <c r="E254" s="3234">
        <v>9380</v>
      </c>
      <c r="F254" s="3234">
        <v>1320</v>
      </c>
      <c r="G254" s="3234">
        <v>4660</v>
      </c>
    </row>
    <row r="255" spans="1:7" s="3223" customFormat="1" ht="14.25" customHeight="1">
      <c r="A255" s="3234" t="s">
        <v>305</v>
      </c>
      <c r="B255" s="3234" t="s">
        <v>289</v>
      </c>
      <c r="C255" s="3234">
        <v>6940</v>
      </c>
      <c r="D255" s="3234">
        <v>6890</v>
      </c>
      <c r="E255" s="3234">
        <v>8650</v>
      </c>
      <c r="F255" s="3234">
        <v>1210</v>
      </c>
      <c r="G255" s="3234">
        <v>4230</v>
      </c>
    </row>
    <row r="256" spans="1:7" s="3223" customFormat="1" ht="14.25" customHeight="1">
      <c r="A256" s="3234" t="s">
        <v>305</v>
      </c>
      <c r="B256" s="3234" t="s">
        <v>3118</v>
      </c>
      <c r="C256" s="3234">
        <v>7520</v>
      </c>
      <c r="D256" s="3234">
        <v>7490</v>
      </c>
      <c r="E256" s="3234">
        <v>9240</v>
      </c>
      <c r="F256" s="3234">
        <v>1270</v>
      </c>
      <c r="G256" s="3234">
        <v>4590</v>
      </c>
    </row>
    <row r="257" spans="1:7" s="3223" customFormat="1" ht="14.25" customHeight="1">
      <c r="A257" s="3234" t="s">
        <v>305</v>
      </c>
      <c r="B257" s="3234" t="s">
        <v>275</v>
      </c>
      <c r="C257" s="3234">
        <v>6280</v>
      </c>
      <c r="D257" s="3234">
        <v>6230</v>
      </c>
      <c r="E257" s="3234">
        <v>7740</v>
      </c>
      <c r="F257" s="3234">
        <v>1080</v>
      </c>
      <c r="G257" s="3234">
        <v>3830</v>
      </c>
    </row>
    <row r="258" spans="1:7" s="3223" customFormat="1" ht="14.25" customHeight="1">
      <c r="A258" s="3234" t="s">
        <v>305</v>
      </c>
      <c r="B258" s="3234" t="s">
        <v>2943</v>
      </c>
      <c r="C258" s="3234">
        <v>6190</v>
      </c>
      <c r="D258" s="3234">
        <v>6160</v>
      </c>
      <c r="E258" s="3234">
        <v>7680</v>
      </c>
      <c r="F258" s="3234">
        <v>1170</v>
      </c>
      <c r="G258" s="3234">
        <v>3780</v>
      </c>
    </row>
    <row r="259" spans="1:7" s="3223" customFormat="1" ht="14.25" customHeight="1">
      <c r="A259" s="3234" t="s">
        <v>305</v>
      </c>
      <c r="B259" s="3234" t="s">
        <v>3119</v>
      </c>
      <c r="C259" s="3234">
        <v>7610</v>
      </c>
      <c r="D259" s="3234">
        <v>7570</v>
      </c>
      <c r="E259" s="3234">
        <v>9350</v>
      </c>
      <c r="F259" s="3234">
        <v>1350</v>
      </c>
      <c r="G259" s="3234">
        <v>4650</v>
      </c>
    </row>
    <row r="260" spans="1:7" s="3223" customFormat="1" ht="14.25" customHeight="1">
      <c r="A260" s="3234" t="s">
        <v>305</v>
      </c>
      <c r="B260" s="3234" t="s">
        <v>3120</v>
      </c>
      <c r="C260" s="3234">
        <v>6920</v>
      </c>
      <c r="D260" s="3234">
        <v>6880</v>
      </c>
      <c r="E260" s="3234">
        <v>8380</v>
      </c>
      <c r="F260" s="3234">
        <v>1160</v>
      </c>
      <c r="G260" s="3234">
        <v>4220</v>
      </c>
    </row>
    <row r="261" spans="1:7" s="3223" customFormat="1" ht="14.25" customHeight="1">
      <c r="A261" s="3234" t="s">
        <v>305</v>
      </c>
      <c r="B261" s="3234" t="s">
        <v>3121</v>
      </c>
      <c r="C261" s="3234">
        <v>6850</v>
      </c>
      <c r="D261" s="3234">
        <v>6810</v>
      </c>
      <c r="E261" s="3234">
        <v>8290</v>
      </c>
      <c r="F261" s="3234">
        <v>1130</v>
      </c>
      <c r="G261" s="3234">
        <v>4180</v>
      </c>
    </row>
    <row r="262" spans="1:7" s="3223" customFormat="1" ht="14.25" customHeight="1">
      <c r="A262" s="3234" t="s">
        <v>305</v>
      </c>
      <c r="B262" s="3234" t="s">
        <v>3122</v>
      </c>
      <c r="C262" s="3234">
        <v>5860</v>
      </c>
      <c r="D262" s="3234">
        <v>5820</v>
      </c>
      <c r="E262" s="3234">
        <v>7640</v>
      </c>
      <c r="F262" s="3234">
        <v>1070</v>
      </c>
      <c r="G262" s="3234">
        <v>3570</v>
      </c>
    </row>
    <row r="263" spans="1:7" s="3223" customFormat="1" ht="14.25" customHeight="1">
      <c r="A263" s="3234" t="s">
        <v>305</v>
      </c>
      <c r="B263" s="3234" t="s">
        <v>3123</v>
      </c>
      <c r="C263" s="3234">
        <v>5870</v>
      </c>
      <c r="D263" s="3234">
        <v>5840</v>
      </c>
      <c r="E263" s="3234">
        <v>7270</v>
      </c>
      <c r="F263" s="3234">
        <v>1190</v>
      </c>
      <c r="G263" s="3234">
        <v>3580</v>
      </c>
    </row>
    <row r="264" spans="1:7" s="3223" customFormat="1" ht="14.25" customHeight="1">
      <c r="A264" s="3234" t="s">
        <v>305</v>
      </c>
      <c r="B264" s="3234" t="s">
        <v>299</v>
      </c>
      <c r="C264" s="3234">
        <v>6190</v>
      </c>
      <c r="D264" s="3234">
        <v>6150</v>
      </c>
      <c r="E264" s="3234">
        <v>7660</v>
      </c>
      <c r="F264" s="3234">
        <v>1160</v>
      </c>
      <c r="G264" s="3234">
        <v>3770</v>
      </c>
    </row>
    <row r="265" spans="1:7" s="3223" customFormat="1" ht="14.25" customHeight="1">
      <c r="A265" s="3234" t="s">
        <v>305</v>
      </c>
      <c r="B265" s="3234" t="s">
        <v>3124</v>
      </c>
      <c r="C265" s="3234"/>
      <c r="D265" s="3234"/>
      <c r="E265" s="3234"/>
      <c r="F265" s="3234">
        <v>1500</v>
      </c>
      <c r="G265" s="3234"/>
    </row>
    <row r="266" spans="1:7" s="3223" customFormat="1" ht="14.25" customHeight="1">
      <c r="A266" s="3234" t="s">
        <v>305</v>
      </c>
      <c r="B266" s="3234" t="s">
        <v>3125</v>
      </c>
      <c r="C266" s="3234"/>
      <c r="D266" s="3234"/>
      <c r="E266" s="3234"/>
      <c r="F266" s="3234">
        <v>1500</v>
      </c>
      <c r="G266" s="3234"/>
    </row>
    <row r="267" spans="1:7" s="3223" customFormat="1" ht="14.25" customHeight="1">
      <c r="A267" s="3234" t="s">
        <v>305</v>
      </c>
      <c r="B267" s="3234" t="s">
        <v>3126</v>
      </c>
      <c r="C267" s="3234"/>
      <c r="D267" s="3234"/>
      <c r="E267" s="3234"/>
      <c r="F267" s="3234">
        <v>1500</v>
      </c>
      <c r="G267" s="3234"/>
    </row>
    <row r="268" spans="1:7" s="3223" customFormat="1" ht="14.25" customHeight="1">
      <c r="A268" s="3234" t="s">
        <v>305</v>
      </c>
      <c r="B268" s="3234" t="s">
        <v>3127</v>
      </c>
      <c r="C268" s="3234"/>
      <c r="D268" s="3234"/>
      <c r="E268" s="3234"/>
      <c r="F268" s="3234">
        <v>1290</v>
      </c>
      <c r="G268" s="3234"/>
    </row>
    <row r="269" spans="1:7" s="3223" customFormat="1" ht="14.25" customHeight="1">
      <c r="A269" s="3234" t="s">
        <v>305</v>
      </c>
      <c r="B269" s="3234" t="s">
        <v>3128</v>
      </c>
      <c r="C269" s="3234"/>
      <c r="D269" s="3234"/>
      <c r="E269" s="3234"/>
      <c r="F269" s="3234">
        <v>1150</v>
      </c>
      <c r="G269" s="3234"/>
    </row>
    <row r="270" spans="1:7" s="3223" customFormat="1" ht="14.25" customHeight="1">
      <c r="A270" s="3234" t="s">
        <v>305</v>
      </c>
      <c r="B270" s="3234" t="s">
        <v>3129</v>
      </c>
      <c r="C270" s="3234"/>
      <c r="D270" s="3234"/>
      <c r="E270" s="3234"/>
      <c r="F270" s="3234">
        <v>1380</v>
      </c>
      <c r="G270" s="3234"/>
    </row>
    <row r="271" spans="1:7" s="3223" customFormat="1" ht="14.25" customHeight="1">
      <c r="A271" s="3234" t="s">
        <v>305</v>
      </c>
      <c r="B271" s="3234" t="s">
        <v>3130</v>
      </c>
      <c r="C271" s="3234"/>
      <c r="D271" s="3234"/>
      <c r="E271" s="3234"/>
      <c r="F271" s="3234">
        <v>1460</v>
      </c>
      <c r="G271" s="3234"/>
    </row>
    <row r="272" spans="1:7" s="3223" customFormat="1" ht="14.25" customHeight="1">
      <c r="A272" s="3234" t="s">
        <v>305</v>
      </c>
      <c r="B272" s="3234" t="s">
        <v>3131</v>
      </c>
      <c r="C272" s="3234"/>
      <c r="D272" s="3234"/>
      <c r="E272" s="3234"/>
      <c r="F272" s="3234">
        <v>1460</v>
      </c>
      <c r="G272" s="3234"/>
    </row>
    <row r="273" spans="1:7" s="3223" customFormat="1" ht="14.25" customHeight="1">
      <c r="A273" s="3234" t="s">
        <v>305</v>
      </c>
      <c r="B273" s="3234" t="s">
        <v>3024</v>
      </c>
      <c r="C273" s="3234"/>
      <c r="D273" s="3234"/>
      <c r="E273" s="3234"/>
      <c r="F273" s="3234">
        <v>1490</v>
      </c>
      <c r="G273" s="3234"/>
    </row>
    <row r="274" spans="1:7" s="3223" customFormat="1" ht="14.25" customHeight="1">
      <c r="A274" s="3234" t="s">
        <v>305</v>
      </c>
      <c r="B274" s="3234" t="s">
        <v>3132</v>
      </c>
      <c r="C274" s="3234"/>
      <c r="D274" s="3234"/>
      <c r="E274" s="3234"/>
      <c r="F274" s="3234">
        <v>1490</v>
      </c>
      <c r="G274" s="3234"/>
    </row>
    <row r="275" spans="1:7" s="3223" customFormat="1" ht="14.25" customHeight="1">
      <c r="A275" s="3234" t="s">
        <v>305</v>
      </c>
      <c r="B275" s="3234" t="s">
        <v>3133</v>
      </c>
      <c r="C275" s="3234"/>
      <c r="D275" s="3234"/>
      <c r="E275" s="3234"/>
      <c r="F275" s="3234">
        <v>1220</v>
      </c>
      <c r="G275" s="3234"/>
    </row>
    <row r="276" spans="1:7" s="3223" customFormat="1" ht="14.25" customHeight="1" thickBot="1">
      <c r="A276" s="3242" t="s">
        <v>305</v>
      </c>
      <c r="B276" s="3244" t="s">
        <v>3134</v>
      </c>
      <c r="C276" s="3245"/>
      <c r="D276" s="3245"/>
      <c r="E276" s="3245"/>
      <c r="F276" s="3245">
        <v>1380</v>
      </c>
      <c r="G276" s="3245"/>
    </row>
    <row r="277" spans="1:7" s="3223" customFormat="1" ht="14.25" customHeight="1">
      <c r="A277" s="3239" t="s">
        <v>306</v>
      </c>
      <c r="B277" s="3230" t="s">
        <v>3135</v>
      </c>
      <c r="C277" s="3230">
        <v>5790</v>
      </c>
      <c r="D277" s="3230">
        <v>5740</v>
      </c>
      <c r="E277" s="3230">
        <v>6730</v>
      </c>
      <c r="F277" s="3230">
        <v>1110</v>
      </c>
      <c r="G277" s="3246">
        <v>3460</v>
      </c>
    </row>
    <row r="278" spans="1:7" s="3223" customFormat="1" ht="14.25" customHeight="1">
      <c r="A278" s="3234" t="s">
        <v>306</v>
      </c>
      <c r="B278" s="3234" t="s">
        <v>135</v>
      </c>
      <c r="C278" s="3234">
        <v>5740</v>
      </c>
      <c r="D278" s="3234">
        <v>5670</v>
      </c>
      <c r="E278" s="3234">
        <v>6680</v>
      </c>
      <c r="F278" s="3234">
        <v>1070</v>
      </c>
      <c r="G278" s="3247">
        <v>3420</v>
      </c>
    </row>
    <row r="279" spans="1:7" s="3223" customFormat="1" ht="14.25" customHeight="1">
      <c r="A279" s="3234" t="s">
        <v>306</v>
      </c>
      <c r="B279" s="3234" t="s">
        <v>3136</v>
      </c>
      <c r="C279" s="3234">
        <v>4760</v>
      </c>
      <c r="D279" s="3234">
        <v>4720</v>
      </c>
      <c r="E279" s="3234">
        <v>5540</v>
      </c>
      <c r="F279" s="3234">
        <v>810</v>
      </c>
      <c r="G279" s="3247">
        <v>2850</v>
      </c>
    </row>
    <row r="280" spans="1:7" s="3223" customFormat="1" ht="14.25" customHeight="1">
      <c r="A280" s="3234" t="s">
        <v>306</v>
      </c>
      <c r="B280" s="3234" t="s">
        <v>3137</v>
      </c>
      <c r="C280" s="3234">
        <v>4010</v>
      </c>
      <c r="D280" s="3234">
        <v>3950</v>
      </c>
      <c r="E280" s="3234">
        <v>4710</v>
      </c>
      <c r="F280" s="3234">
        <v>800</v>
      </c>
      <c r="G280" s="3247">
        <v>2390</v>
      </c>
    </row>
    <row r="281" spans="1:7" s="3223" customFormat="1" ht="14.25" customHeight="1">
      <c r="A281" s="3234" t="s">
        <v>306</v>
      </c>
      <c r="B281" s="3234" t="s">
        <v>3138</v>
      </c>
      <c r="C281" s="3234">
        <v>4480</v>
      </c>
      <c r="D281" s="3234">
        <v>4420</v>
      </c>
      <c r="E281" s="3234">
        <v>5230</v>
      </c>
      <c r="F281" s="3234">
        <v>870</v>
      </c>
      <c r="G281" s="3247">
        <v>2660</v>
      </c>
    </row>
    <row r="282" spans="1:7" s="3223" customFormat="1" ht="14.25" customHeight="1">
      <c r="A282" s="3234" t="s">
        <v>306</v>
      </c>
      <c r="B282" s="3234" t="s">
        <v>3139</v>
      </c>
      <c r="C282" s="3234">
        <v>5360</v>
      </c>
      <c r="D282" s="3234">
        <v>5300</v>
      </c>
      <c r="E282" s="3234">
        <v>6190</v>
      </c>
      <c r="F282" s="3234">
        <v>950</v>
      </c>
      <c r="G282" s="3247">
        <v>3190</v>
      </c>
    </row>
    <row r="283" spans="1:7" s="3223" customFormat="1" ht="14.25" customHeight="1">
      <c r="A283" s="3234" t="s">
        <v>306</v>
      </c>
      <c r="B283" s="3234" t="s">
        <v>174</v>
      </c>
      <c r="C283" s="3234">
        <v>4950</v>
      </c>
      <c r="D283" s="3234">
        <v>4900</v>
      </c>
      <c r="E283" s="3234">
        <v>5720</v>
      </c>
      <c r="F283" s="3234">
        <v>920</v>
      </c>
      <c r="G283" s="3247">
        <v>2950</v>
      </c>
    </row>
    <row r="284" spans="1:7" s="3223" customFormat="1" ht="14.25" customHeight="1">
      <c r="A284" s="3234" t="s">
        <v>306</v>
      </c>
      <c r="B284" s="3234" t="s">
        <v>182</v>
      </c>
      <c r="C284" s="3234">
        <v>5610</v>
      </c>
      <c r="D284" s="3234">
        <v>5560</v>
      </c>
      <c r="E284" s="3234">
        <v>6520</v>
      </c>
      <c r="F284" s="3234">
        <v>1030</v>
      </c>
      <c r="G284" s="3247">
        <v>3360</v>
      </c>
    </row>
    <row r="285" spans="1:7" s="3223" customFormat="1" ht="14.25" customHeight="1">
      <c r="A285" s="3234" t="s">
        <v>306</v>
      </c>
      <c r="B285" s="3234" t="s">
        <v>192</v>
      </c>
      <c r="C285" s="3234">
        <v>5340</v>
      </c>
      <c r="D285" s="3234">
        <v>5290</v>
      </c>
      <c r="E285" s="3234">
        <v>6170</v>
      </c>
      <c r="F285" s="3234">
        <v>1080</v>
      </c>
      <c r="G285" s="3247">
        <v>3180</v>
      </c>
    </row>
    <row r="286" spans="1:7" s="3223" customFormat="1" ht="14.25" customHeight="1">
      <c r="A286" s="3234" t="s">
        <v>306</v>
      </c>
      <c r="B286" s="3234" t="s">
        <v>199</v>
      </c>
      <c r="C286" s="3234">
        <v>4890</v>
      </c>
      <c r="D286" s="3234">
        <v>4840</v>
      </c>
      <c r="E286" s="3234">
        <v>5640</v>
      </c>
      <c r="F286" s="3234">
        <v>960</v>
      </c>
      <c r="G286" s="3247">
        <v>2910</v>
      </c>
    </row>
    <row r="287" spans="1:7" s="3223" customFormat="1" ht="14.25" customHeight="1">
      <c r="A287" s="3234" t="s">
        <v>306</v>
      </c>
      <c r="B287" s="3234" t="s">
        <v>3140</v>
      </c>
      <c r="C287" s="3234">
        <v>4960</v>
      </c>
      <c r="D287" s="3234">
        <v>4920</v>
      </c>
      <c r="E287" s="3234">
        <v>5730</v>
      </c>
      <c r="F287" s="3234">
        <v>930</v>
      </c>
      <c r="G287" s="3247">
        <v>2960</v>
      </c>
    </row>
    <row r="288" spans="1:7" s="3223" customFormat="1" ht="14.25" customHeight="1">
      <c r="A288" s="3234" t="s">
        <v>306</v>
      </c>
      <c r="B288" s="3234" t="s">
        <v>219</v>
      </c>
      <c r="C288" s="3234">
        <v>4350</v>
      </c>
      <c r="D288" s="3234">
        <v>4300</v>
      </c>
      <c r="E288" s="3234">
        <v>4900</v>
      </c>
      <c r="F288" s="3234">
        <v>820</v>
      </c>
      <c r="G288" s="3247">
        <v>2590</v>
      </c>
    </row>
    <row r="289" spans="1:7" s="3223" customFormat="1" ht="14.25" customHeight="1">
      <c r="A289" s="3234" t="s">
        <v>306</v>
      </c>
      <c r="B289" s="3234" t="s">
        <v>3141</v>
      </c>
      <c r="C289" s="3234">
        <v>5230</v>
      </c>
      <c r="D289" s="3234">
        <v>5170</v>
      </c>
      <c r="E289" s="3234">
        <v>6060</v>
      </c>
      <c r="F289" s="3234">
        <v>900</v>
      </c>
      <c r="G289" s="3247">
        <v>3120</v>
      </c>
    </row>
    <row r="290" spans="1:7" s="3223" customFormat="1" ht="14.25" customHeight="1">
      <c r="A290" s="3234" t="s">
        <v>306</v>
      </c>
      <c r="B290" s="3234" t="s">
        <v>242</v>
      </c>
      <c r="C290" s="3234">
        <v>5550</v>
      </c>
      <c r="D290" s="3234">
        <v>5500</v>
      </c>
      <c r="E290" s="3234">
        <v>6440</v>
      </c>
      <c r="F290" s="3234">
        <v>960</v>
      </c>
      <c r="G290" s="3247">
        <v>3320</v>
      </c>
    </row>
    <row r="291" spans="1:7" s="3223" customFormat="1" ht="14.25" customHeight="1">
      <c r="A291" s="3234" t="s">
        <v>306</v>
      </c>
      <c r="B291" s="3234" t="s">
        <v>250</v>
      </c>
      <c r="C291" s="3234">
        <v>5440</v>
      </c>
      <c r="D291" s="3234">
        <v>5400</v>
      </c>
      <c r="E291" s="3234">
        <v>6320</v>
      </c>
      <c r="F291" s="3234">
        <v>930</v>
      </c>
      <c r="G291" s="3247">
        <v>3250</v>
      </c>
    </row>
    <row r="292" spans="1:7" s="3223" customFormat="1" ht="14.25" customHeight="1">
      <c r="A292" s="3234" t="s">
        <v>306</v>
      </c>
      <c r="B292" s="3234" t="s">
        <v>256</v>
      </c>
      <c r="C292" s="3234">
        <v>5400</v>
      </c>
      <c r="D292" s="3234">
        <v>5360</v>
      </c>
      <c r="E292" s="3234">
        <v>6270</v>
      </c>
      <c r="F292" s="3234">
        <v>1040</v>
      </c>
      <c r="G292" s="3247">
        <v>3230</v>
      </c>
    </row>
    <row r="293" spans="1:7" s="3223" customFormat="1" ht="14.25" customHeight="1">
      <c r="A293" s="3234" t="s">
        <v>306</v>
      </c>
      <c r="B293" s="3234" t="s">
        <v>2916</v>
      </c>
      <c r="C293" s="3234">
        <v>5320</v>
      </c>
      <c r="D293" s="3234">
        <v>5270</v>
      </c>
      <c r="E293" s="3234">
        <v>6160</v>
      </c>
      <c r="F293" s="3234">
        <v>990</v>
      </c>
      <c r="G293" s="3247">
        <v>3170</v>
      </c>
    </row>
    <row r="294" spans="1:7" s="3223" customFormat="1" ht="14.25" customHeight="1">
      <c r="A294" s="3234" t="s">
        <v>306</v>
      </c>
      <c r="B294" s="3234" t="s">
        <v>3142</v>
      </c>
      <c r="C294" s="3234">
        <v>5260</v>
      </c>
      <c r="D294" s="3234">
        <v>5210</v>
      </c>
      <c r="E294" s="3234">
        <v>6100</v>
      </c>
      <c r="F294" s="3234">
        <v>950</v>
      </c>
      <c r="G294" s="3247">
        <v>3150</v>
      </c>
    </row>
    <row r="295" spans="1:7" s="3223" customFormat="1" ht="14.25" customHeight="1">
      <c r="A295" s="3234" t="s">
        <v>306</v>
      </c>
      <c r="B295" s="3234" t="s">
        <v>290</v>
      </c>
      <c r="C295" s="3234">
        <v>5610</v>
      </c>
      <c r="D295" s="3234">
        <v>5570</v>
      </c>
      <c r="E295" s="3234">
        <v>6530</v>
      </c>
      <c r="F295" s="3234">
        <v>960</v>
      </c>
      <c r="G295" s="3247">
        <v>3360</v>
      </c>
    </row>
    <row r="296" spans="1:7" s="3223" customFormat="1" ht="14.25" customHeight="1">
      <c r="A296" s="3234" t="s">
        <v>306</v>
      </c>
      <c r="B296" s="3234" t="s">
        <v>293</v>
      </c>
      <c r="C296" s="3234">
        <v>5540</v>
      </c>
      <c r="D296" s="3234">
        <v>5490</v>
      </c>
      <c r="E296" s="3234">
        <v>6430</v>
      </c>
      <c r="F296" s="3234">
        <v>980</v>
      </c>
      <c r="G296" s="3247">
        <v>3310</v>
      </c>
    </row>
    <row r="297" spans="1:7" s="3223" customFormat="1" ht="14.25" customHeight="1">
      <c r="A297" s="3234" t="s">
        <v>306</v>
      </c>
      <c r="B297" s="3234" t="s">
        <v>295</v>
      </c>
      <c r="C297" s="3234">
        <v>5480</v>
      </c>
      <c r="D297" s="3234">
        <v>5420</v>
      </c>
      <c r="E297" s="3234">
        <v>6370</v>
      </c>
      <c r="F297" s="3234">
        <v>990</v>
      </c>
      <c r="G297" s="3247">
        <v>3270</v>
      </c>
    </row>
    <row r="298" spans="1:7" s="3223" customFormat="1" ht="14.25" customHeight="1">
      <c r="A298" s="3234" t="s">
        <v>306</v>
      </c>
      <c r="B298" s="3234" t="s">
        <v>298</v>
      </c>
      <c r="C298" s="3234">
        <v>5090</v>
      </c>
      <c r="D298" s="3234">
        <v>5050</v>
      </c>
      <c r="E298" s="3234">
        <v>5910</v>
      </c>
      <c r="F298" s="3234">
        <v>900</v>
      </c>
      <c r="G298" s="3247">
        <v>3040</v>
      </c>
    </row>
    <row r="299" spans="1:7" s="3223" customFormat="1" ht="14.25" customHeight="1">
      <c r="A299" s="3234" t="s">
        <v>306</v>
      </c>
      <c r="B299" s="3243" t="s">
        <v>2935</v>
      </c>
      <c r="C299" s="3234">
        <v>5430</v>
      </c>
      <c r="D299" s="3234">
        <v>5380</v>
      </c>
      <c r="E299" s="3234">
        <v>6280</v>
      </c>
      <c r="F299" s="3234">
        <v>1000</v>
      </c>
      <c r="G299" s="3247">
        <v>3240</v>
      </c>
    </row>
    <row r="300" spans="1:7" s="3223" customFormat="1" ht="14.25" customHeight="1">
      <c r="A300" s="3234" t="s">
        <v>306</v>
      </c>
      <c r="B300" s="3243" t="s">
        <v>271</v>
      </c>
      <c r="C300" s="3234">
        <v>4740</v>
      </c>
      <c r="D300" s="3234">
        <v>4680</v>
      </c>
      <c r="E300" s="3234">
        <v>5450</v>
      </c>
      <c r="F300" s="3234">
        <v>900</v>
      </c>
      <c r="G300" s="3247">
        <v>2830</v>
      </c>
    </row>
    <row r="301" spans="1:7" s="3223" customFormat="1" ht="14.25" customHeight="1">
      <c r="A301" s="3234" t="s">
        <v>306</v>
      </c>
      <c r="B301" s="3243" t="s">
        <v>276</v>
      </c>
      <c r="C301" s="3234">
        <v>4870</v>
      </c>
      <c r="D301" s="3234">
        <v>4810</v>
      </c>
      <c r="E301" s="3234">
        <v>5560</v>
      </c>
      <c r="F301" s="3234">
        <v>990</v>
      </c>
      <c r="G301" s="3247">
        <v>2910</v>
      </c>
    </row>
    <row r="302" spans="1:7" s="3223" customFormat="1" ht="14.25" customHeight="1">
      <c r="A302" s="3234" t="s">
        <v>306</v>
      </c>
      <c r="B302" s="3234" t="s">
        <v>3143</v>
      </c>
      <c r="C302" s="3234">
        <v>5520</v>
      </c>
      <c r="D302" s="3234">
        <v>5470</v>
      </c>
      <c r="E302" s="3234">
        <v>6410</v>
      </c>
      <c r="F302" s="3234">
        <v>950</v>
      </c>
      <c r="G302" s="3247">
        <v>3300</v>
      </c>
    </row>
    <row r="303" spans="1:7" s="3223" customFormat="1" ht="14.25" customHeight="1">
      <c r="A303" s="3234" t="s">
        <v>306</v>
      </c>
      <c r="B303" s="3234" t="s">
        <v>2955</v>
      </c>
      <c r="C303" s="3234">
        <v>5630</v>
      </c>
      <c r="D303" s="3234">
        <v>5590</v>
      </c>
      <c r="E303" s="3234">
        <v>6550</v>
      </c>
      <c r="F303" s="3234">
        <v>1010</v>
      </c>
      <c r="G303" s="3247">
        <v>3370</v>
      </c>
    </row>
    <row r="304" spans="1:7" s="3223" customFormat="1" ht="14.25" customHeight="1">
      <c r="A304" s="3234" t="s">
        <v>306</v>
      </c>
      <c r="B304" s="3234" t="s">
        <v>2962</v>
      </c>
      <c r="C304" s="3234">
        <v>5680</v>
      </c>
      <c r="D304" s="3234">
        <v>5620</v>
      </c>
      <c r="E304" s="3234">
        <v>6620</v>
      </c>
      <c r="F304" s="3234">
        <v>1050</v>
      </c>
      <c r="G304" s="3247">
        <v>3390</v>
      </c>
    </row>
    <row r="305" spans="1:7" s="3223" customFormat="1" ht="14.25" customHeight="1">
      <c r="A305" s="3234" t="s">
        <v>306</v>
      </c>
      <c r="B305" s="3234" t="s">
        <v>2968</v>
      </c>
      <c r="C305" s="3234">
        <v>5590</v>
      </c>
      <c r="D305" s="3234">
        <v>5530</v>
      </c>
      <c r="E305" s="3234">
        <v>6460</v>
      </c>
      <c r="F305" s="3234">
        <v>900</v>
      </c>
      <c r="G305" s="3247">
        <v>3340</v>
      </c>
    </row>
    <row r="306" spans="1:7" s="3223" customFormat="1" ht="14.25" customHeight="1">
      <c r="A306" s="3234" t="s">
        <v>306</v>
      </c>
      <c r="B306" s="3234" t="s">
        <v>3144</v>
      </c>
      <c r="C306" s="3234">
        <v>5560</v>
      </c>
      <c r="D306" s="3234">
        <v>5510</v>
      </c>
      <c r="E306" s="3234">
        <v>6440</v>
      </c>
      <c r="F306" s="3234">
        <v>900</v>
      </c>
      <c r="G306" s="3247">
        <v>3320</v>
      </c>
    </row>
    <row r="307" spans="1:7" s="3223" customFormat="1" ht="14.25" customHeight="1">
      <c r="A307" s="3234" t="s">
        <v>306</v>
      </c>
      <c r="B307" s="3234" t="s">
        <v>2980</v>
      </c>
      <c r="C307" s="3234">
        <v>5650</v>
      </c>
      <c r="D307" s="3234">
        <v>5600</v>
      </c>
      <c r="E307" s="3234">
        <v>6590</v>
      </c>
      <c r="F307" s="3234">
        <v>930</v>
      </c>
      <c r="G307" s="3247">
        <v>3380</v>
      </c>
    </row>
    <row r="308" spans="1:7" s="3223" customFormat="1" ht="14.25" customHeight="1">
      <c r="A308" s="3234" t="s">
        <v>306</v>
      </c>
      <c r="B308" s="3234" t="s">
        <v>3145</v>
      </c>
      <c r="C308" s="3234">
        <v>5620</v>
      </c>
      <c r="D308" s="3234">
        <v>5580</v>
      </c>
      <c r="E308" s="3234">
        <v>6540</v>
      </c>
      <c r="F308" s="3234">
        <v>910</v>
      </c>
      <c r="G308" s="3247">
        <v>3370</v>
      </c>
    </row>
    <row r="309" spans="1:7" s="3223" customFormat="1" ht="14.25" customHeight="1">
      <c r="A309" s="3234" t="s">
        <v>306</v>
      </c>
      <c r="B309" s="3234" t="s">
        <v>3146</v>
      </c>
      <c r="C309" s="3234">
        <v>5060</v>
      </c>
      <c r="D309" s="3234">
        <v>5020</v>
      </c>
      <c r="E309" s="3234">
        <v>6370</v>
      </c>
      <c r="F309" s="3234">
        <v>800</v>
      </c>
      <c r="G309" s="3247">
        <v>3020</v>
      </c>
    </row>
    <row r="310" spans="1:7" s="3223" customFormat="1" ht="14.25" customHeight="1">
      <c r="A310" s="3234" t="s">
        <v>306</v>
      </c>
      <c r="B310" s="3234" t="s">
        <v>2995</v>
      </c>
      <c r="C310" s="3234">
        <v>5150</v>
      </c>
      <c r="D310" s="3234">
        <v>5110</v>
      </c>
      <c r="E310" s="3234">
        <v>6500</v>
      </c>
      <c r="F310" s="3234">
        <v>880</v>
      </c>
      <c r="G310" s="3247">
        <v>3080</v>
      </c>
    </row>
    <row r="311" spans="1:7" s="3223" customFormat="1" ht="14.25" customHeight="1">
      <c r="A311" s="3234" t="s">
        <v>306</v>
      </c>
      <c r="B311" s="3234" t="s">
        <v>3147</v>
      </c>
      <c r="C311" s="3234">
        <v>4750</v>
      </c>
      <c r="D311" s="3234">
        <v>4710</v>
      </c>
      <c r="E311" s="3234">
        <v>5510</v>
      </c>
      <c r="F311" s="3234">
        <v>880</v>
      </c>
      <c r="G311" s="3247">
        <v>2840</v>
      </c>
    </row>
    <row r="312" spans="1:7" s="3223" customFormat="1" ht="14.25" customHeight="1">
      <c r="A312" s="3234" t="s">
        <v>306</v>
      </c>
      <c r="B312" s="3234" t="s">
        <v>3005</v>
      </c>
      <c r="C312" s="3234">
        <v>4690</v>
      </c>
      <c r="D312" s="3234">
        <v>4640</v>
      </c>
      <c r="E312" s="3234">
        <v>5420</v>
      </c>
      <c r="F312" s="3234">
        <v>800</v>
      </c>
      <c r="G312" s="3247">
        <v>2800</v>
      </c>
    </row>
    <row r="313" spans="1:7" s="3223" customFormat="1" ht="14.25" customHeight="1">
      <c r="A313" s="3234" t="s">
        <v>306</v>
      </c>
      <c r="B313" s="3234" t="s">
        <v>3010</v>
      </c>
      <c r="C313" s="3234">
        <v>4810</v>
      </c>
      <c r="D313" s="3234">
        <v>4760</v>
      </c>
      <c r="E313" s="3234">
        <v>5550</v>
      </c>
      <c r="F313" s="3234">
        <v>920</v>
      </c>
      <c r="G313" s="3247">
        <v>2870</v>
      </c>
    </row>
    <row r="314" spans="1:7" s="3223" customFormat="1" ht="14.25" customHeight="1">
      <c r="A314" s="3234" t="s">
        <v>306</v>
      </c>
      <c r="B314" s="3234" t="s">
        <v>3148</v>
      </c>
      <c r="C314" s="3234"/>
      <c r="D314" s="3234"/>
      <c r="E314" s="3234"/>
      <c r="F314" s="3234">
        <v>1020</v>
      </c>
      <c r="G314" s="3247"/>
    </row>
    <row r="315" spans="1:7" s="3223" customFormat="1" ht="14.25" customHeight="1">
      <c r="A315" s="3234" t="s">
        <v>306</v>
      </c>
      <c r="B315" s="3234" t="s">
        <v>3149</v>
      </c>
      <c r="C315" s="3234"/>
      <c r="D315" s="3234"/>
      <c r="E315" s="3234"/>
      <c r="F315" s="3234">
        <v>1050</v>
      </c>
      <c r="G315" s="3247"/>
    </row>
    <row r="316" spans="1:7" s="3223" customFormat="1" ht="14.25" customHeight="1">
      <c r="A316" s="3234" t="s">
        <v>306</v>
      </c>
      <c r="B316" s="3234" t="s">
        <v>3025</v>
      </c>
      <c r="C316" s="3234"/>
      <c r="D316" s="3234"/>
      <c r="E316" s="3234"/>
      <c r="F316" s="3234">
        <v>900</v>
      </c>
      <c r="G316" s="3247"/>
    </row>
    <row r="317" spans="1:7" s="3223" customFormat="1" ht="14.25" customHeight="1">
      <c r="A317" s="3234" t="s">
        <v>306</v>
      </c>
      <c r="B317" s="3234" t="s">
        <v>3150</v>
      </c>
      <c r="C317" s="3234"/>
      <c r="D317" s="3234"/>
      <c r="E317" s="3234"/>
      <c r="F317" s="3234">
        <v>920</v>
      </c>
      <c r="G317" s="3247"/>
    </row>
    <row r="318" spans="1:7" s="3223" customFormat="1" ht="14.25" customHeight="1">
      <c r="A318" s="3234" t="s">
        <v>306</v>
      </c>
      <c r="B318" s="3234" t="s">
        <v>3151</v>
      </c>
      <c r="C318" s="3234"/>
      <c r="D318" s="3234"/>
      <c r="E318" s="3234"/>
      <c r="F318" s="3234">
        <v>1080</v>
      </c>
      <c r="G318" s="3247"/>
    </row>
    <row r="319" spans="1:7" s="3223" customFormat="1" ht="14.25" customHeight="1">
      <c r="A319" s="3234" t="s">
        <v>306</v>
      </c>
      <c r="B319" s="3234" t="s">
        <v>3038</v>
      </c>
      <c r="C319" s="3234"/>
      <c r="D319" s="3234"/>
      <c r="E319" s="3234"/>
      <c r="F319" s="3234">
        <v>1020</v>
      </c>
      <c r="G319" s="3247"/>
    </row>
    <row r="320" spans="1:7" s="3223" customFormat="1" ht="14.25" customHeight="1">
      <c r="A320" s="3234" t="s">
        <v>306</v>
      </c>
      <c r="B320" s="3234" t="s">
        <v>3041</v>
      </c>
      <c r="C320" s="3234"/>
      <c r="D320" s="3234"/>
      <c r="E320" s="3234"/>
      <c r="F320" s="3234">
        <v>1050</v>
      </c>
      <c r="G320" s="3247"/>
    </row>
    <row r="321" spans="1:7" s="3223" customFormat="1" ht="14.25" customHeight="1">
      <c r="A321" s="3234" t="s">
        <v>306</v>
      </c>
      <c r="B321" s="3234" t="s">
        <v>3043</v>
      </c>
      <c r="C321" s="3234"/>
      <c r="D321" s="3234"/>
      <c r="E321" s="3234"/>
      <c r="F321" s="3234">
        <v>960</v>
      </c>
      <c r="G321" s="3247"/>
    </row>
    <row r="322" spans="1:7" s="3223" customFormat="1" ht="14.25" customHeight="1">
      <c r="A322" s="3234" t="s">
        <v>306</v>
      </c>
      <c r="B322" s="3234" t="s">
        <v>3045</v>
      </c>
      <c r="C322" s="3234"/>
      <c r="D322" s="3234"/>
      <c r="E322" s="3234"/>
      <c r="F322" s="3234">
        <v>960</v>
      </c>
      <c r="G322" s="3247"/>
    </row>
    <row r="323" spans="1:7" s="3223" customFormat="1" ht="14.25" customHeight="1">
      <c r="A323" s="3234" t="s">
        <v>306</v>
      </c>
      <c r="B323" s="3234" t="s">
        <v>3047</v>
      </c>
      <c r="C323" s="3234"/>
      <c r="D323" s="3234"/>
      <c r="E323" s="3234"/>
      <c r="F323" s="3234">
        <v>880</v>
      </c>
      <c r="G323" s="3247"/>
    </row>
    <row r="324" spans="1:7" s="3223" customFormat="1" ht="14.25" customHeight="1">
      <c r="A324" s="3234" t="s">
        <v>306</v>
      </c>
      <c r="B324" s="3234" t="s">
        <v>3049</v>
      </c>
      <c r="C324" s="3234"/>
      <c r="D324" s="3234"/>
      <c r="E324" s="3234"/>
      <c r="F324" s="3234">
        <v>930</v>
      </c>
      <c r="G324" s="3247"/>
    </row>
    <row r="325" spans="1:7" s="3223" customFormat="1" ht="14.25" customHeight="1">
      <c r="A325" s="3234" t="s">
        <v>306</v>
      </c>
      <c r="B325" s="3235" t="s">
        <v>3051</v>
      </c>
      <c r="C325" s="3234"/>
      <c r="D325" s="3234"/>
      <c r="E325" s="3234"/>
      <c r="F325" s="3234">
        <v>900</v>
      </c>
      <c r="G325" s="3247"/>
    </row>
    <row r="326" spans="1:7" s="3223" customFormat="1" ht="14.25" customHeight="1" thickBot="1">
      <c r="A326" s="3248" t="s">
        <v>306</v>
      </c>
      <c r="B326" s="3241" t="s">
        <v>3053</v>
      </c>
      <c r="C326" s="3241"/>
      <c r="D326" s="3241"/>
      <c r="E326" s="3241"/>
      <c r="F326" s="3241">
        <v>790</v>
      </c>
      <c r="G326" s="3249"/>
    </row>
    <row r="327" spans="1:7" s="3223" customFormat="1" ht="14.25" customHeight="1">
      <c r="A327" s="3239" t="s">
        <v>307</v>
      </c>
      <c r="B327" s="3230" t="s">
        <v>3152</v>
      </c>
      <c r="C327" s="3234">
        <v>3750</v>
      </c>
      <c r="D327" s="3234">
        <v>3710</v>
      </c>
      <c r="E327" s="3234">
        <v>4080</v>
      </c>
      <c r="F327" s="3234">
        <v>860</v>
      </c>
      <c r="G327" s="3234">
        <v>2210</v>
      </c>
    </row>
    <row r="328" spans="1:7" s="3223" customFormat="1" ht="14.25" customHeight="1">
      <c r="A328" s="3234" t="s">
        <v>307</v>
      </c>
      <c r="B328" s="3234" t="s">
        <v>136</v>
      </c>
      <c r="C328" s="3234">
        <v>3330</v>
      </c>
      <c r="D328" s="3234">
        <v>3290</v>
      </c>
      <c r="E328" s="3234">
        <v>3610</v>
      </c>
      <c r="F328" s="3234">
        <v>850</v>
      </c>
      <c r="G328" s="3234">
        <v>1960</v>
      </c>
    </row>
    <row r="329" spans="1:7" s="3223" customFormat="1" ht="14.25" customHeight="1">
      <c r="A329" s="3234" t="s">
        <v>307</v>
      </c>
      <c r="B329" s="3234" t="s">
        <v>3153</v>
      </c>
      <c r="C329" s="3234">
        <v>2730</v>
      </c>
      <c r="D329" s="3234">
        <v>2690</v>
      </c>
      <c r="E329" s="3234">
        <v>3100</v>
      </c>
      <c r="F329" s="3234">
        <v>660</v>
      </c>
      <c r="G329" s="3234">
        <v>1610</v>
      </c>
    </row>
    <row r="330" spans="1:7" s="3223" customFormat="1" ht="14.25" customHeight="1">
      <c r="A330" s="3234" t="s">
        <v>307</v>
      </c>
      <c r="B330" s="3234" t="s">
        <v>3154</v>
      </c>
      <c r="C330" s="3234">
        <v>3270</v>
      </c>
      <c r="D330" s="3234">
        <v>3240</v>
      </c>
      <c r="E330" s="3234">
        <v>3560</v>
      </c>
      <c r="F330" s="3234">
        <v>680</v>
      </c>
      <c r="G330" s="3234">
        <v>1940</v>
      </c>
    </row>
    <row r="331" spans="1:7" s="3223" customFormat="1" ht="14.25" customHeight="1">
      <c r="A331" s="3234" t="s">
        <v>307</v>
      </c>
      <c r="B331" s="3234" t="s">
        <v>161</v>
      </c>
      <c r="C331" s="3234">
        <v>3770</v>
      </c>
      <c r="D331" s="3234">
        <v>3740</v>
      </c>
      <c r="E331" s="3234">
        <v>4110</v>
      </c>
      <c r="F331" s="3234">
        <v>730</v>
      </c>
      <c r="G331" s="3234">
        <v>2230</v>
      </c>
    </row>
    <row r="332" spans="1:7" s="3223" customFormat="1" ht="14.25" customHeight="1">
      <c r="A332" s="3234" t="s">
        <v>307</v>
      </c>
      <c r="B332" s="3234" t="s">
        <v>2887</v>
      </c>
      <c r="C332" s="3234">
        <v>3520</v>
      </c>
      <c r="D332" s="3234">
        <v>3480</v>
      </c>
      <c r="E332" s="3234">
        <v>3830</v>
      </c>
      <c r="F332" s="3234">
        <v>720</v>
      </c>
      <c r="G332" s="3234">
        <v>2090</v>
      </c>
    </row>
    <row r="333" spans="1:7" s="3223" customFormat="1" ht="14.25" customHeight="1">
      <c r="A333" s="3234" t="s">
        <v>307</v>
      </c>
      <c r="B333" s="3234" t="s">
        <v>3155</v>
      </c>
      <c r="C333" s="3234">
        <v>3840</v>
      </c>
      <c r="D333" s="3234">
        <v>3800</v>
      </c>
      <c r="E333" s="3234">
        <v>4200</v>
      </c>
      <c r="F333" s="3234">
        <v>760</v>
      </c>
      <c r="G333" s="3234">
        <v>2270</v>
      </c>
    </row>
    <row r="334" spans="1:7" s="3223" customFormat="1" ht="14.25" customHeight="1">
      <c r="A334" s="3234" t="s">
        <v>307</v>
      </c>
      <c r="B334" s="3234" t="s">
        <v>183</v>
      </c>
      <c r="C334" s="3234">
        <v>3960</v>
      </c>
      <c r="D334" s="3234">
        <v>3910</v>
      </c>
      <c r="E334" s="3234">
        <v>4340</v>
      </c>
      <c r="F334" s="3234">
        <v>780</v>
      </c>
      <c r="G334" s="3234">
        <v>2340</v>
      </c>
    </row>
    <row r="335" spans="1:7" s="3223" customFormat="1" ht="14.25" customHeight="1">
      <c r="A335" s="3234" t="s">
        <v>307</v>
      </c>
      <c r="B335" s="3234" t="s">
        <v>193</v>
      </c>
      <c r="C335" s="3234">
        <v>3710</v>
      </c>
      <c r="D335" s="3234">
        <v>3670</v>
      </c>
      <c r="E335" s="3234">
        <v>4030</v>
      </c>
      <c r="F335" s="3234">
        <v>750</v>
      </c>
      <c r="G335" s="3234">
        <v>2200</v>
      </c>
    </row>
    <row r="336" spans="1:7" s="3223" customFormat="1" ht="14.25" customHeight="1">
      <c r="A336" s="3234" t="s">
        <v>307</v>
      </c>
      <c r="B336" s="3234" t="s">
        <v>2897</v>
      </c>
      <c r="C336" s="3234">
        <v>3570</v>
      </c>
      <c r="D336" s="3234">
        <v>3530</v>
      </c>
      <c r="E336" s="3234">
        <v>3880</v>
      </c>
      <c r="F336" s="3234">
        <v>770</v>
      </c>
      <c r="G336" s="3234">
        <v>2110</v>
      </c>
    </row>
    <row r="337" spans="1:10" s="3223" customFormat="1" ht="14.25" customHeight="1">
      <c r="A337" s="3234" t="s">
        <v>307</v>
      </c>
      <c r="B337" s="3234" t="s">
        <v>3156</v>
      </c>
      <c r="C337" s="3234">
        <v>3780</v>
      </c>
      <c r="D337" s="3234">
        <v>3750</v>
      </c>
      <c r="E337" s="3234">
        <v>4130</v>
      </c>
      <c r="F337" s="3234">
        <v>750</v>
      </c>
      <c r="G337" s="3234">
        <v>2240</v>
      </c>
    </row>
    <row r="338" spans="1:10" s="3223" customFormat="1" ht="14.25" customHeight="1">
      <c r="A338" s="3234" t="s">
        <v>307</v>
      </c>
      <c r="B338" s="3234" t="s">
        <v>220</v>
      </c>
      <c r="C338" s="3234">
        <v>3600</v>
      </c>
      <c r="D338" s="3234">
        <v>3570</v>
      </c>
      <c r="E338" s="3234">
        <v>3920</v>
      </c>
      <c r="F338" s="3234">
        <v>790</v>
      </c>
      <c r="G338" s="3234">
        <v>2140</v>
      </c>
    </row>
    <row r="339" spans="1:10" s="3223" customFormat="1" ht="14.25" customHeight="1">
      <c r="A339" s="3234" t="s">
        <v>307</v>
      </c>
      <c r="B339" s="3234" t="s">
        <v>228</v>
      </c>
      <c r="C339" s="3234">
        <v>3540</v>
      </c>
      <c r="D339" s="3234">
        <v>3500</v>
      </c>
      <c r="E339" s="3234">
        <v>3850</v>
      </c>
      <c r="F339" s="3234">
        <v>780</v>
      </c>
      <c r="G339" s="3234">
        <v>2100</v>
      </c>
    </row>
    <row r="340" spans="1:10" s="3223" customFormat="1" ht="14.25" customHeight="1">
      <c r="A340" s="3234" t="s">
        <v>307</v>
      </c>
      <c r="B340" s="3234" t="s">
        <v>3157</v>
      </c>
      <c r="C340" s="3234">
        <v>3850</v>
      </c>
      <c r="D340" s="3234">
        <v>3810</v>
      </c>
      <c r="E340" s="3234">
        <v>4210</v>
      </c>
      <c r="F340" s="3234">
        <v>750</v>
      </c>
      <c r="G340" s="3234">
        <v>2280</v>
      </c>
    </row>
    <row r="341" spans="1:10" s="3223" customFormat="1" ht="14.25" customHeight="1">
      <c r="A341" s="3234" t="s">
        <v>307</v>
      </c>
      <c r="B341" s="3234" t="s">
        <v>207</v>
      </c>
      <c r="C341" s="3234">
        <v>3780</v>
      </c>
      <c r="D341" s="3234">
        <v>3750</v>
      </c>
      <c r="E341" s="3234">
        <v>4140</v>
      </c>
      <c r="F341" s="3234">
        <v>720</v>
      </c>
      <c r="G341" s="3234">
        <v>2240</v>
      </c>
    </row>
    <row r="342" spans="1:10" s="3223" customFormat="1" ht="14.25" customHeight="1">
      <c r="A342" s="3234" t="s">
        <v>307</v>
      </c>
      <c r="B342" s="3234" t="s">
        <v>3158</v>
      </c>
      <c r="C342" s="3234">
        <v>3670</v>
      </c>
      <c r="D342" s="3234">
        <v>3620</v>
      </c>
      <c r="E342" s="3234">
        <v>3990</v>
      </c>
      <c r="F342" s="3234">
        <v>760</v>
      </c>
      <c r="G342" s="3234">
        <v>2170</v>
      </c>
    </row>
    <row r="343" spans="1:10" s="3223" customFormat="1" ht="14.25" customHeight="1">
      <c r="A343" s="3234" t="s">
        <v>307</v>
      </c>
      <c r="B343" s="3234" t="s">
        <v>257</v>
      </c>
      <c r="C343" s="3234">
        <v>3760</v>
      </c>
      <c r="D343" s="3234">
        <v>3720</v>
      </c>
      <c r="E343" s="3234">
        <v>4090</v>
      </c>
      <c r="F343" s="3234">
        <v>780</v>
      </c>
      <c r="G343" s="3234">
        <v>2220</v>
      </c>
    </row>
    <row r="344" spans="1:10" s="3223" customFormat="1" ht="14.25" customHeight="1">
      <c r="A344" s="3234" t="s">
        <v>307</v>
      </c>
      <c r="B344" s="3234" t="s">
        <v>265</v>
      </c>
      <c r="C344" s="3234">
        <v>3680</v>
      </c>
      <c r="D344" s="3234">
        <v>3640</v>
      </c>
      <c r="E344" s="3234">
        <v>4010</v>
      </c>
      <c r="F344" s="3234">
        <v>750</v>
      </c>
      <c r="G344" s="3234">
        <v>2180</v>
      </c>
    </row>
    <row r="345" spans="1:10">
      <c r="A345" s="3234" t="s">
        <v>307</v>
      </c>
      <c r="B345" s="3234" t="s">
        <v>2922</v>
      </c>
      <c r="C345" s="3234">
        <v>3190</v>
      </c>
      <c r="D345" s="3234">
        <v>3140</v>
      </c>
      <c r="E345" s="3234">
        <v>3450</v>
      </c>
      <c r="F345" s="3234">
        <v>720</v>
      </c>
      <c r="G345" s="3234">
        <v>1880</v>
      </c>
      <c r="J345" s="3223"/>
    </row>
    <row r="346" spans="1:10">
      <c r="A346" s="3234" t="s">
        <v>307</v>
      </c>
      <c r="B346" s="3234" t="s">
        <v>3159</v>
      </c>
      <c r="C346" s="3234">
        <v>3630</v>
      </c>
      <c r="D346" s="3234">
        <v>3590</v>
      </c>
      <c r="E346" s="3234">
        <v>3940</v>
      </c>
      <c r="F346" s="3234">
        <v>730</v>
      </c>
      <c r="G346" s="3234">
        <v>2150</v>
      </c>
      <c r="J346" s="3223"/>
    </row>
    <row r="347" spans="1:10">
      <c r="A347" s="3234" t="s">
        <v>307</v>
      </c>
      <c r="B347" s="3234" t="s">
        <v>243</v>
      </c>
      <c r="C347" s="3234">
        <v>3860</v>
      </c>
      <c r="D347" s="3234">
        <v>3820</v>
      </c>
      <c r="E347" s="3234">
        <v>4220</v>
      </c>
      <c r="F347" s="3234">
        <v>750</v>
      </c>
      <c r="G347" s="3234">
        <v>2280</v>
      </c>
      <c r="J347" s="3223"/>
    </row>
    <row r="348" spans="1:10">
      <c r="A348" s="3234" t="s">
        <v>307</v>
      </c>
      <c r="B348" s="3234" t="s">
        <v>2931</v>
      </c>
      <c r="C348" s="3234">
        <v>4000</v>
      </c>
      <c r="D348" s="3234">
        <v>3950</v>
      </c>
      <c r="E348" s="3234">
        <v>4430</v>
      </c>
      <c r="F348" s="3234">
        <v>760</v>
      </c>
      <c r="G348" s="3234">
        <v>2360</v>
      </c>
      <c r="J348" s="3223"/>
    </row>
    <row r="349" spans="1:10">
      <c r="A349" s="3234" t="s">
        <v>307</v>
      </c>
      <c r="B349" s="3234" t="s">
        <v>2936</v>
      </c>
      <c r="C349" s="3234">
        <v>3820</v>
      </c>
      <c r="D349" s="3234">
        <v>3780</v>
      </c>
      <c r="E349" s="3234">
        <v>4170</v>
      </c>
      <c r="F349" s="3234">
        <v>710</v>
      </c>
      <c r="G349" s="3234">
        <v>2260</v>
      </c>
      <c r="J349" s="3223"/>
    </row>
    <row r="350" spans="1:10">
      <c r="A350" s="3234" t="s">
        <v>307</v>
      </c>
      <c r="B350" s="3234" t="s">
        <v>3160</v>
      </c>
      <c r="C350" s="3234">
        <v>3760</v>
      </c>
      <c r="D350" s="3234">
        <v>3730</v>
      </c>
      <c r="E350" s="3234">
        <v>4100</v>
      </c>
      <c r="F350" s="3234">
        <v>800</v>
      </c>
      <c r="G350" s="3234">
        <v>2230</v>
      </c>
      <c r="J350" s="3223"/>
    </row>
    <row r="351" spans="1:10">
      <c r="A351" s="3234" t="s">
        <v>307</v>
      </c>
      <c r="B351" s="3234" t="s">
        <v>2944</v>
      </c>
      <c r="C351" s="3234">
        <v>3610</v>
      </c>
      <c r="D351" s="3234">
        <v>3580</v>
      </c>
      <c r="E351" s="3234">
        <v>3930</v>
      </c>
      <c r="F351" s="3234">
        <v>700</v>
      </c>
      <c r="G351" s="3234">
        <v>2140</v>
      </c>
      <c r="J351" s="3223"/>
    </row>
    <row r="352" spans="1:10">
      <c r="A352" s="3234" t="s">
        <v>307</v>
      </c>
      <c r="B352" s="3234" t="s">
        <v>2949</v>
      </c>
      <c r="C352" s="3234">
        <v>3670</v>
      </c>
      <c r="D352" s="3234">
        <v>3630</v>
      </c>
      <c r="E352" s="3234">
        <v>4000</v>
      </c>
      <c r="F352" s="3234">
        <v>750</v>
      </c>
      <c r="G352" s="3234">
        <v>2180</v>
      </c>
    </row>
    <row r="353" spans="1:7" s="3227" customFormat="1">
      <c r="A353" s="3234" t="s">
        <v>307</v>
      </c>
      <c r="B353" s="3234" t="s">
        <v>3161</v>
      </c>
      <c r="C353" s="3234">
        <v>3190</v>
      </c>
      <c r="D353" s="3234">
        <v>3150</v>
      </c>
      <c r="E353" s="3234">
        <v>3640</v>
      </c>
      <c r="F353" s="3234">
        <v>630</v>
      </c>
      <c r="G353" s="3234">
        <v>1890</v>
      </c>
    </row>
    <row r="354" spans="1:7" s="3227" customFormat="1">
      <c r="A354" s="3234" t="s">
        <v>307</v>
      </c>
      <c r="B354" s="3234" t="s">
        <v>280</v>
      </c>
      <c r="C354" s="3234">
        <v>3450</v>
      </c>
      <c r="D354" s="3234">
        <v>3420</v>
      </c>
      <c r="E354" s="3234">
        <v>3960</v>
      </c>
      <c r="F354" s="3234">
        <v>660</v>
      </c>
      <c r="G354" s="3234">
        <v>2050</v>
      </c>
    </row>
    <row r="355" spans="1:7" s="3227" customFormat="1">
      <c r="A355" s="3234" t="s">
        <v>307</v>
      </c>
      <c r="B355" s="3234" t="s">
        <v>2969</v>
      </c>
      <c r="C355" s="3234">
        <v>3650</v>
      </c>
      <c r="D355" s="3234">
        <v>3610</v>
      </c>
      <c r="E355" s="3234">
        <v>4200</v>
      </c>
      <c r="F355" s="3234">
        <v>640</v>
      </c>
      <c r="G355" s="3234">
        <v>2160</v>
      </c>
    </row>
    <row r="356" spans="1:7" s="3227" customFormat="1">
      <c r="A356" s="3234" t="s">
        <v>307</v>
      </c>
      <c r="B356" s="3234" t="s">
        <v>2976</v>
      </c>
      <c r="C356" s="3234">
        <v>3260</v>
      </c>
      <c r="D356" s="3234">
        <v>3230</v>
      </c>
      <c r="E356" s="3234">
        <v>3740</v>
      </c>
      <c r="F356" s="3234">
        <v>600</v>
      </c>
      <c r="G356" s="3234">
        <v>1930</v>
      </c>
    </row>
    <row r="357" spans="1:7" s="3227" customFormat="1" ht="12" thickBot="1">
      <c r="A357" s="3242" t="s">
        <v>307</v>
      </c>
      <c r="B357" s="3245" t="s">
        <v>3162</v>
      </c>
      <c r="C357" s="3245">
        <v>3690</v>
      </c>
      <c r="D357" s="3245">
        <v>3650</v>
      </c>
      <c r="E357" s="3245">
        <v>4020</v>
      </c>
      <c r="F357" s="3245">
        <v>700</v>
      </c>
      <c r="G357" s="3245">
        <v>2190</v>
      </c>
    </row>
    <row r="358" spans="1:7" s="3227" customFormat="1">
      <c r="A358" s="3239" t="s">
        <v>3163</v>
      </c>
      <c r="B358" s="3230" t="s">
        <v>3164</v>
      </c>
      <c r="C358" s="3230">
        <v>2080</v>
      </c>
      <c r="D358" s="3230">
        <v>2040</v>
      </c>
      <c r="E358" s="3230">
        <v>2010</v>
      </c>
      <c r="F358" s="3230">
        <v>530</v>
      </c>
      <c r="G358" s="3246">
        <v>1230</v>
      </c>
    </row>
    <row r="359" spans="1:7" s="3227" customFormat="1">
      <c r="A359" s="3234" t="s">
        <v>3163</v>
      </c>
      <c r="B359" s="3234" t="s">
        <v>3165</v>
      </c>
      <c r="C359" s="3234">
        <v>1850</v>
      </c>
      <c r="D359" s="3234">
        <v>1820</v>
      </c>
      <c r="E359" s="3234">
        <v>1780</v>
      </c>
      <c r="F359" s="3234">
        <v>520</v>
      </c>
      <c r="G359" s="3247">
        <v>1100</v>
      </c>
    </row>
    <row r="360" spans="1:7" s="3227" customFormat="1">
      <c r="A360" s="3234" t="s">
        <v>3163</v>
      </c>
      <c r="B360" s="3234" t="s">
        <v>3166</v>
      </c>
      <c r="C360" s="3234">
        <v>2020</v>
      </c>
      <c r="D360" s="3234">
        <v>1990</v>
      </c>
      <c r="E360" s="3234">
        <v>1950</v>
      </c>
      <c r="F360" s="3234">
        <v>500</v>
      </c>
      <c r="G360" s="3247">
        <v>1200</v>
      </c>
    </row>
    <row r="361" spans="1:7" s="3227" customFormat="1">
      <c r="A361" s="3234" t="s">
        <v>3163</v>
      </c>
      <c r="B361" s="3234" t="s">
        <v>153</v>
      </c>
      <c r="C361" s="3234">
        <v>2260</v>
      </c>
      <c r="D361" s="3234">
        <v>2220</v>
      </c>
      <c r="E361" s="3234">
        <v>2180</v>
      </c>
      <c r="F361" s="3234">
        <v>580</v>
      </c>
      <c r="G361" s="3247">
        <v>1340</v>
      </c>
    </row>
    <row r="362" spans="1:7" s="3227" customFormat="1">
      <c r="A362" s="3234" t="s">
        <v>3163</v>
      </c>
      <c r="B362" s="3234" t="s">
        <v>3167</v>
      </c>
      <c r="C362" s="3234">
        <v>2650</v>
      </c>
      <c r="D362" s="3234">
        <v>2610</v>
      </c>
      <c r="E362" s="3234">
        <v>2570</v>
      </c>
      <c r="F362" s="3234">
        <v>630</v>
      </c>
      <c r="G362" s="3247">
        <v>1570</v>
      </c>
    </row>
    <row r="363" spans="1:7" s="3227" customFormat="1">
      <c r="A363" s="3234" t="s">
        <v>3163</v>
      </c>
      <c r="B363" s="3234" t="s">
        <v>2888</v>
      </c>
      <c r="C363" s="3234">
        <v>2390</v>
      </c>
      <c r="D363" s="3234">
        <v>2360</v>
      </c>
      <c r="E363" s="3234">
        <v>2320</v>
      </c>
      <c r="F363" s="3234">
        <v>600</v>
      </c>
      <c r="G363" s="3247">
        <v>1420</v>
      </c>
    </row>
    <row r="364" spans="1:7" s="3227" customFormat="1">
      <c r="A364" s="3234" t="s">
        <v>3163</v>
      </c>
      <c r="B364" s="3234" t="s">
        <v>3168</v>
      </c>
      <c r="C364" s="3234">
        <v>2050</v>
      </c>
      <c r="D364" s="3234">
        <v>2030</v>
      </c>
      <c r="E364" s="3234">
        <v>1990</v>
      </c>
      <c r="F364" s="3234">
        <v>550</v>
      </c>
      <c r="G364" s="3247">
        <v>1220</v>
      </c>
    </row>
    <row r="365" spans="1:7" s="3227" customFormat="1">
      <c r="A365" s="3234" t="s">
        <v>3163</v>
      </c>
      <c r="B365" s="3234" t="s">
        <v>200</v>
      </c>
      <c r="C365" s="3234">
        <v>2140</v>
      </c>
      <c r="D365" s="3234">
        <v>2100</v>
      </c>
      <c r="E365" s="3234">
        <v>2060</v>
      </c>
      <c r="F365" s="3234">
        <v>540</v>
      </c>
      <c r="G365" s="3247">
        <v>1270</v>
      </c>
    </row>
    <row r="366" spans="1:7" s="3227" customFormat="1">
      <c r="A366" s="3234" t="s">
        <v>3163</v>
      </c>
      <c r="B366" s="3234" t="s">
        <v>2895</v>
      </c>
      <c r="C366" s="3234">
        <v>2410</v>
      </c>
      <c r="D366" s="3234">
        <v>2370</v>
      </c>
      <c r="E366" s="3234">
        <v>2330</v>
      </c>
      <c r="F366" s="3234">
        <v>570</v>
      </c>
      <c r="G366" s="3247">
        <v>1440</v>
      </c>
    </row>
    <row r="367" spans="1:7" s="3227" customFormat="1">
      <c r="A367" s="3234" t="s">
        <v>3163</v>
      </c>
      <c r="B367" s="3234" t="s">
        <v>3169</v>
      </c>
      <c r="C367" s="3234">
        <v>2300</v>
      </c>
      <c r="D367" s="3234">
        <v>2260</v>
      </c>
      <c r="E367" s="3234">
        <v>2220</v>
      </c>
      <c r="F367" s="3234">
        <v>560</v>
      </c>
      <c r="G367" s="3247">
        <v>1370</v>
      </c>
    </row>
    <row r="368" spans="1:7" s="3227" customFormat="1">
      <c r="A368" s="3234" t="s">
        <v>3163</v>
      </c>
      <c r="B368" s="3234" t="s">
        <v>3170</v>
      </c>
      <c r="C368" s="3234">
        <v>2430</v>
      </c>
      <c r="D368" s="3234">
        <v>2390</v>
      </c>
      <c r="E368" s="3234">
        <v>2350</v>
      </c>
      <c r="F368" s="3234">
        <v>570</v>
      </c>
      <c r="G368" s="3247">
        <v>1450</v>
      </c>
    </row>
    <row r="369" spans="1:7" s="3227" customFormat="1">
      <c r="A369" s="3234" t="s">
        <v>3163</v>
      </c>
      <c r="B369" s="3234" t="s">
        <v>214</v>
      </c>
      <c r="C369" s="3234">
        <v>2320</v>
      </c>
      <c r="D369" s="3234">
        <v>2290</v>
      </c>
      <c r="E369" s="3234">
        <v>2250</v>
      </c>
      <c r="F369" s="3234">
        <v>550</v>
      </c>
      <c r="G369" s="3247">
        <v>1380</v>
      </c>
    </row>
    <row r="370" spans="1:7" s="3227" customFormat="1">
      <c r="A370" s="3234" t="s">
        <v>3163</v>
      </c>
      <c r="B370" s="3234" t="s">
        <v>221</v>
      </c>
      <c r="C370" s="3234">
        <v>2190</v>
      </c>
      <c r="D370" s="3234">
        <v>2170</v>
      </c>
      <c r="E370" s="3234">
        <v>2130</v>
      </c>
      <c r="F370" s="3234">
        <v>530</v>
      </c>
      <c r="G370" s="3247">
        <v>1310</v>
      </c>
    </row>
    <row r="371" spans="1:7" s="3227" customFormat="1">
      <c r="A371" s="3234" t="s">
        <v>3163</v>
      </c>
      <c r="B371" s="3234" t="s">
        <v>229</v>
      </c>
      <c r="C371" s="3234">
        <v>2460</v>
      </c>
      <c r="D371" s="3234">
        <v>2420</v>
      </c>
      <c r="E371" s="3234">
        <v>2370</v>
      </c>
      <c r="F371" s="3234">
        <v>560</v>
      </c>
      <c r="G371" s="3247">
        <v>1470</v>
      </c>
    </row>
    <row r="372" spans="1:7" s="3227" customFormat="1">
      <c r="A372" s="3234" t="s">
        <v>3163</v>
      </c>
      <c r="B372" s="3234" t="s">
        <v>3171</v>
      </c>
      <c r="C372" s="3234">
        <v>2250</v>
      </c>
      <c r="D372" s="3234">
        <v>2210</v>
      </c>
      <c r="E372" s="3234">
        <v>2180</v>
      </c>
      <c r="F372" s="3234">
        <v>550</v>
      </c>
      <c r="G372" s="3247">
        <v>1340</v>
      </c>
    </row>
    <row r="373" spans="1:7" s="3227" customFormat="1">
      <c r="A373" s="3234" t="s">
        <v>3163</v>
      </c>
      <c r="B373" s="3234" t="s">
        <v>258</v>
      </c>
      <c r="C373" s="3234">
        <v>2210</v>
      </c>
      <c r="D373" s="3234">
        <v>2190</v>
      </c>
      <c r="E373" s="3234">
        <v>2150</v>
      </c>
      <c r="F373" s="3234">
        <v>530</v>
      </c>
      <c r="G373" s="3247">
        <v>1320</v>
      </c>
    </row>
    <row r="374" spans="1:7" s="3227" customFormat="1">
      <c r="A374" s="3234" t="s">
        <v>3163</v>
      </c>
      <c r="B374" s="3234" t="s">
        <v>266</v>
      </c>
      <c r="C374" s="3234">
        <v>2320</v>
      </c>
      <c r="D374" s="3234">
        <v>2280</v>
      </c>
      <c r="E374" s="3234">
        <v>2230</v>
      </c>
      <c r="F374" s="3234">
        <v>580</v>
      </c>
      <c r="G374" s="3247">
        <v>1380</v>
      </c>
    </row>
    <row r="375" spans="1:7" s="3227" customFormat="1">
      <c r="A375" s="3234" t="s">
        <v>3163</v>
      </c>
      <c r="B375" s="3234" t="s">
        <v>3172</v>
      </c>
      <c r="C375" s="3234">
        <v>2090</v>
      </c>
      <c r="D375" s="3234">
        <v>2050</v>
      </c>
      <c r="E375" s="3234">
        <v>2020</v>
      </c>
      <c r="F375" s="3234">
        <v>520</v>
      </c>
      <c r="G375" s="3247">
        <v>1240</v>
      </c>
    </row>
    <row r="376" spans="1:7" s="3227" customFormat="1">
      <c r="A376" s="3234" t="s">
        <v>3163</v>
      </c>
      <c r="B376" s="3234" t="s">
        <v>277</v>
      </c>
      <c r="C376" s="3234">
        <v>2010</v>
      </c>
      <c r="D376" s="3234">
        <v>1980</v>
      </c>
      <c r="E376" s="3234">
        <v>1940</v>
      </c>
      <c r="F376" s="3234">
        <v>540</v>
      </c>
      <c r="G376" s="3247">
        <v>1190</v>
      </c>
    </row>
    <row r="377" spans="1:7" s="3227" customFormat="1" ht="12" thickBot="1">
      <c r="A377" s="3242" t="s">
        <v>3163</v>
      </c>
      <c r="B377" s="3245" t="s">
        <v>2925</v>
      </c>
      <c r="C377" s="3245">
        <v>1930</v>
      </c>
      <c r="D377" s="3245">
        <v>1890</v>
      </c>
      <c r="E377" s="3245">
        <v>1860</v>
      </c>
      <c r="F377" s="3245">
        <v>530</v>
      </c>
      <c r="G377" s="3250">
        <v>1150</v>
      </c>
    </row>
    <row r="378" spans="1:7" s="3227" customFormat="1">
      <c r="A378" s="3251" t="s">
        <v>3173</v>
      </c>
      <c r="B378" s="3230" t="s">
        <v>3174</v>
      </c>
      <c r="C378" s="3230">
        <v>1520</v>
      </c>
      <c r="D378" s="3230">
        <v>1490</v>
      </c>
      <c r="E378" s="3230">
        <v>1460</v>
      </c>
      <c r="F378" s="3230">
        <v>460</v>
      </c>
      <c r="G378" s="3246">
        <v>940</v>
      </c>
    </row>
    <row r="379" spans="1:7" s="3227" customFormat="1">
      <c r="A379" s="3252" t="s">
        <v>3173</v>
      </c>
      <c r="B379" s="3234" t="s">
        <v>3175</v>
      </c>
      <c r="C379" s="3234">
        <v>1500</v>
      </c>
      <c r="D379" s="3234">
        <v>1470</v>
      </c>
      <c r="E379" s="3234">
        <v>1430</v>
      </c>
      <c r="F379" s="3234">
        <v>460</v>
      </c>
      <c r="G379" s="3247">
        <v>920</v>
      </c>
    </row>
    <row r="380" spans="1:7" s="3227" customFormat="1">
      <c r="A380" s="3252" t="s">
        <v>3173</v>
      </c>
      <c r="B380" s="3234" t="s">
        <v>3176</v>
      </c>
      <c r="C380" s="3234">
        <v>1620</v>
      </c>
      <c r="D380" s="3234">
        <v>1590</v>
      </c>
      <c r="E380" s="3234">
        <v>1560</v>
      </c>
      <c r="F380" s="3234">
        <v>480</v>
      </c>
      <c r="G380" s="3247">
        <v>1000</v>
      </c>
    </row>
    <row r="381" spans="1:7" s="3227" customFormat="1">
      <c r="A381" s="3252" t="s">
        <v>3173</v>
      </c>
      <c r="B381" s="3234" t="s">
        <v>3177</v>
      </c>
      <c r="C381" s="3234">
        <v>1460</v>
      </c>
      <c r="D381" s="3234">
        <v>1430</v>
      </c>
      <c r="E381" s="3234">
        <v>1390</v>
      </c>
      <c r="F381" s="3234">
        <v>450</v>
      </c>
      <c r="G381" s="3247">
        <v>900</v>
      </c>
    </row>
    <row r="382" spans="1:7" s="3227" customFormat="1">
      <c r="A382" s="3252" t="s">
        <v>3173</v>
      </c>
      <c r="B382" s="3234" t="s">
        <v>3178</v>
      </c>
      <c r="C382" s="3234">
        <v>1310</v>
      </c>
      <c r="D382" s="3234">
        <v>1280</v>
      </c>
      <c r="E382" s="3234">
        <v>1250</v>
      </c>
      <c r="F382" s="3234">
        <v>440</v>
      </c>
      <c r="G382" s="3247">
        <v>800</v>
      </c>
    </row>
    <row r="383" spans="1:7" s="3227" customFormat="1">
      <c r="A383" s="3252" t="s">
        <v>3173</v>
      </c>
      <c r="B383" s="3234" t="s">
        <v>3179</v>
      </c>
      <c r="C383" s="3234">
        <v>1260</v>
      </c>
      <c r="D383" s="3234">
        <v>1230</v>
      </c>
      <c r="E383" s="3234">
        <v>1200</v>
      </c>
      <c r="F383" s="3234">
        <v>420</v>
      </c>
      <c r="G383" s="3247">
        <v>770</v>
      </c>
    </row>
    <row r="384" spans="1:7" s="3227" customFormat="1" ht="12" thickBot="1">
      <c r="A384" s="3253" t="s">
        <v>3173</v>
      </c>
      <c r="B384" s="3241" t="s">
        <v>3180</v>
      </c>
      <c r="C384" s="3241">
        <v>1170</v>
      </c>
      <c r="D384" s="3241">
        <v>1140</v>
      </c>
      <c r="E384" s="3241">
        <v>1120</v>
      </c>
      <c r="F384" s="3241">
        <v>400</v>
      </c>
      <c r="G384" s="3249">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90" customWidth="1"/>
    <col min="2" max="2" width="20" style="3290" customWidth="1"/>
    <col min="3" max="7" width="8.875" style="3254"/>
    <col min="8" max="16384" width="8.875" style="3255"/>
  </cols>
  <sheetData>
    <row r="1" spans="1:7">
      <c r="A1" s="3780" t="s">
        <v>3181</v>
      </c>
      <c r="B1" s="3780"/>
    </row>
    <row r="2" spans="1:7" ht="14.25" thickBot="1">
      <c r="A2" s="3256"/>
      <c r="B2" s="3256"/>
    </row>
    <row r="3" spans="1:7" ht="14.25" thickBot="1">
      <c r="A3" s="3256"/>
      <c r="B3" s="3256"/>
      <c r="C3" s="3257" t="s">
        <v>2805</v>
      </c>
      <c r="D3" s="3257" t="s">
        <v>2867</v>
      </c>
      <c r="E3" s="3257" t="s">
        <v>2807</v>
      </c>
      <c r="F3" s="3257" t="s">
        <v>2868</v>
      </c>
      <c r="G3" s="3257" t="s">
        <v>2625</v>
      </c>
    </row>
    <row r="4" spans="1:7" ht="14.25" thickBot="1">
      <c r="A4" s="3258" t="s">
        <v>2866</v>
      </c>
      <c r="B4" s="3259" t="s">
        <v>2872</v>
      </c>
      <c r="C4" s="3257"/>
      <c r="D4" s="3257"/>
      <c r="E4" s="3257"/>
      <c r="F4" s="3257"/>
      <c r="G4" s="3257"/>
    </row>
    <row r="5" spans="1:7">
      <c r="A5" s="3260" t="s">
        <v>2840</v>
      </c>
      <c r="B5" s="3261" t="s">
        <v>2854</v>
      </c>
      <c r="C5" s="3262">
        <v>9.8000000000000004E-2</v>
      </c>
      <c r="D5" s="3262">
        <v>8.6999999999999994E-2</v>
      </c>
      <c r="E5" s="3262">
        <v>8.6999999999999994E-2</v>
      </c>
      <c r="F5" s="3262">
        <v>9.8000000000000004E-2</v>
      </c>
      <c r="G5" s="3263">
        <v>9.5000000000000001E-2</v>
      </c>
    </row>
    <row r="6" spans="1:7">
      <c r="A6" s="3264" t="s">
        <v>144</v>
      </c>
      <c r="B6" s="3265" t="s">
        <v>2869</v>
      </c>
      <c r="C6" s="3266">
        <v>9.8000000000000004E-2</v>
      </c>
      <c r="D6" s="3266">
        <v>9.8000000000000004E-2</v>
      </c>
      <c r="E6" s="3266">
        <v>9.8000000000000004E-2</v>
      </c>
      <c r="F6" s="3266">
        <v>0.1</v>
      </c>
      <c r="G6" s="3267">
        <v>9.9000000000000005E-2</v>
      </c>
    </row>
    <row r="7" spans="1:7">
      <c r="A7" s="3264" t="s">
        <v>144</v>
      </c>
      <c r="B7" s="3265" t="s">
        <v>137</v>
      </c>
      <c r="C7" s="3266">
        <v>9.7000000000000003E-2</v>
      </c>
      <c r="D7" s="3266">
        <v>9.7000000000000003E-2</v>
      </c>
      <c r="E7" s="3266">
        <v>9.6000000000000002E-2</v>
      </c>
      <c r="F7" s="3266">
        <v>0.1</v>
      </c>
      <c r="G7" s="3267">
        <v>9.8000000000000004E-2</v>
      </c>
    </row>
    <row r="8" spans="1:7">
      <c r="A8" s="3264" t="s">
        <v>144</v>
      </c>
      <c r="B8" s="3265" t="s">
        <v>145</v>
      </c>
      <c r="C8" s="3266">
        <v>8.1000000000000003E-2</v>
      </c>
      <c r="D8" s="3266">
        <v>8.2000000000000003E-2</v>
      </c>
      <c r="E8" s="3266">
        <v>7.0000000000000007E-2</v>
      </c>
      <c r="F8" s="3266">
        <v>9.6000000000000002E-2</v>
      </c>
      <c r="G8" s="3267">
        <v>8.8999999999999996E-2</v>
      </c>
    </row>
    <row r="9" spans="1:7" ht="14.25" thickBot="1">
      <c r="A9" s="3268" t="s">
        <v>144</v>
      </c>
      <c r="B9" s="3269" t="s">
        <v>154</v>
      </c>
      <c r="C9" s="3270">
        <v>0.1</v>
      </c>
      <c r="D9" s="3270">
        <v>0.1</v>
      </c>
      <c r="E9" s="3270">
        <v>0.1</v>
      </c>
      <c r="F9" s="3271"/>
      <c r="G9" s="3272">
        <v>0.1</v>
      </c>
    </row>
    <row r="10" spans="1:7">
      <c r="A10" s="3260" t="s">
        <v>184</v>
      </c>
      <c r="B10" s="3261" t="s">
        <v>2855</v>
      </c>
      <c r="C10" s="3262">
        <v>6.7000000000000004E-2</v>
      </c>
      <c r="D10" s="3262">
        <v>7.9000000000000001E-2</v>
      </c>
      <c r="E10" s="3262">
        <v>7.9000000000000001E-2</v>
      </c>
      <c r="F10" s="3262">
        <v>0.1</v>
      </c>
      <c r="G10" s="3263">
        <v>9.0999999999999998E-2</v>
      </c>
    </row>
    <row r="11" spans="1:7">
      <c r="A11" s="3264" t="s">
        <v>184</v>
      </c>
      <c r="B11" s="3265" t="s">
        <v>128</v>
      </c>
      <c r="C11" s="3266">
        <v>0.05</v>
      </c>
      <c r="D11" s="3266">
        <v>5.2999999999999999E-2</v>
      </c>
      <c r="E11" s="3266">
        <v>6.3E-2</v>
      </c>
      <c r="F11" s="3266">
        <v>0.1</v>
      </c>
      <c r="G11" s="3267">
        <v>7.1999999999999995E-2</v>
      </c>
    </row>
    <row r="12" spans="1:7">
      <c r="A12" s="3264" t="s">
        <v>184</v>
      </c>
      <c r="B12" s="3265" t="s">
        <v>111</v>
      </c>
      <c r="C12" s="3266">
        <v>5.2999999999999999E-2</v>
      </c>
      <c r="D12" s="3266">
        <v>0.09</v>
      </c>
      <c r="E12" s="3266">
        <v>7.1999999999999995E-2</v>
      </c>
      <c r="F12" s="3266">
        <v>0.1</v>
      </c>
      <c r="G12" s="3267">
        <v>9.7000000000000003E-2</v>
      </c>
    </row>
    <row r="13" spans="1:7">
      <c r="A13" s="3264" t="s">
        <v>184</v>
      </c>
      <c r="B13" s="3265" t="s">
        <v>146</v>
      </c>
      <c r="C13" s="3266">
        <v>9.7000000000000003E-2</v>
      </c>
      <c r="D13" s="3266">
        <v>9.1999999999999998E-2</v>
      </c>
      <c r="E13" s="3266">
        <v>9.5000000000000001E-2</v>
      </c>
      <c r="F13" s="3266">
        <v>0.1</v>
      </c>
      <c r="G13" s="3267">
        <v>9.7000000000000003E-2</v>
      </c>
    </row>
    <row r="14" spans="1:7">
      <c r="A14" s="3264" t="s">
        <v>184</v>
      </c>
      <c r="B14" s="3265" t="s">
        <v>155</v>
      </c>
      <c r="C14" s="3266">
        <v>9.7000000000000003E-2</v>
      </c>
      <c r="D14" s="3266">
        <v>9.7000000000000003E-2</v>
      </c>
      <c r="E14" s="3266">
        <v>9.7000000000000003E-2</v>
      </c>
      <c r="F14" s="3266">
        <v>0.1</v>
      </c>
      <c r="G14" s="3267">
        <v>9.8000000000000004E-2</v>
      </c>
    </row>
    <row r="15" spans="1:7">
      <c r="A15" s="3264" t="s">
        <v>184</v>
      </c>
      <c r="B15" s="3265" t="s">
        <v>162</v>
      </c>
      <c r="C15" s="3266">
        <v>9.8000000000000004E-2</v>
      </c>
      <c r="D15" s="3266">
        <v>9.0999999999999998E-2</v>
      </c>
      <c r="E15" s="3266">
        <v>0.06</v>
      </c>
      <c r="F15" s="3266">
        <v>0.1</v>
      </c>
      <c r="G15" s="3267">
        <v>9.7000000000000003E-2</v>
      </c>
    </row>
    <row r="16" spans="1:7">
      <c r="A16" s="3264" t="s">
        <v>184</v>
      </c>
      <c r="B16" s="3265" t="s">
        <v>168</v>
      </c>
      <c r="C16" s="3266">
        <v>9.8000000000000004E-2</v>
      </c>
      <c r="D16" s="3266">
        <v>9.7000000000000003E-2</v>
      </c>
      <c r="E16" s="3266">
        <v>9.5000000000000001E-2</v>
      </c>
      <c r="F16" s="3266">
        <v>0.1</v>
      </c>
      <c r="G16" s="3267">
        <v>9.9000000000000005E-2</v>
      </c>
    </row>
    <row r="17" spans="1:7">
      <c r="A17" s="3264" t="s">
        <v>184</v>
      </c>
      <c r="B17" s="3265" t="s">
        <v>175</v>
      </c>
      <c r="C17" s="3266">
        <v>8.8999999999999996E-2</v>
      </c>
      <c r="D17" s="3266">
        <v>9.1999999999999998E-2</v>
      </c>
      <c r="E17" s="3266">
        <v>6.0999999999999999E-2</v>
      </c>
      <c r="F17" s="3266">
        <v>0.1</v>
      </c>
      <c r="G17" s="3267">
        <v>9.7000000000000003E-2</v>
      </c>
    </row>
    <row r="18" spans="1:7">
      <c r="A18" s="3264" t="s">
        <v>184</v>
      </c>
      <c r="B18" s="3265" t="s">
        <v>185</v>
      </c>
      <c r="C18" s="3266">
        <v>9.8000000000000004E-2</v>
      </c>
      <c r="D18" s="3266">
        <v>9.8000000000000004E-2</v>
      </c>
      <c r="E18" s="3266">
        <v>9.8000000000000004E-2</v>
      </c>
      <c r="F18" s="3273"/>
      <c r="G18" s="3267">
        <v>9.9000000000000005E-2</v>
      </c>
    </row>
    <row r="19" spans="1:7">
      <c r="A19" s="3264" t="s">
        <v>184</v>
      </c>
      <c r="B19" s="3265" t="s">
        <v>194</v>
      </c>
      <c r="C19" s="3266">
        <v>9.9000000000000005E-2</v>
      </c>
      <c r="D19" s="3266">
        <v>7.3999999999999996E-2</v>
      </c>
      <c r="E19" s="3266">
        <v>8.1000000000000003E-2</v>
      </c>
      <c r="F19" s="3273"/>
      <c r="G19" s="3267">
        <v>9.2999999999999999E-2</v>
      </c>
    </row>
    <row r="20" spans="1:7">
      <c r="A20" s="3264" t="s">
        <v>184</v>
      </c>
      <c r="B20" s="3265" t="s">
        <v>201</v>
      </c>
      <c r="C20" s="3266">
        <v>0.1</v>
      </c>
      <c r="D20" s="3266">
        <v>8.8999999999999996E-2</v>
      </c>
      <c r="E20" s="3266">
        <v>8.8999999999999996E-2</v>
      </c>
      <c r="F20" s="3273"/>
      <c r="G20" s="3267">
        <v>9.5000000000000001E-2</v>
      </c>
    </row>
    <row r="21" spans="1:7">
      <c r="A21" s="3264" t="s">
        <v>184</v>
      </c>
      <c r="B21" s="3265" t="s">
        <v>208</v>
      </c>
      <c r="C21" s="3266">
        <v>0.1</v>
      </c>
      <c r="D21" s="3266">
        <v>9.0999999999999998E-2</v>
      </c>
      <c r="E21" s="3266">
        <v>8.2000000000000003E-2</v>
      </c>
      <c r="F21" s="3273"/>
      <c r="G21" s="3267">
        <v>9.7000000000000003E-2</v>
      </c>
    </row>
    <row r="22" spans="1:7">
      <c r="A22" s="3264" t="s">
        <v>184</v>
      </c>
      <c r="B22" s="3265" t="s">
        <v>2905</v>
      </c>
      <c r="C22" s="3266">
        <v>9.5000000000000001E-2</v>
      </c>
      <c r="D22" s="3266">
        <v>9.9000000000000005E-2</v>
      </c>
      <c r="E22" s="3266">
        <v>9.8000000000000004E-2</v>
      </c>
      <c r="F22" s="3273"/>
      <c r="G22" s="3267">
        <v>0.1</v>
      </c>
    </row>
    <row r="23" spans="1:7">
      <c r="A23" s="3264" t="s">
        <v>184</v>
      </c>
      <c r="B23" s="3265" t="s">
        <v>222</v>
      </c>
      <c r="C23" s="3266">
        <v>9.9000000000000005E-2</v>
      </c>
      <c r="D23" s="3266">
        <v>0.1</v>
      </c>
      <c r="E23" s="3266">
        <v>0.1</v>
      </c>
      <c r="F23" s="3273"/>
      <c r="G23" s="3267">
        <v>0.1</v>
      </c>
    </row>
    <row r="24" spans="1:7">
      <c r="A24" s="3264" t="s">
        <v>184</v>
      </c>
      <c r="B24" s="3265" t="s">
        <v>230</v>
      </c>
      <c r="C24" s="3266">
        <v>9.5000000000000001E-2</v>
      </c>
      <c r="D24" s="3266">
        <v>0.1</v>
      </c>
      <c r="E24" s="3266">
        <v>9.8000000000000004E-2</v>
      </c>
      <c r="F24" s="3273"/>
      <c r="G24" s="3267">
        <v>0.1</v>
      </c>
    </row>
    <row r="25" spans="1:7">
      <c r="A25" s="3264" t="s">
        <v>184</v>
      </c>
      <c r="B25" s="3265" t="s">
        <v>235</v>
      </c>
      <c r="C25" s="3266">
        <v>0.05</v>
      </c>
      <c r="D25" s="3266">
        <v>9.6000000000000002E-2</v>
      </c>
      <c r="E25" s="3266">
        <v>9.6000000000000002E-2</v>
      </c>
      <c r="F25" s="3273"/>
      <c r="G25" s="3267">
        <v>9.6000000000000002E-2</v>
      </c>
    </row>
    <row r="26" spans="1:7">
      <c r="A26" s="3264" t="s">
        <v>184</v>
      </c>
      <c r="B26" s="3265" t="s">
        <v>244</v>
      </c>
      <c r="C26" s="3266">
        <v>6.3E-2</v>
      </c>
      <c r="D26" s="3266">
        <v>9.9000000000000005E-2</v>
      </c>
      <c r="E26" s="3266">
        <v>9.8000000000000004E-2</v>
      </c>
      <c r="F26" s="3273"/>
      <c r="G26" s="3267">
        <v>0.1</v>
      </c>
    </row>
    <row r="27" spans="1:7">
      <c r="A27" s="3264" t="s">
        <v>184</v>
      </c>
      <c r="B27" s="3265" t="s">
        <v>251</v>
      </c>
      <c r="C27" s="3266">
        <v>5.1999999999999998E-2</v>
      </c>
      <c r="D27" s="3266">
        <v>9.5000000000000001E-2</v>
      </c>
      <c r="E27" s="3266">
        <v>6.4000000000000001E-2</v>
      </c>
      <c r="F27" s="3273"/>
      <c r="G27" s="3267">
        <v>9.7000000000000003E-2</v>
      </c>
    </row>
    <row r="28" spans="1:7">
      <c r="A28" s="3264" t="s">
        <v>184</v>
      </c>
      <c r="B28" s="3265" t="s">
        <v>259</v>
      </c>
      <c r="C28" s="3273"/>
      <c r="D28" s="3266">
        <v>6.3E-2</v>
      </c>
      <c r="E28" s="3266">
        <v>5.1999999999999998E-2</v>
      </c>
      <c r="F28" s="3273"/>
      <c r="G28" s="3267">
        <v>6.3E-2</v>
      </c>
    </row>
    <row r="29" spans="1:7" ht="14.25" thickBot="1">
      <c r="A29" s="3268" t="s">
        <v>184</v>
      </c>
      <c r="B29" s="3269" t="s">
        <v>2923</v>
      </c>
      <c r="C29" s="3274"/>
      <c r="D29" s="3270">
        <v>5.1999999999999998E-2</v>
      </c>
      <c r="E29" s="3270">
        <v>7.0000000000000007E-2</v>
      </c>
      <c r="F29" s="3274"/>
      <c r="G29" s="3272">
        <v>7.0999999999999994E-2</v>
      </c>
    </row>
    <row r="30" spans="1:7">
      <c r="A30" s="3275" t="s">
        <v>296</v>
      </c>
      <c r="B30" s="3261" t="s">
        <v>2856</v>
      </c>
      <c r="C30" s="3262">
        <v>6.6000000000000003E-2</v>
      </c>
      <c r="D30" s="3262">
        <v>6.6000000000000003E-2</v>
      </c>
      <c r="E30" s="3262">
        <v>5.7000000000000002E-2</v>
      </c>
      <c r="F30" s="3262">
        <v>0.1</v>
      </c>
      <c r="G30" s="3263">
        <v>6.8000000000000005E-2</v>
      </c>
    </row>
    <row r="31" spans="1:7">
      <c r="A31" s="3276" t="s">
        <v>296</v>
      </c>
      <c r="B31" s="3265" t="s">
        <v>129</v>
      </c>
      <c r="C31" s="3266">
        <v>5.5E-2</v>
      </c>
      <c r="D31" s="3266">
        <v>8.2000000000000003E-2</v>
      </c>
      <c r="E31" s="3266">
        <v>6.4000000000000001E-2</v>
      </c>
      <c r="F31" s="3266">
        <v>0.1</v>
      </c>
      <c r="G31" s="3267">
        <v>9.5000000000000001E-2</v>
      </c>
    </row>
    <row r="32" spans="1:7">
      <c r="A32" s="3276" t="s">
        <v>296</v>
      </c>
      <c r="B32" s="3265" t="s">
        <v>138</v>
      </c>
      <c r="C32" s="3266">
        <v>8.2000000000000003E-2</v>
      </c>
      <c r="D32" s="3266">
        <v>8.6999999999999994E-2</v>
      </c>
      <c r="E32" s="3266">
        <v>9.5000000000000001E-2</v>
      </c>
      <c r="F32" s="3266">
        <v>0.1</v>
      </c>
      <c r="G32" s="3267">
        <v>9.6000000000000002E-2</v>
      </c>
    </row>
    <row r="33" spans="1:7">
      <c r="A33" s="3276" t="s">
        <v>296</v>
      </c>
      <c r="B33" s="3265" t="s">
        <v>147</v>
      </c>
      <c r="C33" s="3266">
        <v>9.9000000000000005E-2</v>
      </c>
      <c r="D33" s="3266">
        <v>9.1999999999999998E-2</v>
      </c>
      <c r="E33" s="3266">
        <v>8.6999999999999994E-2</v>
      </c>
      <c r="F33" s="3266">
        <v>0.1</v>
      </c>
      <c r="G33" s="3267">
        <v>9.7000000000000003E-2</v>
      </c>
    </row>
    <row r="34" spans="1:7">
      <c r="A34" s="3276" t="s">
        <v>296</v>
      </c>
      <c r="B34" s="3265" t="s">
        <v>156</v>
      </c>
      <c r="C34" s="3266">
        <v>8.4000000000000005E-2</v>
      </c>
      <c r="D34" s="3266">
        <v>9.7000000000000003E-2</v>
      </c>
      <c r="E34" s="3266">
        <v>7.0999999999999994E-2</v>
      </c>
      <c r="F34" s="3266">
        <v>0.1</v>
      </c>
      <c r="G34" s="3267">
        <v>9.8000000000000004E-2</v>
      </c>
    </row>
    <row r="35" spans="1:7">
      <c r="A35" s="3276" t="s">
        <v>296</v>
      </c>
      <c r="B35" s="3265" t="s">
        <v>163</v>
      </c>
      <c r="C35" s="3266">
        <v>8.3000000000000004E-2</v>
      </c>
      <c r="D35" s="3266">
        <v>9.7000000000000003E-2</v>
      </c>
      <c r="E35" s="3266">
        <v>6.0999999999999999E-2</v>
      </c>
      <c r="F35" s="3266">
        <v>0.1</v>
      </c>
      <c r="G35" s="3267">
        <v>9.9000000000000005E-2</v>
      </c>
    </row>
    <row r="36" spans="1:7">
      <c r="A36" s="3276" t="s">
        <v>296</v>
      </c>
      <c r="B36" s="3265" t="s">
        <v>169</v>
      </c>
      <c r="C36" s="3266">
        <v>9.7000000000000003E-2</v>
      </c>
      <c r="D36" s="3266">
        <v>9.7000000000000003E-2</v>
      </c>
      <c r="E36" s="3266">
        <v>7.8E-2</v>
      </c>
      <c r="F36" s="3266">
        <v>0.1</v>
      </c>
      <c r="G36" s="3267">
        <v>9.9000000000000005E-2</v>
      </c>
    </row>
    <row r="37" spans="1:7">
      <c r="A37" s="3276" t="s">
        <v>296</v>
      </c>
      <c r="B37" s="3265" t="s">
        <v>176</v>
      </c>
      <c r="C37" s="3266">
        <v>9.7000000000000003E-2</v>
      </c>
      <c r="D37" s="3266">
        <v>9.5000000000000001E-2</v>
      </c>
      <c r="E37" s="3266">
        <v>7.8E-2</v>
      </c>
      <c r="F37" s="3266">
        <v>0.1</v>
      </c>
      <c r="G37" s="3267">
        <v>9.7000000000000003E-2</v>
      </c>
    </row>
    <row r="38" spans="1:7">
      <c r="A38" s="3276" t="s">
        <v>296</v>
      </c>
      <c r="B38" s="3265" t="s">
        <v>186</v>
      </c>
      <c r="C38" s="3266">
        <v>9.7000000000000003E-2</v>
      </c>
      <c r="D38" s="3266">
        <v>7.6999999999999999E-2</v>
      </c>
      <c r="E38" s="3266">
        <v>7.0000000000000007E-2</v>
      </c>
      <c r="F38" s="3266">
        <v>0.1</v>
      </c>
      <c r="G38" s="3267">
        <v>7.6999999999999999E-2</v>
      </c>
    </row>
    <row r="39" spans="1:7">
      <c r="A39" s="3276" t="s">
        <v>296</v>
      </c>
      <c r="B39" s="3265" t="s">
        <v>195</v>
      </c>
      <c r="C39" s="3266">
        <v>9.5000000000000001E-2</v>
      </c>
      <c r="D39" s="3266">
        <v>7.6999999999999999E-2</v>
      </c>
      <c r="E39" s="3266">
        <v>6.6000000000000003E-2</v>
      </c>
      <c r="F39" s="3266">
        <v>0.1</v>
      </c>
      <c r="G39" s="3267">
        <v>8.5999999999999993E-2</v>
      </c>
    </row>
    <row r="40" spans="1:7">
      <c r="A40" s="3276" t="s">
        <v>296</v>
      </c>
      <c r="B40" s="3265" t="s">
        <v>202</v>
      </c>
      <c r="C40" s="3266">
        <v>7.6999999999999999E-2</v>
      </c>
      <c r="D40" s="3266">
        <v>7.8E-2</v>
      </c>
      <c r="E40" s="3266">
        <v>8.2000000000000003E-2</v>
      </c>
      <c r="F40" s="3277"/>
      <c r="G40" s="3267">
        <v>7.8E-2</v>
      </c>
    </row>
    <row r="41" spans="1:7">
      <c r="A41" s="3276" t="s">
        <v>296</v>
      </c>
      <c r="B41" s="3265" t="s">
        <v>209</v>
      </c>
      <c r="C41" s="3266">
        <v>7.8E-2</v>
      </c>
      <c r="D41" s="3266">
        <v>7.8E-2</v>
      </c>
      <c r="E41" s="3266">
        <v>8.2000000000000003E-2</v>
      </c>
      <c r="F41" s="3277"/>
      <c r="G41" s="3267">
        <v>8.5999999999999993E-2</v>
      </c>
    </row>
    <row r="42" spans="1:7">
      <c r="A42" s="3276" t="s">
        <v>296</v>
      </c>
      <c r="B42" s="3265" t="s">
        <v>215</v>
      </c>
      <c r="C42" s="3266">
        <v>7.8E-2</v>
      </c>
      <c r="D42" s="3266">
        <v>9.6000000000000002E-2</v>
      </c>
      <c r="E42" s="3266">
        <v>7.1999999999999995E-2</v>
      </c>
      <c r="F42" s="3277"/>
      <c r="G42" s="3267">
        <v>9.8000000000000004E-2</v>
      </c>
    </row>
    <row r="43" spans="1:7">
      <c r="A43" s="3276" t="s">
        <v>2842</v>
      </c>
      <c r="B43" s="3265" t="s">
        <v>223</v>
      </c>
      <c r="C43" s="3266">
        <v>7.8E-2</v>
      </c>
      <c r="D43" s="3266">
        <v>9.9000000000000005E-2</v>
      </c>
      <c r="E43" s="3266">
        <v>9.6000000000000002E-2</v>
      </c>
      <c r="F43" s="3277"/>
      <c r="G43" s="3267">
        <v>0.1</v>
      </c>
    </row>
    <row r="44" spans="1:7">
      <c r="A44" s="3276" t="s">
        <v>296</v>
      </c>
      <c r="B44" s="3265" t="s">
        <v>231</v>
      </c>
      <c r="C44" s="3266">
        <v>9.6000000000000002E-2</v>
      </c>
      <c r="D44" s="3266">
        <v>0.1</v>
      </c>
      <c r="E44" s="3266">
        <v>9.8000000000000004E-2</v>
      </c>
      <c r="F44" s="3277"/>
      <c r="G44" s="3267">
        <v>0.1</v>
      </c>
    </row>
    <row r="45" spans="1:7">
      <c r="A45" s="3276" t="s">
        <v>296</v>
      </c>
      <c r="B45" s="3265" t="s">
        <v>236</v>
      </c>
      <c r="C45" s="3266">
        <v>9.9000000000000005E-2</v>
      </c>
      <c r="D45" s="3266">
        <v>9.8000000000000004E-2</v>
      </c>
      <c r="E45" s="3266">
        <v>9.5000000000000001E-2</v>
      </c>
      <c r="F45" s="3277"/>
      <c r="G45" s="3267">
        <v>9.8000000000000004E-2</v>
      </c>
    </row>
    <row r="46" spans="1:7">
      <c r="A46" s="3276" t="s">
        <v>296</v>
      </c>
      <c r="B46" s="3265" t="s">
        <v>245</v>
      </c>
      <c r="C46" s="3266">
        <v>0.1</v>
      </c>
      <c r="D46" s="3266">
        <v>9.9000000000000005E-2</v>
      </c>
      <c r="E46" s="3266">
        <v>9.6000000000000002E-2</v>
      </c>
      <c r="F46" s="3277"/>
      <c r="G46" s="3267">
        <v>0.1</v>
      </c>
    </row>
    <row r="47" spans="1:7">
      <c r="A47" s="3276" t="s">
        <v>296</v>
      </c>
      <c r="B47" s="3265" t="s">
        <v>252</v>
      </c>
      <c r="C47" s="3266">
        <v>9.8000000000000004E-2</v>
      </c>
      <c r="D47" s="3266">
        <v>8.6999999999999994E-2</v>
      </c>
      <c r="E47" s="3266">
        <v>5.8999999999999997E-2</v>
      </c>
      <c r="F47" s="3277"/>
      <c r="G47" s="3267">
        <v>9.6000000000000002E-2</v>
      </c>
    </row>
    <row r="48" spans="1:7">
      <c r="A48" s="3276" t="s">
        <v>296</v>
      </c>
      <c r="B48" s="3265" t="s">
        <v>260</v>
      </c>
      <c r="C48" s="3266">
        <v>9.9000000000000005E-2</v>
      </c>
      <c r="D48" s="3266">
        <v>9.8000000000000004E-2</v>
      </c>
      <c r="E48" s="3266">
        <v>9.5000000000000001E-2</v>
      </c>
      <c r="F48" s="3277"/>
      <c r="G48" s="3267">
        <v>9.8000000000000004E-2</v>
      </c>
    </row>
    <row r="49" spans="1:7">
      <c r="A49" s="3276" t="s">
        <v>296</v>
      </c>
      <c r="B49" s="3265" t="s">
        <v>267</v>
      </c>
      <c r="C49" s="3266">
        <v>8.7999999999999995E-2</v>
      </c>
      <c r="D49" s="3266">
        <v>9.9000000000000005E-2</v>
      </c>
      <c r="E49" s="3266">
        <v>7.0000000000000007E-2</v>
      </c>
      <c r="F49" s="3277"/>
      <c r="G49" s="3267">
        <v>0.1</v>
      </c>
    </row>
    <row r="50" spans="1:7">
      <c r="A50" s="3276" t="s">
        <v>296</v>
      </c>
      <c r="B50" s="3265" t="s">
        <v>2926</v>
      </c>
      <c r="C50" s="3266">
        <v>9.8000000000000004E-2</v>
      </c>
      <c r="D50" s="3266">
        <v>7.2999999999999995E-2</v>
      </c>
      <c r="E50" s="3266">
        <v>7.0999999999999994E-2</v>
      </c>
      <c r="F50" s="3277"/>
      <c r="G50" s="3267">
        <v>7.2999999999999995E-2</v>
      </c>
    </row>
    <row r="51" spans="1:7">
      <c r="A51" s="3276" t="s">
        <v>296</v>
      </c>
      <c r="B51" s="3265" t="s">
        <v>2928</v>
      </c>
      <c r="C51" s="3266">
        <v>9.9000000000000005E-2</v>
      </c>
      <c r="D51" s="3266">
        <v>8.5000000000000006E-2</v>
      </c>
      <c r="E51" s="3266">
        <v>6.3E-2</v>
      </c>
      <c r="F51" s="3277"/>
      <c r="G51" s="3267">
        <v>9.6000000000000002E-2</v>
      </c>
    </row>
    <row r="52" spans="1:7">
      <c r="A52" s="3276" t="s">
        <v>296</v>
      </c>
      <c r="B52" s="3265" t="s">
        <v>2932</v>
      </c>
      <c r="C52" s="3266">
        <v>7.3999999999999996E-2</v>
      </c>
      <c r="D52" s="3266">
        <v>9.6000000000000002E-2</v>
      </c>
      <c r="E52" s="3266">
        <v>0.05</v>
      </c>
      <c r="F52" s="3277"/>
      <c r="G52" s="3267">
        <v>9.8000000000000004E-2</v>
      </c>
    </row>
    <row r="53" spans="1:7">
      <c r="A53" s="3276" t="s">
        <v>296</v>
      </c>
      <c r="B53" s="3265" t="s">
        <v>2937</v>
      </c>
      <c r="C53" s="3266">
        <v>8.5999999999999993E-2</v>
      </c>
      <c r="D53" s="3277"/>
      <c r="E53" s="3266">
        <v>9.1999999999999998E-2</v>
      </c>
      <c r="F53" s="3277"/>
      <c r="G53" s="3278"/>
    </row>
    <row r="54" spans="1:7" ht="14.25" thickBot="1">
      <c r="A54" s="3279" t="s">
        <v>296</v>
      </c>
      <c r="B54" s="3269" t="s">
        <v>2940</v>
      </c>
      <c r="C54" s="3270">
        <v>9.6000000000000002E-2</v>
      </c>
      <c r="D54" s="3271"/>
      <c r="E54" s="3280"/>
      <c r="F54" s="3271"/>
      <c r="G54" s="3281"/>
    </row>
    <row r="55" spans="1:7">
      <c r="A55" s="3275" t="s">
        <v>110</v>
      </c>
      <c r="B55" s="3261" t="s">
        <v>2857</v>
      </c>
      <c r="C55" s="3262">
        <v>9.6000000000000002E-2</v>
      </c>
      <c r="D55" s="3262">
        <v>8.4000000000000005E-2</v>
      </c>
      <c r="E55" s="3262">
        <v>9.1999999999999998E-2</v>
      </c>
      <c r="F55" s="3262">
        <v>0.1</v>
      </c>
      <c r="G55" s="3263">
        <v>9.5000000000000001E-2</v>
      </c>
    </row>
    <row r="56" spans="1:7">
      <c r="A56" s="3276" t="s">
        <v>110</v>
      </c>
      <c r="B56" s="3265" t="s">
        <v>130</v>
      </c>
      <c r="C56" s="3266">
        <v>8.4000000000000005E-2</v>
      </c>
      <c r="D56" s="3266">
        <v>9.1999999999999998E-2</v>
      </c>
      <c r="E56" s="3266">
        <v>9.5000000000000001E-2</v>
      </c>
      <c r="F56" s="3266">
        <v>9.1999999999999998E-2</v>
      </c>
      <c r="G56" s="3267">
        <v>9.6000000000000002E-2</v>
      </c>
    </row>
    <row r="57" spans="1:7">
      <c r="A57" s="3276" t="s">
        <v>110</v>
      </c>
      <c r="B57" s="3265" t="s">
        <v>139</v>
      </c>
      <c r="C57" s="3266">
        <v>9.9000000000000005E-2</v>
      </c>
      <c r="D57" s="3266">
        <v>9.6000000000000002E-2</v>
      </c>
      <c r="E57" s="3266">
        <v>9.1999999999999998E-2</v>
      </c>
      <c r="F57" s="3266">
        <v>0.1</v>
      </c>
      <c r="G57" s="3267">
        <v>9.8000000000000004E-2</v>
      </c>
    </row>
    <row r="58" spans="1:7">
      <c r="A58" s="3276" t="s">
        <v>110</v>
      </c>
      <c r="B58" s="3265" t="s">
        <v>148</v>
      </c>
      <c r="C58" s="3266">
        <v>9.8000000000000004E-2</v>
      </c>
      <c r="D58" s="3266">
        <v>9.5000000000000001E-2</v>
      </c>
      <c r="E58" s="3266">
        <v>5.7000000000000002E-2</v>
      </c>
      <c r="F58" s="3266">
        <v>0.1</v>
      </c>
      <c r="G58" s="3267">
        <v>9.6000000000000002E-2</v>
      </c>
    </row>
    <row r="59" spans="1:7">
      <c r="A59" s="3276" t="s">
        <v>110</v>
      </c>
      <c r="B59" s="3265" t="s">
        <v>157</v>
      </c>
      <c r="C59" s="3266">
        <v>9.5000000000000001E-2</v>
      </c>
      <c r="D59" s="3266">
        <v>0.1</v>
      </c>
      <c r="E59" s="3266">
        <v>7.4999999999999997E-2</v>
      </c>
      <c r="F59" s="3266">
        <v>0.1</v>
      </c>
      <c r="G59" s="3267">
        <v>0.1</v>
      </c>
    </row>
    <row r="60" spans="1:7">
      <c r="A60" s="3276" t="s">
        <v>110</v>
      </c>
      <c r="B60" s="3265" t="s">
        <v>164</v>
      </c>
      <c r="C60" s="3266">
        <v>0.1</v>
      </c>
      <c r="D60" s="3266">
        <v>9.7000000000000003E-2</v>
      </c>
      <c r="E60" s="3266">
        <v>0.1</v>
      </c>
      <c r="F60" s="3266">
        <v>0.1</v>
      </c>
      <c r="G60" s="3267">
        <v>9.7000000000000003E-2</v>
      </c>
    </row>
    <row r="61" spans="1:7">
      <c r="A61" s="3276" t="s">
        <v>110</v>
      </c>
      <c r="B61" s="3265" t="s">
        <v>170</v>
      </c>
      <c r="C61" s="3266">
        <v>9.7000000000000003E-2</v>
      </c>
      <c r="D61" s="3266">
        <v>0.1</v>
      </c>
      <c r="E61" s="3266">
        <v>9.2999999999999999E-2</v>
      </c>
      <c r="F61" s="3266">
        <v>0.1</v>
      </c>
      <c r="G61" s="3267">
        <v>0.1</v>
      </c>
    </row>
    <row r="62" spans="1:7">
      <c r="A62" s="3276" t="s">
        <v>110</v>
      </c>
      <c r="B62" s="3265" t="s">
        <v>177</v>
      </c>
      <c r="C62" s="3266">
        <v>0.1</v>
      </c>
      <c r="D62" s="3266">
        <v>9.7000000000000003E-2</v>
      </c>
      <c r="E62" s="3266">
        <v>8.8999999999999996E-2</v>
      </c>
      <c r="F62" s="3266">
        <v>0.1</v>
      </c>
      <c r="G62" s="3267">
        <v>9.8000000000000004E-2</v>
      </c>
    </row>
    <row r="63" spans="1:7">
      <c r="A63" s="3276" t="s">
        <v>110</v>
      </c>
      <c r="B63" s="3265" t="s">
        <v>187</v>
      </c>
      <c r="C63" s="3266">
        <v>9.7000000000000003E-2</v>
      </c>
      <c r="D63" s="3266">
        <v>9.7000000000000003E-2</v>
      </c>
      <c r="E63" s="3266">
        <v>9.9000000000000005E-2</v>
      </c>
      <c r="F63" s="3266">
        <v>0.1</v>
      </c>
      <c r="G63" s="3267">
        <v>9.7000000000000003E-2</v>
      </c>
    </row>
    <row r="64" spans="1:7">
      <c r="A64" s="3276" t="s">
        <v>110</v>
      </c>
      <c r="B64" s="3265" t="s">
        <v>196</v>
      </c>
      <c r="C64" s="3266">
        <v>9.7000000000000003E-2</v>
      </c>
      <c r="D64" s="3266">
        <v>7.3999999999999996E-2</v>
      </c>
      <c r="E64" s="3266">
        <v>7.8E-2</v>
      </c>
      <c r="F64" s="3266">
        <v>0.1</v>
      </c>
      <c r="G64" s="3267">
        <v>8.8999999999999996E-2</v>
      </c>
    </row>
    <row r="65" spans="1:7">
      <c r="A65" s="3276" t="s">
        <v>110</v>
      </c>
      <c r="B65" s="3265" t="s">
        <v>203</v>
      </c>
      <c r="C65" s="3266">
        <v>7.2999999999999995E-2</v>
      </c>
      <c r="D65" s="3266">
        <v>9.8000000000000004E-2</v>
      </c>
      <c r="E65" s="3266">
        <v>9.5000000000000001E-2</v>
      </c>
      <c r="F65" s="3266">
        <v>0.1</v>
      </c>
      <c r="G65" s="3267">
        <v>9.9000000000000005E-2</v>
      </c>
    </row>
    <row r="66" spans="1:7">
      <c r="A66" s="3276" t="s">
        <v>110</v>
      </c>
      <c r="B66" s="3265" t="s">
        <v>210</v>
      </c>
      <c r="C66" s="3266">
        <v>9.8000000000000004E-2</v>
      </c>
      <c r="D66" s="3266">
        <v>9.5000000000000001E-2</v>
      </c>
      <c r="E66" s="3266">
        <v>0.05</v>
      </c>
      <c r="F66" s="3266">
        <v>0.1</v>
      </c>
      <c r="G66" s="3267">
        <v>9.7000000000000003E-2</v>
      </c>
    </row>
    <row r="67" spans="1:7">
      <c r="A67" s="3276" t="s">
        <v>110</v>
      </c>
      <c r="B67" s="3265" t="s">
        <v>216</v>
      </c>
      <c r="C67" s="3266">
        <v>9.5000000000000001E-2</v>
      </c>
      <c r="D67" s="3266">
        <v>9.7000000000000003E-2</v>
      </c>
      <c r="E67" s="3266">
        <v>9.7000000000000003E-2</v>
      </c>
      <c r="F67" s="3266">
        <v>0.1</v>
      </c>
      <c r="G67" s="3267">
        <v>9.9000000000000005E-2</v>
      </c>
    </row>
    <row r="68" spans="1:7">
      <c r="A68" s="3276" t="s">
        <v>110</v>
      </c>
      <c r="B68" s="3265" t="s">
        <v>224</v>
      </c>
      <c r="C68" s="3266">
        <v>9.7000000000000003E-2</v>
      </c>
      <c r="D68" s="3266">
        <v>6.8000000000000005E-2</v>
      </c>
      <c r="E68" s="3266">
        <v>6.6000000000000003E-2</v>
      </c>
      <c r="F68" s="3266">
        <v>0.1</v>
      </c>
      <c r="G68" s="3267">
        <v>8.4000000000000005E-2</v>
      </c>
    </row>
    <row r="69" spans="1:7">
      <c r="A69" s="3276" t="s">
        <v>110</v>
      </c>
      <c r="B69" s="3265" t="s">
        <v>232</v>
      </c>
      <c r="C69" s="3266">
        <v>6.8000000000000005E-2</v>
      </c>
      <c r="D69" s="3266">
        <v>9.8000000000000004E-2</v>
      </c>
      <c r="E69" s="3266">
        <v>9.5000000000000001E-2</v>
      </c>
      <c r="F69" s="3266">
        <v>0.1</v>
      </c>
      <c r="G69" s="3267">
        <v>0.1</v>
      </c>
    </row>
    <row r="70" spans="1:7">
      <c r="A70" s="3276" t="s">
        <v>110</v>
      </c>
      <c r="B70" s="3265" t="s">
        <v>237</v>
      </c>
      <c r="C70" s="3266">
        <v>9.8000000000000004E-2</v>
      </c>
      <c r="D70" s="3266">
        <v>8.8999999999999996E-2</v>
      </c>
      <c r="E70" s="3266">
        <v>5.8999999999999997E-2</v>
      </c>
      <c r="F70" s="3266">
        <v>0.1</v>
      </c>
      <c r="G70" s="3267">
        <v>9.6000000000000002E-2</v>
      </c>
    </row>
    <row r="71" spans="1:7">
      <c r="A71" s="3276" t="s">
        <v>110</v>
      </c>
      <c r="B71" s="3265" t="s">
        <v>246</v>
      </c>
      <c r="C71" s="3266">
        <v>8.8999999999999996E-2</v>
      </c>
      <c r="D71" s="3266">
        <v>9.9000000000000005E-2</v>
      </c>
      <c r="E71" s="3266">
        <v>9.6000000000000002E-2</v>
      </c>
      <c r="F71" s="3266">
        <v>0.1</v>
      </c>
      <c r="G71" s="3267">
        <v>0.1</v>
      </c>
    </row>
    <row r="72" spans="1:7">
      <c r="A72" s="3276" t="s">
        <v>110</v>
      </c>
      <c r="B72" s="3265" t="s">
        <v>253</v>
      </c>
      <c r="C72" s="3266">
        <v>9.9000000000000005E-2</v>
      </c>
      <c r="D72" s="3266">
        <v>0.1</v>
      </c>
      <c r="E72" s="3266">
        <v>7.0000000000000007E-2</v>
      </c>
      <c r="F72" s="3277"/>
      <c r="G72" s="3267">
        <v>0.1</v>
      </c>
    </row>
    <row r="73" spans="1:7">
      <c r="A73" s="3276" t="s">
        <v>110</v>
      </c>
      <c r="B73" s="3265" t="s">
        <v>261</v>
      </c>
      <c r="C73" s="3266">
        <v>0.1</v>
      </c>
      <c r="D73" s="3266">
        <v>0.1</v>
      </c>
      <c r="E73" s="3266">
        <v>9.6000000000000002E-2</v>
      </c>
      <c r="F73" s="3277"/>
      <c r="G73" s="3267">
        <v>0.1</v>
      </c>
    </row>
    <row r="74" spans="1:7">
      <c r="A74" s="3276" t="s">
        <v>110</v>
      </c>
      <c r="B74" s="3265" t="s">
        <v>268</v>
      </c>
      <c r="C74" s="3266">
        <v>0.1</v>
      </c>
      <c r="D74" s="3266">
        <v>0.1</v>
      </c>
      <c r="E74" s="3266">
        <v>9.8000000000000004E-2</v>
      </c>
      <c r="F74" s="3277"/>
      <c r="G74" s="3267">
        <v>0.1</v>
      </c>
    </row>
    <row r="75" spans="1:7">
      <c r="A75" s="3276" t="s">
        <v>110</v>
      </c>
      <c r="B75" s="3265" t="s">
        <v>272</v>
      </c>
      <c r="C75" s="3266">
        <v>0.1</v>
      </c>
      <c r="D75" s="3266">
        <v>9.9000000000000005E-2</v>
      </c>
      <c r="E75" s="3266">
        <v>9.8000000000000004E-2</v>
      </c>
      <c r="F75" s="3277"/>
      <c r="G75" s="3267">
        <v>0.1</v>
      </c>
    </row>
    <row r="76" spans="1:7">
      <c r="A76" s="3276" t="s">
        <v>110</v>
      </c>
      <c r="B76" s="3265" t="s">
        <v>278</v>
      </c>
      <c r="C76" s="3266">
        <v>9.9000000000000005E-2</v>
      </c>
      <c r="D76" s="3266">
        <v>0.1</v>
      </c>
      <c r="E76" s="3266">
        <v>9.7000000000000003E-2</v>
      </c>
      <c r="F76" s="3277"/>
      <c r="G76" s="3267">
        <v>0.1</v>
      </c>
    </row>
    <row r="77" spans="1:7">
      <c r="A77" s="3276" t="s">
        <v>110</v>
      </c>
      <c r="B77" s="3265" t="s">
        <v>281</v>
      </c>
      <c r="C77" s="3266">
        <v>0.1</v>
      </c>
      <c r="D77" s="3266">
        <v>0.1</v>
      </c>
      <c r="E77" s="3266">
        <v>9.6000000000000002E-2</v>
      </c>
      <c r="F77" s="3277"/>
      <c r="G77" s="3267">
        <v>0.1</v>
      </c>
    </row>
    <row r="78" spans="1:7">
      <c r="A78" s="3276" t="s">
        <v>110</v>
      </c>
      <c r="B78" s="3265" t="s">
        <v>2938</v>
      </c>
      <c r="C78" s="3266">
        <v>0.1</v>
      </c>
      <c r="D78" s="3266">
        <v>8.5000000000000006E-2</v>
      </c>
      <c r="E78" s="3266">
        <v>9.6000000000000002E-2</v>
      </c>
      <c r="F78" s="3277"/>
      <c r="G78" s="3267">
        <v>9.6000000000000002E-2</v>
      </c>
    </row>
    <row r="79" spans="1:7">
      <c r="A79" s="3276" t="s">
        <v>110</v>
      </c>
      <c r="B79" s="3265" t="s">
        <v>2941</v>
      </c>
      <c r="C79" s="3266">
        <v>0.05</v>
      </c>
      <c r="D79" s="3266">
        <v>9.6000000000000002E-2</v>
      </c>
      <c r="E79" s="3266">
        <v>9.5000000000000001E-2</v>
      </c>
      <c r="F79" s="3277"/>
      <c r="G79" s="3267">
        <v>9.8000000000000004E-2</v>
      </c>
    </row>
    <row r="80" spans="1:7">
      <c r="A80" s="3276" t="s">
        <v>110</v>
      </c>
      <c r="B80" s="3265" t="s">
        <v>2945</v>
      </c>
      <c r="C80" s="3266">
        <v>8.5999999999999993E-2</v>
      </c>
      <c r="D80" s="3282"/>
      <c r="E80" s="3266">
        <v>0.1</v>
      </c>
      <c r="F80" s="3277"/>
      <c r="G80" s="3278"/>
    </row>
    <row r="81" spans="1:7">
      <c r="A81" s="3276" t="s">
        <v>110</v>
      </c>
      <c r="B81" s="3265" t="s">
        <v>2950</v>
      </c>
      <c r="C81" s="3266">
        <v>9.6000000000000002E-2</v>
      </c>
      <c r="D81" s="3277"/>
      <c r="E81" s="3266">
        <v>9.8000000000000004E-2</v>
      </c>
      <c r="F81" s="3277"/>
      <c r="G81" s="3278"/>
    </row>
    <row r="82" spans="1:7">
      <c r="A82" s="3276" t="s">
        <v>110</v>
      </c>
      <c r="B82" s="3265" t="s">
        <v>2957</v>
      </c>
      <c r="C82" s="3282"/>
      <c r="D82" s="3277"/>
      <c r="E82" s="3266">
        <v>7.6999999999999999E-2</v>
      </c>
      <c r="F82" s="3277"/>
      <c r="G82" s="3278"/>
    </row>
    <row r="83" spans="1:7">
      <c r="A83" s="3276" t="s">
        <v>110</v>
      </c>
      <c r="B83" s="3265" t="s">
        <v>2963</v>
      </c>
      <c r="C83" s="3277"/>
      <c r="D83" s="3277"/>
      <c r="E83" s="3277"/>
      <c r="F83" s="3266">
        <v>0.1</v>
      </c>
      <c r="G83" s="3283"/>
    </row>
    <row r="84" spans="1:7">
      <c r="A84" s="3276" t="s">
        <v>110</v>
      </c>
      <c r="B84" s="3265" t="s">
        <v>2970</v>
      </c>
      <c r="C84" s="3277"/>
      <c r="D84" s="3277"/>
      <c r="E84" s="3277"/>
      <c r="F84" s="3266">
        <v>0.1</v>
      </c>
      <c r="G84" s="3283"/>
    </row>
    <row r="85" spans="1:7">
      <c r="A85" s="3276" t="s">
        <v>110</v>
      </c>
      <c r="B85" s="3265" t="s">
        <v>2977</v>
      </c>
      <c r="C85" s="3277"/>
      <c r="D85" s="3277"/>
      <c r="E85" s="3277"/>
      <c r="F85" s="3266">
        <v>0.1</v>
      </c>
      <c r="G85" s="3283"/>
    </row>
    <row r="86" spans="1:7" ht="14.25" thickBot="1">
      <c r="A86" s="3279" t="s">
        <v>110</v>
      </c>
      <c r="B86" s="3269" t="s">
        <v>2982</v>
      </c>
      <c r="C86" s="3270">
        <v>9.8000000000000004E-2</v>
      </c>
      <c r="D86" s="3270">
        <v>9.8000000000000004E-2</v>
      </c>
      <c r="E86" s="3270">
        <v>9.6000000000000002E-2</v>
      </c>
      <c r="F86" s="3280"/>
      <c r="G86" s="3272">
        <v>0.1</v>
      </c>
    </row>
    <row r="87" spans="1:7">
      <c r="A87" s="3275" t="s">
        <v>303</v>
      </c>
      <c r="B87" s="3261" t="s">
        <v>2858</v>
      </c>
      <c r="C87" s="3262">
        <v>0.1</v>
      </c>
      <c r="D87" s="3262">
        <v>0.1</v>
      </c>
      <c r="E87" s="3262">
        <v>9.8000000000000004E-2</v>
      </c>
      <c r="F87" s="3262">
        <v>0.1</v>
      </c>
      <c r="G87" s="3263">
        <v>0.1</v>
      </c>
    </row>
    <row r="88" spans="1:7">
      <c r="A88" s="3276" t="s">
        <v>303</v>
      </c>
      <c r="B88" s="3265" t="s">
        <v>131</v>
      </c>
      <c r="C88" s="3266">
        <v>9.0999999999999998E-2</v>
      </c>
      <c r="D88" s="3266">
        <v>9.1999999999999998E-2</v>
      </c>
      <c r="E88" s="3266">
        <v>0.1</v>
      </c>
      <c r="F88" s="3266">
        <v>0.1</v>
      </c>
      <c r="G88" s="3267">
        <v>9.6000000000000002E-2</v>
      </c>
    </row>
    <row r="89" spans="1:7">
      <c r="A89" s="3276" t="s">
        <v>303</v>
      </c>
      <c r="B89" s="3265" t="s">
        <v>140</v>
      </c>
      <c r="C89" s="3266">
        <v>0.1</v>
      </c>
      <c r="D89" s="3266">
        <v>0.1</v>
      </c>
      <c r="E89" s="3266">
        <v>6.7000000000000004E-2</v>
      </c>
      <c r="F89" s="3266">
        <v>9.2999999999999999E-2</v>
      </c>
      <c r="G89" s="3267">
        <v>0.1</v>
      </c>
    </row>
    <row r="90" spans="1:7">
      <c r="A90" s="3276" t="s">
        <v>303</v>
      </c>
      <c r="B90" s="3265" t="s">
        <v>149</v>
      </c>
      <c r="C90" s="3266">
        <v>9.6000000000000002E-2</v>
      </c>
      <c r="D90" s="3266">
        <v>9.6000000000000002E-2</v>
      </c>
      <c r="E90" s="3266">
        <v>0.1</v>
      </c>
      <c r="F90" s="3266">
        <v>0.1</v>
      </c>
      <c r="G90" s="3267">
        <v>9.8000000000000004E-2</v>
      </c>
    </row>
    <row r="91" spans="1:7">
      <c r="A91" s="3276" t="s">
        <v>303</v>
      </c>
      <c r="B91" s="3265" t="s">
        <v>158</v>
      </c>
      <c r="C91" s="3266">
        <v>7.6999999999999999E-2</v>
      </c>
      <c r="D91" s="3266">
        <v>7.6999999999999999E-2</v>
      </c>
      <c r="E91" s="3266">
        <v>9.6000000000000002E-2</v>
      </c>
      <c r="F91" s="3266">
        <v>0.1</v>
      </c>
      <c r="G91" s="3267">
        <v>7.6999999999999999E-2</v>
      </c>
    </row>
    <row r="92" spans="1:7">
      <c r="A92" s="3276" t="s">
        <v>303</v>
      </c>
      <c r="B92" s="3265" t="s">
        <v>165</v>
      </c>
      <c r="C92" s="3266">
        <v>0.1</v>
      </c>
      <c r="D92" s="3266">
        <v>0.1</v>
      </c>
      <c r="E92" s="3266">
        <v>9.1999999999999998E-2</v>
      </c>
      <c r="F92" s="3266">
        <v>0.1</v>
      </c>
      <c r="G92" s="3267">
        <v>0.1</v>
      </c>
    </row>
    <row r="93" spans="1:7">
      <c r="A93" s="3276" t="s">
        <v>303</v>
      </c>
      <c r="B93" s="3265" t="s">
        <v>171</v>
      </c>
      <c r="C93" s="3266">
        <v>9.8000000000000004E-2</v>
      </c>
      <c r="D93" s="3266">
        <v>9.8000000000000004E-2</v>
      </c>
      <c r="E93" s="3266">
        <v>9.6000000000000002E-2</v>
      </c>
      <c r="F93" s="3266">
        <v>0.1</v>
      </c>
      <c r="G93" s="3267">
        <v>9.9000000000000005E-2</v>
      </c>
    </row>
    <row r="94" spans="1:7">
      <c r="A94" s="3276" t="s">
        <v>303</v>
      </c>
      <c r="B94" s="3265" t="s">
        <v>178</v>
      </c>
      <c r="C94" s="3266">
        <v>8.7999999999999995E-2</v>
      </c>
      <c r="D94" s="3266">
        <v>8.7999999999999995E-2</v>
      </c>
      <c r="E94" s="3266">
        <v>9.6000000000000002E-2</v>
      </c>
      <c r="F94" s="3266">
        <v>0.1</v>
      </c>
      <c r="G94" s="3267">
        <v>8.7999999999999995E-2</v>
      </c>
    </row>
    <row r="95" spans="1:7">
      <c r="A95" s="3276" t="s">
        <v>303</v>
      </c>
      <c r="B95" s="3265" t="s">
        <v>188</v>
      </c>
      <c r="C95" s="3266">
        <v>9.6000000000000002E-2</v>
      </c>
      <c r="D95" s="3266">
        <v>9.6000000000000002E-2</v>
      </c>
      <c r="E95" s="3266">
        <v>0.1</v>
      </c>
      <c r="F95" s="3266">
        <v>0.1</v>
      </c>
      <c r="G95" s="3267">
        <v>9.8000000000000004E-2</v>
      </c>
    </row>
    <row r="96" spans="1:7">
      <c r="A96" s="3276" t="s">
        <v>303</v>
      </c>
      <c r="B96" s="3265" t="s">
        <v>197</v>
      </c>
      <c r="C96" s="3266">
        <v>9.7000000000000003E-2</v>
      </c>
      <c r="D96" s="3266">
        <v>9.7000000000000003E-2</v>
      </c>
      <c r="E96" s="3266">
        <v>0.1</v>
      </c>
      <c r="F96" s="3266">
        <v>0.1</v>
      </c>
      <c r="G96" s="3267">
        <v>9.8000000000000004E-2</v>
      </c>
    </row>
    <row r="97" spans="1:7">
      <c r="A97" s="3276" t="s">
        <v>303</v>
      </c>
      <c r="B97" s="3265" t="s">
        <v>204</v>
      </c>
      <c r="C97" s="3266">
        <v>9.6000000000000002E-2</v>
      </c>
      <c r="D97" s="3266">
        <v>9.6000000000000002E-2</v>
      </c>
      <c r="E97" s="3266">
        <v>9.9000000000000005E-2</v>
      </c>
      <c r="F97" s="3266">
        <v>0.1</v>
      </c>
      <c r="G97" s="3267">
        <v>9.8000000000000004E-2</v>
      </c>
    </row>
    <row r="98" spans="1:7">
      <c r="A98" s="3276" t="s">
        <v>303</v>
      </c>
      <c r="B98" s="3265" t="s">
        <v>211</v>
      </c>
      <c r="C98" s="3266">
        <v>9.8000000000000004E-2</v>
      </c>
      <c r="D98" s="3266">
        <v>9.8000000000000004E-2</v>
      </c>
      <c r="E98" s="3266">
        <v>0.1</v>
      </c>
      <c r="F98" s="3266">
        <v>0.1</v>
      </c>
      <c r="G98" s="3267">
        <v>9.9000000000000005E-2</v>
      </c>
    </row>
    <row r="99" spans="1:7">
      <c r="A99" s="3276" t="s">
        <v>303</v>
      </c>
      <c r="B99" s="3265" t="s">
        <v>217</v>
      </c>
      <c r="C99" s="3266">
        <v>9.6000000000000002E-2</v>
      </c>
      <c r="D99" s="3266">
        <v>9.6000000000000002E-2</v>
      </c>
      <c r="E99" s="3266">
        <v>0.1</v>
      </c>
      <c r="F99" s="3266">
        <v>0.1</v>
      </c>
      <c r="G99" s="3267">
        <v>9.7000000000000003E-2</v>
      </c>
    </row>
    <row r="100" spans="1:7">
      <c r="A100" s="3276" t="s">
        <v>303</v>
      </c>
      <c r="B100" s="3265" t="s">
        <v>225</v>
      </c>
      <c r="C100" s="3266">
        <v>0.1</v>
      </c>
      <c r="D100" s="3266">
        <v>0.1</v>
      </c>
      <c r="E100" s="3266">
        <v>9.7000000000000003E-2</v>
      </c>
      <c r="F100" s="3266">
        <v>9.8000000000000004E-2</v>
      </c>
      <c r="G100" s="3267">
        <v>0.1</v>
      </c>
    </row>
    <row r="101" spans="1:7">
      <c r="A101" s="3276" t="s">
        <v>303</v>
      </c>
      <c r="B101" s="3265" t="s">
        <v>233</v>
      </c>
      <c r="C101" s="3266">
        <v>0.1</v>
      </c>
      <c r="D101" s="3266">
        <v>0.1</v>
      </c>
      <c r="E101" s="3266">
        <v>9.5000000000000001E-2</v>
      </c>
      <c r="F101" s="3266">
        <v>0.1</v>
      </c>
      <c r="G101" s="3267">
        <v>0.1</v>
      </c>
    </row>
    <row r="102" spans="1:7">
      <c r="A102" s="3276" t="s">
        <v>303</v>
      </c>
      <c r="B102" s="3265" t="s">
        <v>238</v>
      </c>
      <c r="C102" s="3266">
        <v>0.1</v>
      </c>
      <c r="D102" s="3266">
        <v>0.1</v>
      </c>
      <c r="E102" s="3266">
        <v>9.9000000000000005E-2</v>
      </c>
      <c r="F102" s="3266">
        <v>9.7000000000000003E-2</v>
      </c>
      <c r="G102" s="3267">
        <v>0.1</v>
      </c>
    </row>
    <row r="103" spans="1:7">
      <c r="A103" s="3276" t="s">
        <v>303</v>
      </c>
      <c r="B103" s="3265" t="s">
        <v>247</v>
      </c>
      <c r="C103" s="3266">
        <v>0.1</v>
      </c>
      <c r="D103" s="3266">
        <v>0.1</v>
      </c>
      <c r="E103" s="3266">
        <v>9.8000000000000004E-2</v>
      </c>
      <c r="F103" s="3266">
        <v>0.1</v>
      </c>
      <c r="G103" s="3267">
        <v>0.1</v>
      </c>
    </row>
    <row r="104" spans="1:7">
      <c r="A104" s="3276" t="s">
        <v>303</v>
      </c>
      <c r="B104" s="3265" t="s">
        <v>254</v>
      </c>
      <c r="C104" s="3266">
        <v>0.1</v>
      </c>
      <c r="D104" s="3266">
        <v>0.1</v>
      </c>
      <c r="E104" s="3266">
        <v>9.8000000000000004E-2</v>
      </c>
      <c r="F104" s="3266">
        <v>0.1</v>
      </c>
      <c r="G104" s="3267">
        <v>0.1</v>
      </c>
    </row>
    <row r="105" spans="1:7">
      <c r="A105" s="3276" t="s">
        <v>303</v>
      </c>
      <c r="B105" s="3265" t="s">
        <v>262</v>
      </c>
      <c r="C105" s="3266">
        <v>9.8000000000000004E-2</v>
      </c>
      <c r="D105" s="3266">
        <v>9.8000000000000004E-2</v>
      </c>
      <c r="E105" s="3266">
        <v>9.8000000000000004E-2</v>
      </c>
      <c r="F105" s="3266">
        <v>0.1</v>
      </c>
      <c r="G105" s="3267">
        <v>9.9000000000000005E-2</v>
      </c>
    </row>
    <row r="106" spans="1:7">
      <c r="A106" s="3276" t="s">
        <v>303</v>
      </c>
      <c r="B106" s="3265" t="s">
        <v>269</v>
      </c>
      <c r="C106" s="3266">
        <v>9.7000000000000003E-2</v>
      </c>
      <c r="D106" s="3266">
        <v>9.7000000000000003E-2</v>
      </c>
      <c r="E106" s="3266">
        <v>9.7000000000000003E-2</v>
      </c>
      <c r="F106" s="3266">
        <v>0.1</v>
      </c>
      <c r="G106" s="3267">
        <v>9.9000000000000005E-2</v>
      </c>
    </row>
    <row r="107" spans="1:7">
      <c r="A107" s="3276" t="s">
        <v>303</v>
      </c>
      <c r="B107" s="3265" t="s">
        <v>273</v>
      </c>
      <c r="C107" s="3266">
        <v>0.1</v>
      </c>
      <c r="D107" s="3266">
        <v>0.1</v>
      </c>
      <c r="E107" s="3266">
        <v>8.5999999999999993E-2</v>
      </c>
      <c r="F107" s="3266">
        <v>0.09</v>
      </c>
      <c r="G107" s="3267">
        <v>0.1</v>
      </c>
    </row>
    <row r="108" spans="1:7">
      <c r="A108" s="3276" t="s">
        <v>303</v>
      </c>
      <c r="B108" s="3265" t="s">
        <v>279</v>
      </c>
      <c r="C108" s="3266">
        <v>0.1</v>
      </c>
      <c r="D108" s="3266">
        <v>0.1</v>
      </c>
      <c r="E108" s="3266">
        <v>9.6000000000000002E-2</v>
      </c>
      <c r="F108" s="3277"/>
      <c r="G108" s="3267">
        <v>0.1</v>
      </c>
    </row>
    <row r="109" spans="1:7">
      <c r="A109" s="3276" t="s">
        <v>303</v>
      </c>
      <c r="B109" s="3265" t="s">
        <v>282</v>
      </c>
      <c r="C109" s="3266">
        <v>0.1</v>
      </c>
      <c r="D109" s="3266">
        <v>0.1</v>
      </c>
      <c r="E109" s="3266">
        <v>0.1</v>
      </c>
      <c r="F109" s="3277"/>
      <c r="G109" s="3267">
        <v>0.1</v>
      </c>
    </row>
    <row r="110" spans="1:7">
      <c r="A110" s="3276" t="s">
        <v>303</v>
      </c>
      <c r="B110" s="3265" t="s">
        <v>284</v>
      </c>
      <c r="C110" s="3266">
        <v>0.1</v>
      </c>
      <c r="D110" s="3266">
        <v>0.1</v>
      </c>
      <c r="E110" s="3266">
        <v>0.1</v>
      </c>
      <c r="F110" s="3277"/>
      <c r="G110" s="3267">
        <v>0.1</v>
      </c>
    </row>
    <row r="111" spans="1:7">
      <c r="A111" s="3276" t="s">
        <v>303</v>
      </c>
      <c r="B111" s="3265" t="s">
        <v>287</v>
      </c>
      <c r="C111" s="3266">
        <v>0.1</v>
      </c>
      <c r="D111" s="3266">
        <v>0.1</v>
      </c>
      <c r="E111" s="3266">
        <v>9.5000000000000001E-2</v>
      </c>
      <c r="F111" s="3277"/>
      <c r="G111" s="3267">
        <v>0.1</v>
      </c>
    </row>
    <row r="112" spans="1:7">
      <c r="A112" s="3276" t="s">
        <v>303</v>
      </c>
      <c r="B112" s="3265" t="s">
        <v>291</v>
      </c>
      <c r="C112" s="3266">
        <v>9.7000000000000003E-2</v>
      </c>
      <c r="D112" s="3266">
        <v>9.7000000000000003E-2</v>
      </c>
      <c r="E112" s="3266">
        <v>0.05</v>
      </c>
      <c r="F112" s="3277"/>
      <c r="G112" s="3267">
        <v>9.8000000000000004E-2</v>
      </c>
    </row>
    <row r="113" spans="1:7">
      <c r="A113" s="3276" t="s">
        <v>303</v>
      </c>
      <c r="B113" s="3265" t="s">
        <v>2951</v>
      </c>
      <c r="C113" s="3266">
        <v>0.1</v>
      </c>
      <c r="D113" s="3266">
        <v>0.1</v>
      </c>
      <c r="E113" s="3277"/>
      <c r="F113" s="3277"/>
      <c r="G113" s="3267">
        <v>0.1</v>
      </c>
    </row>
    <row r="114" spans="1:7">
      <c r="A114" s="3276" t="s">
        <v>303</v>
      </c>
      <c r="B114" s="3265" t="s">
        <v>2958</v>
      </c>
      <c r="C114" s="3266">
        <v>9.7000000000000003E-2</v>
      </c>
      <c r="D114" s="3266">
        <v>9.7000000000000003E-2</v>
      </c>
      <c r="E114" s="3277"/>
      <c r="F114" s="3277"/>
      <c r="G114" s="3267">
        <v>9.9000000000000005E-2</v>
      </c>
    </row>
    <row r="115" spans="1:7">
      <c r="A115" s="3276" t="s">
        <v>303</v>
      </c>
      <c r="B115" s="3265" t="s">
        <v>2964</v>
      </c>
      <c r="C115" s="3266">
        <v>0.1</v>
      </c>
      <c r="D115" s="3266">
        <v>0.1</v>
      </c>
      <c r="E115" s="3277"/>
      <c r="F115" s="3277"/>
      <c r="G115" s="3267">
        <v>0.1</v>
      </c>
    </row>
    <row r="116" spans="1:7">
      <c r="A116" s="3276" t="s">
        <v>303</v>
      </c>
      <c r="B116" s="3265" t="s">
        <v>2971</v>
      </c>
      <c r="C116" s="3266">
        <v>0.1</v>
      </c>
      <c r="D116" s="3266">
        <v>0.1</v>
      </c>
      <c r="E116" s="3277"/>
      <c r="F116" s="3277"/>
      <c r="G116" s="3267">
        <v>0.1</v>
      </c>
    </row>
    <row r="117" spans="1:7">
      <c r="A117" s="3276" t="s">
        <v>303</v>
      </c>
      <c r="B117" s="3265" t="s">
        <v>2978</v>
      </c>
      <c r="C117" s="3266">
        <v>9.7000000000000003E-2</v>
      </c>
      <c r="D117" s="3266">
        <v>9.7000000000000003E-2</v>
      </c>
      <c r="E117" s="3277"/>
      <c r="F117" s="3277"/>
      <c r="G117" s="3267">
        <v>9.7000000000000003E-2</v>
      </c>
    </row>
    <row r="118" spans="1:7">
      <c r="A118" s="3276" t="s">
        <v>303</v>
      </c>
      <c r="B118" s="3265" t="s">
        <v>2983</v>
      </c>
      <c r="C118" s="3266">
        <v>0.1</v>
      </c>
      <c r="D118" s="3266">
        <v>0.1</v>
      </c>
      <c r="E118" s="3277"/>
      <c r="F118" s="3277"/>
      <c r="G118" s="3267">
        <v>0.1</v>
      </c>
    </row>
    <row r="119" spans="1:7">
      <c r="A119" s="3276" t="s">
        <v>303</v>
      </c>
      <c r="B119" s="3265" t="s">
        <v>2987</v>
      </c>
      <c r="C119" s="3266">
        <v>5.0999999999999997E-2</v>
      </c>
      <c r="D119" s="3266">
        <v>5.1999999999999998E-2</v>
      </c>
      <c r="E119" s="3277"/>
      <c r="F119" s="3282"/>
      <c r="G119" s="3267">
        <v>0.06</v>
      </c>
    </row>
    <row r="120" spans="1:7">
      <c r="A120" s="3276" t="s">
        <v>303</v>
      </c>
      <c r="B120" s="3265" t="s">
        <v>2991</v>
      </c>
      <c r="C120" s="3277"/>
      <c r="D120" s="3277"/>
      <c r="E120" s="3277"/>
      <c r="F120" s="3266">
        <v>0.1</v>
      </c>
      <c r="G120" s="3283"/>
    </row>
    <row r="121" spans="1:7">
      <c r="A121" s="3276" t="s">
        <v>303</v>
      </c>
      <c r="B121" s="3265" t="s">
        <v>2996</v>
      </c>
      <c r="C121" s="3277"/>
      <c r="D121" s="3277"/>
      <c r="E121" s="3277"/>
      <c r="F121" s="3266">
        <v>0.1</v>
      </c>
      <c r="G121" s="3283"/>
    </row>
    <row r="122" spans="1:7">
      <c r="A122" s="3276" t="s">
        <v>303</v>
      </c>
      <c r="B122" s="3265" t="s">
        <v>3001</v>
      </c>
      <c r="C122" s="3266">
        <v>0.1</v>
      </c>
      <c r="D122" s="3266">
        <v>0.1</v>
      </c>
      <c r="E122" s="3266">
        <v>9.8000000000000004E-2</v>
      </c>
      <c r="F122" s="3266">
        <v>0.1</v>
      </c>
      <c r="G122" s="3267">
        <v>0.1</v>
      </c>
    </row>
    <row r="123" spans="1:7">
      <c r="A123" s="3276" t="s">
        <v>303</v>
      </c>
      <c r="B123" s="3265" t="s">
        <v>3006</v>
      </c>
      <c r="C123" s="3266">
        <v>0.1</v>
      </c>
      <c r="D123" s="3266">
        <v>0.1</v>
      </c>
      <c r="E123" s="3266">
        <v>9.8000000000000004E-2</v>
      </c>
      <c r="F123" s="3266">
        <v>0.1</v>
      </c>
      <c r="G123" s="3267">
        <v>0.1</v>
      </c>
    </row>
    <row r="124" spans="1:7">
      <c r="A124" s="3276" t="s">
        <v>303</v>
      </c>
      <c r="B124" s="3265" t="s">
        <v>3011</v>
      </c>
      <c r="C124" s="3266">
        <v>0.1</v>
      </c>
      <c r="D124" s="3266">
        <v>0.1</v>
      </c>
      <c r="E124" s="3266">
        <v>9.8000000000000004E-2</v>
      </c>
      <c r="F124" s="3282"/>
      <c r="G124" s="3267">
        <v>0.1</v>
      </c>
    </row>
    <row r="125" spans="1:7">
      <c r="A125" s="3276" t="s">
        <v>303</v>
      </c>
      <c r="B125" s="3265" t="s">
        <v>3016</v>
      </c>
      <c r="C125" s="3266">
        <v>9.8000000000000004E-2</v>
      </c>
      <c r="D125" s="3266">
        <v>9.8000000000000004E-2</v>
      </c>
      <c r="E125" s="3266">
        <v>9.6000000000000002E-2</v>
      </c>
      <c r="F125" s="3282"/>
      <c r="G125" s="3267">
        <v>0.1</v>
      </c>
    </row>
    <row r="126" spans="1:7" ht="14.25" thickBot="1">
      <c r="A126" s="3279" t="s">
        <v>303</v>
      </c>
      <c r="B126" s="3269" t="s">
        <v>3182</v>
      </c>
      <c r="C126" s="3270">
        <v>0.1</v>
      </c>
      <c r="D126" s="3270">
        <v>0.1</v>
      </c>
      <c r="E126" s="3270">
        <v>9.8000000000000004E-2</v>
      </c>
      <c r="F126" s="3270">
        <v>0.1</v>
      </c>
      <c r="G126" s="3272">
        <v>0.1</v>
      </c>
    </row>
    <row r="127" spans="1:7">
      <c r="A127" s="3275" t="s">
        <v>29</v>
      </c>
      <c r="B127" s="3261" t="s">
        <v>2859</v>
      </c>
      <c r="C127" s="3262">
        <v>0.121</v>
      </c>
      <c r="D127" s="3262">
        <v>0.121</v>
      </c>
      <c r="E127" s="3262">
        <v>0.107</v>
      </c>
      <c r="F127" s="3262">
        <v>0.13</v>
      </c>
      <c r="G127" s="3263">
        <v>0.122</v>
      </c>
    </row>
    <row r="128" spans="1:7">
      <c r="A128" s="3276" t="s">
        <v>29</v>
      </c>
      <c r="B128" s="3265" t="s">
        <v>132</v>
      </c>
      <c r="C128" s="3266">
        <v>0.11600000000000001</v>
      </c>
      <c r="D128" s="3266">
        <v>0.11700000000000001</v>
      </c>
      <c r="E128" s="3266">
        <v>0.104</v>
      </c>
      <c r="F128" s="3266">
        <v>0.13</v>
      </c>
      <c r="G128" s="3267">
        <v>0.11700000000000001</v>
      </c>
    </row>
    <row r="129" spans="1:7">
      <c r="A129" s="3276" t="s">
        <v>29</v>
      </c>
      <c r="B129" s="3265" t="s">
        <v>141</v>
      </c>
      <c r="C129" s="3266">
        <v>0.107</v>
      </c>
      <c r="D129" s="3266">
        <v>0.108</v>
      </c>
      <c r="E129" s="3266">
        <v>0.1</v>
      </c>
      <c r="F129" s="3266">
        <v>0.13</v>
      </c>
      <c r="G129" s="3267">
        <v>0.11700000000000001</v>
      </c>
    </row>
    <row r="130" spans="1:7">
      <c r="A130" s="3276" t="s">
        <v>29</v>
      </c>
      <c r="B130" s="3265" t="s">
        <v>150</v>
      </c>
      <c r="C130" s="3266">
        <v>0.13</v>
      </c>
      <c r="D130" s="3266">
        <v>0.13</v>
      </c>
      <c r="E130" s="3266">
        <v>0.126</v>
      </c>
      <c r="F130" s="3266">
        <v>0.13</v>
      </c>
      <c r="G130" s="3267">
        <v>0.13</v>
      </c>
    </row>
    <row r="131" spans="1:7">
      <c r="A131" s="3276" t="s">
        <v>29</v>
      </c>
      <c r="B131" s="3265" t="s">
        <v>159</v>
      </c>
      <c r="C131" s="3266">
        <v>0.13</v>
      </c>
      <c r="D131" s="3266">
        <v>0.13</v>
      </c>
      <c r="E131" s="3266">
        <v>0.13</v>
      </c>
      <c r="F131" s="3266">
        <v>0.13</v>
      </c>
      <c r="G131" s="3267">
        <v>0.13</v>
      </c>
    </row>
    <row r="132" spans="1:7">
      <c r="A132" s="3276" t="s">
        <v>29</v>
      </c>
      <c r="B132" s="3265" t="s">
        <v>166</v>
      </c>
      <c r="C132" s="3266">
        <v>0.13</v>
      </c>
      <c r="D132" s="3266">
        <v>0.13</v>
      </c>
      <c r="E132" s="3266">
        <v>0.126</v>
      </c>
      <c r="F132" s="3266">
        <v>0.13</v>
      </c>
      <c r="G132" s="3267">
        <v>0.13</v>
      </c>
    </row>
    <row r="133" spans="1:7">
      <c r="A133" s="3276" t="s">
        <v>29</v>
      </c>
      <c r="B133" s="3265" t="s">
        <v>172</v>
      </c>
      <c r="C133" s="3266">
        <v>0.111</v>
      </c>
      <c r="D133" s="3266">
        <v>0.111</v>
      </c>
      <c r="E133" s="3266">
        <v>0.10199999999999999</v>
      </c>
      <c r="F133" s="3266">
        <v>0.13</v>
      </c>
      <c r="G133" s="3267">
        <v>0.121</v>
      </c>
    </row>
    <row r="134" spans="1:7">
      <c r="A134" s="3276" t="s">
        <v>29</v>
      </c>
      <c r="B134" s="3265" t="s">
        <v>179</v>
      </c>
      <c r="C134" s="3266">
        <v>0.121</v>
      </c>
      <c r="D134" s="3266">
        <v>0.121</v>
      </c>
      <c r="E134" s="3266">
        <v>0.1</v>
      </c>
      <c r="F134" s="3266">
        <v>0.13</v>
      </c>
      <c r="G134" s="3267">
        <v>0.123</v>
      </c>
    </row>
    <row r="135" spans="1:7">
      <c r="A135" s="3276" t="s">
        <v>29</v>
      </c>
      <c r="B135" s="3265" t="s">
        <v>189</v>
      </c>
      <c r="C135" s="3266">
        <v>0.105</v>
      </c>
      <c r="D135" s="3266">
        <v>0.106</v>
      </c>
      <c r="E135" s="3266">
        <v>0.1</v>
      </c>
      <c r="F135" s="3266">
        <v>0.13</v>
      </c>
      <c r="G135" s="3267">
        <v>0.115</v>
      </c>
    </row>
    <row r="136" spans="1:7">
      <c r="A136" s="3276" t="s">
        <v>29</v>
      </c>
      <c r="B136" s="3265" t="s">
        <v>198</v>
      </c>
      <c r="C136" s="3266">
        <v>0.127</v>
      </c>
      <c r="D136" s="3266">
        <v>0.127</v>
      </c>
      <c r="E136" s="3266">
        <v>0.121</v>
      </c>
      <c r="F136" s="3266">
        <v>0.123</v>
      </c>
      <c r="G136" s="3267">
        <v>0.129</v>
      </c>
    </row>
    <row r="137" spans="1:7">
      <c r="A137" s="3276" t="s">
        <v>29</v>
      </c>
      <c r="B137" s="3265" t="s">
        <v>205</v>
      </c>
      <c r="C137" s="3266">
        <v>0.13</v>
      </c>
      <c r="D137" s="3266">
        <v>0.13</v>
      </c>
      <c r="E137" s="3266">
        <v>0.129</v>
      </c>
      <c r="F137" s="3266">
        <v>0.13</v>
      </c>
      <c r="G137" s="3267">
        <v>0.13</v>
      </c>
    </row>
    <row r="138" spans="1:7">
      <c r="A138" s="3276" t="s">
        <v>29</v>
      </c>
      <c r="B138" s="3265" t="s">
        <v>212</v>
      </c>
      <c r="C138" s="3266">
        <v>0.13</v>
      </c>
      <c r="D138" s="3266">
        <v>0.13</v>
      </c>
      <c r="E138" s="3266">
        <v>0.125</v>
      </c>
      <c r="F138" s="3266">
        <v>0.13</v>
      </c>
      <c r="G138" s="3267">
        <v>0.13</v>
      </c>
    </row>
    <row r="139" spans="1:7">
      <c r="A139" s="3276" t="s">
        <v>29</v>
      </c>
      <c r="B139" s="3265" t="s">
        <v>218</v>
      </c>
      <c r="C139" s="3266">
        <v>0.13</v>
      </c>
      <c r="D139" s="3266">
        <v>0.13</v>
      </c>
      <c r="E139" s="3266">
        <v>0.126</v>
      </c>
      <c r="F139" s="3266">
        <v>0.13</v>
      </c>
      <c r="G139" s="3267">
        <v>0.13</v>
      </c>
    </row>
    <row r="140" spans="1:7">
      <c r="A140" s="3276" t="s">
        <v>29</v>
      </c>
      <c r="B140" s="3265" t="s">
        <v>226</v>
      </c>
      <c r="C140" s="3266">
        <v>0.1</v>
      </c>
      <c r="D140" s="3266">
        <v>0.1</v>
      </c>
      <c r="E140" s="3266">
        <v>0.1</v>
      </c>
      <c r="F140" s="3266">
        <v>0.123</v>
      </c>
      <c r="G140" s="3267">
        <v>0.107</v>
      </c>
    </row>
    <row r="141" spans="1:7">
      <c r="A141" s="3276" t="s">
        <v>29</v>
      </c>
      <c r="B141" s="3265" t="s">
        <v>234</v>
      </c>
      <c r="C141" s="3266">
        <v>0.127</v>
      </c>
      <c r="D141" s="3266">
        <v>0.127</v>
      </c>
      <c r="E141" s="3266">
        <v>0.122</v>
      </c>
      <c r="F141" s="3266">
        <v>0.1</v>
      </c>
      <c r="G141" s="3267">
        <v>0.129</v>
      </c>
    </row>
    <row r="142" spans="1:7">
      <c r="A142" s="3276" t="s">
        <v>29</v>
      </c>
      <c r="B142" s="3265" t="s">
        <v>239</v>
      </c>
      <c r="C142" s="3266">
        <v>0.121</v>
      </c>
      <c r="D142" s="3266">
        <v>0.122</v>
      </c>
      <c r="E142" s="3266">
        <v>0.1</v>
      </c>
      <c r="F142" s="3266">
        <v>0.123</v>
      </c>
      <c r="G142" s="3267">
        <v>0.123</v>
      </c>
    </row>
    <row r="143" spans="1:7">
      <c r="A143" s="3276" t="s">
        <v>29</v>
      </c>
      <c r="B143" s="3265" t="s">
        <v>248</v>
      </c>
      <c r="C143" s="3266">
        <v>0.1</v>
      </c>
      <c r="D143" s="3266">
        <v>0.1</v>
      </c>
      <c r="E143" s="3266">
        <v>0.1</v>
      </c>
      <c r="F143" s="3266">
        <v>0.13</v>
      </c>
      <c r="G143" s="3267">
        <v>0.1</v>
      </c>
    </row>
    <row r="144" spans="1:7">
      <c r="A144" s="3276" t="s">
        <v>29</v>
      </c>
      <c r="B144" s="3265" t="s">
        <v>255</v>
      </c>
      <c r="C144" s="3266">
        <v>0.106</v>
      </c>
      <c r="D144" s="3266">
        <v>0.105</v>
      </c>
      <c r="E144" s="3266">
        <v>0.1</v>
      </c>
      <c r="F144" s="3266">
        <v>0.13</v>
      </c>
      <c r="G144" s="3267">
        <v>0.11799999999999999</v>
      </c>
    </row>
    <row r="145" spans="1:7">
      <c r="A145" s="3276" t="s">
        <v>29</v>
      </c>
      <c r="B145" s="3265" t="s">
        <v>263</v>
      </c>
      <c r="C145" s="3266">
        <v>0.123</v>
      </c>
      <c r="D145" s="3266">
        <v>0.123</v>
      </c>
      <c r="E145" s="3266">
        <v>0.11700000000000001</v>
      </c>
      <c r="F145" s="3266">
        <v>0.13</v>
      </c>
      <c r="G145" s="3267">
        <v>0.126</v>
      </c>
    </row>
    <row r="146" spans="1:7">
      <c r="A146" s="3276" t="s">
        <v>29</v>
      </c>
      <c r="B146" s="3265" t="s">
        <v>270</v>
      </c>
      <c r="C146" s="3266">
        <v>0.127</v>
      </c>
      <c r="D146" s="3266">
        <v>0.127</v>
      </c>
      <c r="E146" s="3266">
        <v>0.12</v>
      </c>
      <c r="F146" s="3277"/>
      <c r="G146" s="3267">
        <v>0.129</v>
      </c>
    </row>
    <row r="147" spans="1:7">
      <c r="A147" s="3276" t="s">
        <v>29</v>
      </c>
      <c r="B147" s="3265" t="s">
        <v>274</v>
      </c>
      <c r="C147" s="3266">
        <v>0.13</v>
      </c>
      <c r="D147" s="3266">
        <v>0.13</v>
      </c>
      <c r="E147" s="3266">
        <v>0.126</v>
      </c>
      <c r="F147" s="3277"/>
      <c r="G147" s="3267">
        <v>0.13</v>
      </c>
    </row>
    <row r="148" spans="1:7">
      <c r="A148" s="3276" t="s">
        <v>29</v>
      </c>
      <c r="B148" s="3265" t="s">
        <v>2929</v>
      </c>
      <c r="C148" s="3266">
        <v>0.13</v>
      </c>
      <c r="D148" s="3266">
        <v>0.13</v>
      </c>
      <c r="E148" s="3266">
        <v>0.13</v>
      </c>
      <c r="F148" s="3277"/>
      <c r="G148" s="3267">
        <v>0.13</v>
      </c>
    </row>
    <row r="149" spans="1:7">
      <c r="A149" s="3276" t="s">
        <v>29</v>
      </c>
      <c r="B149" s="3265" t="s">
        <v>2933</v>
      </c>
      <c r="C149" s="3266">
        <v>0.13</v>
      </c>
      <c r="D149" s="3266">
        <v>0.13</v>
      </c>
      <c r="E149" s="3266">
        <v>0.13</v>
      </c>
      <c r="F149" s="3266">
        <v>0.13</v>
      </c>
      <c r="G149" s="3267">
        <v>0.13</v>
      </c>
    </row>
    <row r="150" spans="1:7">
      <c r="A150" s="3276" t="s">
        <v>29</v>
      </c>
      <c r="B150" s="3265" t="s">
        <v>292</v>
      </c>
      <c r="C150" s="3266">
        <v>0.13</v>
      </c>
      <c r="D150" s="3266">
        <v>0.13</v>
      </c>
      <c r="E150" s="3266">
        <v>0.127</v>
      </c>
      <c r="F150" s="3266">
        <v>0.13</v>
      </c>
      <c r="G150" s="3267">
        <v>0.13</v>
      </c>
    </row>
    <row r="151" spans="1:7">
      <c r="A151" s="3276" t="s">
        <v>29</v>
      </c>
      <c r="B151" s="3265" t="s">
        <v>294</v>
      </c>
      <c r="C151" s="3266">
        <v>0.13</v>
      </c>
      <c r="D151" s="3266">
        <v>0.13</v>
      </c>
      <c r="E151" s="3266">
        <v>0.13</v>
      </c>
      <c r="F151" s="3266">
        <v>0.13</v>
      </c>
      <c r="G151" s="3267">
        <v>0.13</v>
      </c>
    </row>
    <row r="152" spans="1:7">
      <c r="A152" s="3276" t="s">
        <v>29</v>
      </c>
      <c r="B152" s="3265" t="s">
        <v>297</v>
      </c>
      <c r="C152" s="3266">
        <v>0.13</v>
      </c>
      <c r="D152" s="3266">
        <v>0.13</v>
      </c>
      <c r="E152" s="3266">
        <v>0.13</v>
      </c>
      <c r="F152" s="3266">
        <v>0.13</v>
      </c>
      <c r="G152" s="3267">
        <v>0.13</v>
      </c>
    </row>
    <row r="153" spans="1:7">
      <c r="A153" s="3276" t="s">
        <v>29</v>
      </c>
      <c r="B153" s="3265" t="s">
        <v>2952</v>
      </c>
      <c r="C153" s="3266">
        <v>0.13</v>
      </c>
      <c r="D153" s="3266">
        <v>0.13</v>
      </c>
      <c r="E153" s="3266">
        <v>0.13</v>
      </c>
      <c r="F153" s="3266">
        <v>0.13</v>
      </c>
      <c r="G153" s="3267">
        <v>0.13</v>
      </c>
    </row>
    <row r="154" spans="1:7">
      <c r="A154" s="3276" t="s">
        <v>29</v>
      </c>
      <c r="B154" s="3265" t="s">
        <v>2959</v>
      </c>
      <c r="C154" s="3266">
        <v>0.121</v>
      </c>
      <c r="D154" s="3266">
        <v>0.121</v>
      </c>
      <c r="E154" s="3266">
        <v>0.105</v>
      </c>
      <c r="F154" s="3266">
        <v>0.121</v>
      </c>
      <c r="G154" s="3267">
        <v>0.123</v>
      </c>
    </row>
    <row r="155" spans="1:7">
      <c r="A155" s="3276" t="s">
        <v>29</v>
      </c>
      <c r="B155" s="3265" t="s">
        <v>2965</v>
      </c>
      <c r="C155" s="3266">
        <v>0.1</v>
      </c>
      <c r="D155" s="3266">
        <v>0.1</v>
      </c>
      <c r="E155" s="3266">
        <v>0.1</v>
      </c>
      <c r="F155" s="3266">
        <v>0.1</v>
      </c>
      <c r="G155" s="3267">
        <v>0.1</v>
      </c>
    </row>
    <row r="156" spans="1:7">
      <c r="A156" s="3276" t="s">
        <v>29</v>
      </c>
      <c r="B156" s="3265" t="s">
        <v>2972</v>
      </c>
      <c r="C156" s="3266">
        <v>0.13</v>
      </c>
      <c r="D156" s="3266">
        <v>0.13</v>
      </c>
      <c r="E156" s="3266">
        <v>0.13</v>
      </c>
      <c r="F156" s="3266">
        <v>0.13</v>
      </c>
      <c r="G156" s="3267">
        <v>0.13</v>
      </c>
    </row>
    <row r="157" spans="1:7">
      <c r="A157" s="3276" t="s">
        <v>29</v>
      </c>
      <c r="B157" s="3265" t="s">
        <v>300</v>
      </c>
      <c r="C157" s="3266">
        <v>0.13</v>
      </c>
      <c r="D157" s="3266">
        <v>0.13</v>
      </c>
      <c r="E157" s="3266">
        <v>0.125</v>
      </c>
      <c r="F157" s="3266">
        <v>0.13</v>
      </c>
      <c r="G157" s="3267">
        <v>0.13</v>
      </c>
    </row>
    <row r="158" spans="1:7">
      <c r="A158" s="3276" t="s">
        <v>29</v>
      </c>
      <c r="B158" s="3265" t="s">
        <v>301</v>
      </c>
      <c r="C158" s="3266">
        <v>0.124</v>
      </c>
      <c r="D158" s="3266">
        <v>0.124</v>
      </c>
      <c r="E158" s="3266">
        <v>0.11700000000000001</v>
      </c>
      <c r="F158" s="3266">
        <v>0.121</v>
      </c>
      <c r="G158" s="3267">
        <v>0.124</v>
      </c>
    </row>
    <row r="159" spans="1:7">
      <c r="A159" s="3276" t="s">
        <v>29</v>
      </c>
      <c r="B159" s="3265" t="s">
        <v>302</v>
      </c>
      <c r="C159" s="3266">
        <v>0.127</v>
      </c>
      <c r="D159" s="3266">
        <v>0.127</v>
      </c>
      <c r="E159" s="3266">
        <v>0.122</v>
      </c>
      <c r="F159" s="3266">
        <v>0.13</v>
      </c>
      <c r="G159" s="3267">
        <v>0.129</v>
      </c>
    </row>
    <row r="160" spans="1:7">
      <c r="A160" s="3276" t="s">
        <v>29</v>
      </c>
      <c r="B160" s="3265" t="s">
        <v>2992</v>
      </c>
      <c r="C160" s="3266">
        <v>0.13</v>
      </c>
      <c r="D160" s="3266">
        <v>0.13</v>
      </c>
      <c r="E160" s="3266">
        <v>0.124</v>
      </c>
      <c r="F160" s="3266">
        <v>0.126</v>
      </c>
      <c r="G160" s="3267">
        <v>0.13</v>
      </c>
    </row>
    <row r="161" spans="1:7">
      <c r="A161" s="3276" t="s">
        <v>29</v>
      </c>
      <c r="B161" s="3265" t="s">
        <v>2997</v>
      </c>
      <c r="C161" s="3266">
        <v>0.13</v>
      </c>
      <c r="D161" s="3266">
        <v>0.13</v>
      </c>
      <c r="E161" s="3266">
        <v>0.124</v>
      </c>
      <c r="F161" s="3266">
        <v>0.127</v>
      </c>
      <c r="G161" s="3267">
        <v>0.13</v>
      </c>
    </row>
    <row r="162" spans="1:7">
      <c r="A162" s="3276" t="s">
        <v>29</v>
      </c>
      <c r="B162" s="3265" t="s">
        <v>3002</v>
      </c>
      <c r="C162" s="3266">
        <v>0.1</v>
      </c>
      <c r="D162" s="3266">
        <v>0.1</v>
      </c>
      <c r="E162" s="3266">
        <v>0.1</v>
      </c>
      <c r="F162" s="3266">
        <v>0.121</v>
      </c>
      <c r="G162" s="3267">
        <v>0.105</v>
      </c>
    </row>
    <row r="163" spans="1:7">
      <c r="A163" s="3276" t="s">
        <v>29</v>
      </c>
      <c r="B163" s="3265" t="s">
        <v>3007</v>
      </c>
      <c r="C163" s="3266">
        <v>0.1</v>
      </c>
      <c r="D163" s="3266">
        <v>0.1</v>
      </c>
      <c r="E163" s="3266">
        <v>0.1</v>
      </c>
      <c r="F163" s="3266">
        <v>0.1</v>
      </c>
      <c r="G163" s="3267">
        <v>0.1</v>
      </c>
    </row>
    <row r="164" spans="1:7">
      <c r="A164" s="3276" t="s">
        <v>29</v>
      </c>
      <c r="B164" s="3265" t="s">
        <v>3012</v>
      </c>
      <c r="C164" s="3282"/>
      <c r="D164" s="3282"/>
      <c r="E164" s="3282"/>
      <c r="F164" s="3266">
        <v>0.1</v>
      </c>
      <c r="G164" s="3278"/>
    </row>
    <row r="165" spans="1:7">
      <c r="A165" s="3276" t="s">
        <v>29</v>
      </c>
      <c r="B165" s="3265" t="s">
        <v>3183</v>
      </c>
      <c r="C165" s="3266">
        <v>0.126</v>
      </c>
      <c r="D165" s="3266">
        <v>0.126</v>
      </c>
      <c r="E165" s="3266">
        <v>0.11899999999999999</v>
      </c>
      <c r="F165" s="3266">
        <v>0.13</v>
      </c>
      <c r="G165" s="3267">
        <v>0.128</v>
      </c>
    </row>
    <row r="166" spans="1:7">
      <c r="A166" s="3276" t="s">
        <v>29</v>
      </c>
      <c r="B166" s="3265" t="s">
        <v>3022</v>
      </c>
      <c r="C166" s="3266">
        <v>0.129</v>
      </c>
      <c r="D166" s="3266">
        <v>0.129</v>
      </c>
      <c r="E166" s="3266">
        <v>0.123</v>
      </c>
      <c r="F166" s="3266">
        <v>0.128</v>
      </c>
      <c r="G166" s="3267">
        <v>0.13</v>
      </c>
    </row>
    <row r="167" spans="1:7">
      <c r="A167" s="3276" t="s">
        <v>29</v>
      </c>
      <c r="B167" s="3265" t="s">
        <v>3026</v>
      </c>
      <c r="C167" s="3266">
        <v>0.125</v>
      </c>
      <c r="D167" s="3266">
        <v>0.125</v>
      </c>
      <c r="E167" s="3266">
        <v>0.11700000000000001</v>
      </c>
      <c r="F167" s="3266">
        <v>0.13</v>
      </c>
      <c r="G167" s="3267">
        <v>0.126</v>
      </c>
    </row>
    <row r="168" spans="1:7">
      <c r="A168" s="3276" t="s">
        <v>29</v>
      </c>
      <c r="B168" s="3265" t="s">
        <v>3031</v>
      </c>
      <c r="C168" s="3266">
        <v>0.128</v>
      </c>
      <c r="D168" s="3266">
        <v>0.128</v>
      </c>
      <c r="E168" s="3266">
        <v>0.123</v>
      </c>
      <c r="F168" s="3277"/>
      <c r="G168" s="3267">
        <v>0.13</v>
      </c>
    </row>
    <row r="169" spans="1:7">
      <c r="A169" s="3276" t="s">
        <v>29</v>
      </c>
      <c r="B169" s="3265" t="s">
        <v>3184</v>
      </c>
      <c r="C169" s="3282"/>
      <c r="D169" s="3282"/>
      <c r="E169" s="3282"/>
      <c r="F169" s="3266">
        <v>0.05</v>
      </c>
      <c r="G169" s="3278"/>
    </row>
    <row r="170" spans="1:7">
      <c r="A170" s="3276" t="s">
        <v>29</v>
      </c>
      <c r="B170" s="3265" t="s">
        <v>3185</v>
      </c>
      <c r="C170" s="3282"/>
      <c r="D170" s="3282"/>
      <c r="E170" s="3282"/>
      <c r="F170" s="3266">
        <v>0.05</v>
      </c>
      <c r="G170" s="3278"/>
    </row>
    <row r="171" spans="1:7">
      <c r="A171" s="3276" t="s">
        <v>29</v>
      </c>
      <c r="B171" s="3265" t="s">
        <v>3186</v>
      </c>
      <c r="C171" s="3282"/>
      <c r="D171" s="3282"/>
      <c r="E171" s="3282"/>
      <c r="F171" s="3266">
        <v>0.05</v>
      </c>
      <c r="G171" s="3283"/>
    </row>
    <row r="172" spans="1:7">
      <c r="A172" s="3276" t="s">
        <v>29</v>
      </c>
      <c r="B172" s="3265" t="s">
        <v>3187</v>
      </c>
      <c r="C172" s="3282"/>
      <c r="D172" s="3282"/>
      <c r="E172" s="3282"/>
      <c r="F172" s="3266">
        <v>0.05</v>
      </c>
      <c r="G172" s="3283"/>
    </row>
    <row r="173" spans="1:7">
      <c r="A173" s="3276" t="s">
        <v>29</v>
      </c>
      <c r="B173" s="3265" t="s">
        <v>3188</v>
      </c>
      <c r="C173" s="3282"/>
      <c r="D173" s="3282"/>
      <c r="E173" s="3282"/>
      <c r="F173" s="3266">
        <v>0.05</v>
      </c>
      <c r="G173" s="3278"/>
    </row>
    <row r="174" spans="1:7">
      <c r="A174" s="3276" t="s">
        <v>29</v>
      </c>
      <c r="B174" s="3265" t="s">
        <v>3189</v>
      </c>
      <c r="C174" s="3282"/>
      <c r="D174" s="3282"/>
      <c r="E174" s="3282"/>
      <c r="F174" s="3266">
        <v>0.05</v>
      </c>
      <c r="G174" s="3278"/>
    </row>
    <row r="175" spans="1:7">
      <c r="A175" s="3276" t="s">
        <v>29</v>
      </c>
      <c r="B175" s="3265" t="s">
        <v>3190</v>
      </c>
      <c r="C175" s="3282"/>
      <c r="D175" s="3282"/>
      <c r="E175" s="3282"/>
      <c r="F175" s="3266">
        <v>0.05</v>
      </c>
      <c r="G175" s="3278"/>
    </row>
    <row r="176" spans="1:7">
      <c r="A176" s="3276" t="s">
        <v>29</v>
      </c>
      <c r="B176" s="3265" t="s">
        <v>3191</v>
      </c>
      <c r="C176" s="3282"/>
      <c r="D176" s="3282"/>
      <c r="E176" s="3282"/>
      <c r="F176" s="3266">
        <v>0.05</v>
      </c>
      <c r="G176" s="3278"/>
    </row>
    <row r="177" spans="1:7">
      <c r="A177" s="3276" t="s">
        <v>29</v>
      </c>
      <c r="B177" s="3265" t="s">
        <v>3192</v>
      </c>
      <c r="C177" s="3277"/>
      <c r="D177" s="3277"/>
      <c r="E177" s="3277"/>
      <c r="F177" s="3266">
        <v>0.05</v>
      </c>
      <c r="G177" s="3283"/>
    </row>
    <row r="178" spans="1:7">
      <c r="A178" s="3276" t="s">
        <v>29</v>
      </c>
      <c r="B178" s="3265" t="s">
        <v>3193</v>
      </c>
      <c r="C178" s="3277"/>
      <c r="D178" s="3277"/>
      <c r="E178" s="3277"/>
      <c r="F178" s="3266">
        <v>0.05</v>
      </c>
      <c r="G178" s="3283"/>
    </row>
    <row r="179" spans="1:7">
      <c r="A179" s="3276" t="s">
        <v>29</v>
      </c>
      <c r="B179" s="3265" t="s">
        <v>3194</v>
      </c>
      <c r="C179" s="3277"/>
      <c r="D179" s="3277"/>
      <c r="E179" s="3277"/>
      <c r="F179" s="3266">
        <v>0.05</v>
      </c>
      <c r="G179" s="3283"/>
    </row>
    <row r="180" spans="1:7">
      <c r="A180" s="3276" t="s">
        <v>29</v>
      </c>
      <c r="B180" s="3265" t="s">
        <v>3195</v>
      </c>
      <c r="C180" s="3277"/>
      <c r="D180" s="3277"/>
      <c r="E180" s="3277"/>
      <c r="F180" s="3266">
        <v>0.05</v>
      </c>
      <c r="G180" s="3283"/>
    </row>
    <row r="181" spans="1:7">
      <c r="A181" s="3276" t="s">
        <v>29</v>
      </c>
      <c r="B181" s="3265" t="s">
        <v>3196</v>
      </c>
      <c r="C181" s="3277"/>
      <c r="D181" s="3277"/>
      <c r="E181" s="3277"/>
      <c r="F181" s="3266">
        <v>0.05</v>
      </c>
      <c r="G181" s="3283"/>
    </row>
    <row r="182" spans="1:7">
      <c r="A182" s="3276" t="s">
        <v>29</v>
      </c>
      <c r="B182" s="3265" t="s">
        <v>3197</v>
      </c>
      <c r="C182" s="3277"/>
      <c r="D182" s="3277"/>
      <c r="E182" s="3277"/>
      <c r="F182" s="3266">
        <v>0.05</v>
      </c>
      <c r="G182" s="3283"/>
    </row>
    <row r="183" spans="1:7">
      <c r="A183" s="3276" t="s">
        <v>29</v>
      </c>
      <c r="B183" s="3265" t="s">
        <v>3198</v>
      </c>
      <c r="C183" s="3277"/>
      <c r="D183" s="3277"/>
      <c r="E183" s="3277"/>
      <c r="F183" s="3266">
        <v>0.05</v>
      </c>
      <c r="G183" s="3283"/>
    </row>
    <row r="184" spans="1:7">
      <c r="A184" s="3276" t="s">
        <v>29</v>
      </c>
      <c r="B184" s="3265" t="s">
        <v>3199</v>
      </c>
      <c r="C184" s="3277"/>
      <c r="D184" s="3277"/>
      <c r="E184" s="3277"/>
      <c r="F184" s="3266">
        <v>0.05</v>
      </c>
      <c r="G184" s="3283"/>
    </row>
    <row r="185" spans="1:7">
      <c r="A185" s="3276" t="s">
        <v>29</v>
      </c>
      <c r="B185" s="3265" t="s">
        <v>3200</v>
      </c>
      <c r="C185" s="3277"/>
      <c r="D185" s="3277"/>
      <c r="E185" s="3277"/>
      <c r="F185" s="3266">
        <v>0.05</v>
      </c>
      <c r="G185" s="3283"/>
    </row>
    <row r="186" spans="1:7">
      <c r="A186" s="3276" t="s">
        <v>29</v>
      </c>
      <c r="B186" s="3265" t="s">
        <v>3201</v>
      </c>
      <c r="C186" s="3277"/>
      <c r="D186" s="3277"/>
      <c r="E186" s="3277"/>
      <c r="F186" s="3266">
        <v>0.05</v>
      </c>
      <c r="G186" s="3283"/>
    </row>
    <row r="187" spans="1:7">
      <c r="A187" s="3276" t="s">
        <v>29</v>
      </c>
      <c r="B187" s="3265" t="s">
        <v>3202</v>
      </c>
      <c r="C187" s="3277"/>
      <c r="D187" s="3277"/>
      <c r="E187" s="3277"/>
      <c r="F187" s="3266">
        <v>0.05</v>
      </c>
      <c r="G187" s="3283"/>
    </row>
    <row r="188" spans="1:7">
      <c r="A188" s="3276" t="s">
        <v>29</v>
      </c>
      <c r="B188" s="3265" t="s">
        <v>3203</v>
      </c>
      <c r="C188" s="3277"/>
      <c r="D188" s="3277"/>
      <c r="E188" s="3277"/>
      <c r="F188" s="3266">
        <v>0.05</v>
      </c>
      <c r="G188" s="3283"/>
    </row>
    <row r="189" spans="1:7" ht="14.25" thickBot="1">
      <c r="A189" s="3279" t="s">
        <v>29</v>
      </c>
      <c r="B189" s="3269" t="s">
        <v>3204</v>
      </c>
      <c r="C189" s="3271"/>
      <c r="D189" s="3271"/>
      <c r="E189" s="3271"/>
      <c r="F189" s="3270">
        <v>0.05</v>
      </c>
      <c r="G189" s="3284"/>
    </row>
    <row r="190" spans="1:7">
      <c r="A190" s="3275" t="s">
        <v>304</v>
      </c>
      <c r="B190" s="3261" t="s">
        <v>2860</v>
      </c>
      <c r="C190" s="3262">
        <v>0.124</v>
      </c>
      <c r="D190" s="3262">
        <v>0.124</v>
      </c>
      <c r="E190" s="3262">
        <v>0.129</v>
      </c>
      <c r="F190" s="3262">
        <v>0.13</v>
      </c>
      <c r="G190" s="3263">
        <v>0.127</v>
      </c>
    </row>
    <row r="191" spans="1:7">
      <c r="A191" s="3276" t="s">
        <v>304</v>
      </c>
      <c r="B191" s="3265" t="s">
        <v>133</v>
      </c>
      <c r="C191" s="3266">
        <v>0.13</v>
      </c>
      <c r="D191" s="3266">
        <v>0.13</v>
      </c>
      <c r="E191" s="3266">
        <v>0.13</v>
      </c>
      <c r="F191" s="3266">
        <v>0.13</v>
      </c>
      <c r="G191" s="3267">
        <v>0.13</v>
      </c>
    </row>
    <row r="192" spans="1:7">
      <c r="A192" s="3276" t="s">
        <v>304</v>
      </c>
      <c r="B192" s="3265" t="s">
        <v>142</v>
      </c>
      <c r="C192" s="3266">
        <v>0.13</v>
      </c>
      <c r="D192" s="3266">
        <v>0.13</v>
      </c>
      <c r="E192" s="3266">
        <v>0.13</v>
      </c>
      <c r="F192" s="3266">
        <v>0.13</v>
      </c>
      <c r="G192" s="3267">
        <v>0.13</v>
      </c>
    </row>
    <row r="193" spans="1:7">
      <c r="A193" s="3276" t="s">
        <v>304</v>
      </c>
      <c r="B193" s="3265" t="s">
        <v>151</v>
      </c>
      <c r="C193" s="3266">
        <v>0.13</v>
      </c>
      <c r="D193" s="3266">
        <v>0.13</v>
      </c>
      <c r="E193" s="3266">
        <v>0.13</v>
      </c>
      <c r="F193" s="3266">
        <v>0.13</v>
      </c>
      <c r="G193" s="3267">
        <v>0.13</v>
      </c>
    </row>
    <row r="194" spans="1:7">
      <c r="A194" s="3276" t="s">
        <v>304</v>
      </c>
      <c r="B194" s="3265" t="s">
        <v>160</v>
      </c>
      <c r="C194" s="3266">
        <v>0.123</v>
      </c>
      <c r="D194" s="3266">
        <v>0.123</v>
      </c>
      <c r="E194" s="3266">
        <v>0.128</v>
      </c>
      <c r="F194" s="3266">
        <v>0.13</v>
      </c>
      <c r="G194" s="3267">
        <v>0.126</v>
      </c>
    </row>
    <row r="195" spans="1:7">
      <c r="A195" s="3276" t="s">
        <v>304</v>
      </c>
      <c r="B195" s="3265" t="s">
        <v>167</v>
      </c>
      <c r="C195" s="3266">
        <v>0.127</v>
      </c>
      <c r="D195" s="3266">
        <v>0.127</v>
      </c>
      <c r="E195" s="3266">
        <v>0.121</v>
      </c>
      <c r="F195" s="3266">
        <v>0.129</v>
      </c>
      <c r="G195" s="3267">
        <v>0.129</v>
      </c>
    </row>
    <row r="196" spans="1:7">
      <c r="A196" s="3276" t="s">
        <v>304</v>
      </c>
      <c r="B196" s="3265" t="s">
        <v>173</v>
      </c>
      <c r="C196" s="3266">
        <v>0.127</v>
      </c>
      <c r="D196" s="3266">
        <v>0.128</v>
      </c>
      <c r="E196" s="3266">
        <v>0.122</v>
      </c>
      <c r="F196" s="3266">
        <v>0.13</v>
      </c>
      <c r="G196" s="3267">
        <v>0.129</v>
      </c>
    </row>
    <row r="197" spans="1:7">
      <c r="A197" s="3276" t="s">
        <v>304</v>
      </c>
      <c r="B197" s="3265" t="s">
        <v>180</v>
      </c>
      <c r="C197" s="3266">
        <v>0.126</v>
      </c>
      <c r="D197" s="3266">
        <v>0.126</v>
      </c>
      <c r="E197" s="3266">
        <v>0.11899999999999999</v>
      </c>
      <c r="F197" s="3266">
        <v>0.13</v>
      </c>
      <c r="G197" s="3267">
        <v>0.128</v>
      </c>
    </row>
    <row r="198" spans="1:7">
      <c r="A198" s="3276" t="s">
        <v>304</v>
      </c>
      <c r="B198" s="3265" t="s">
        <v>190</v>
      </c>
      <c r="C198" s="3266">
        <v>0.13</v>
      </c>
      <c r="D198" s="3266">
        <v>0.13</v>
      </c>
      <c r="E198" s="3266">
        <v>0.126</v>
      </c>
      <c r="F198" s="3282"/>
      <c r="G198" s="3267">
        <v>0.13</v>
      </c>
    </row>
    <row r="199" spans="1:7">
      <c r="A199" s="3276" t="s">
        <v>304</v>
      </c>
      <c r="B199" s="3265" t="s">
        <v>2896</v>
      </c>
      <c r="C199" s="3266">
        <v>0.13</v>
      </c>
      <c r="D199" s="3266">
        <v>0.13</v>
      </c>
      <c r="E199" s="3266">
        <v>0.13</v>
      </c>
      <c r="F199" s="3266">
        <v>0.13</v>
      </c>
      <c r="G199" s="3267">
        <v>0.13</v>
      </c>
    </row>
    <row r="200" spans="1:7">
      <c r="A200" s="3276" t="s">
        <v>304</v>
      </c>
      <c r="B200" s="3265" t="s">
        <v>2899</v>
      </c>
      <c r="C200" s="3282"/>
      <c r="D200" s="3282"/>
      <c r="E200" s="3282"/>
      <c r="F200" s="3266">
        <v>0.13</v>
      </c>
      <c r="G200" s="3278"/>
    </row>
    <row r="201" spans="1:7">
      <c r="A201" s="3276" t="s">
        <v>304</v>
      </c>
      <c r="B201" s="3265" t="s">
        <v>2904</v>
      </c>
      <c r="C201" s="3266">
        <v>0.13</v>
      </c>
      <c r="D201" s="3266">
        <v>0.13</v>
      </c>
      <c r="E201" s="3266">
        <v>0.13</v>
      </c>
      <c r="F201" s="3266">
        <v>0.129</v>
      </c>
      <c r="G201" s="3267">
        <v>0.13</v>
      </c>
    </row>
    <row r="202" spans="1:7">
      <c r="A202" s="3276" t="s">
        <v>304</v>
      </c>
      <c r="B202" s="3265" t="s">
        <v>240</v>
      </c>
      <c r="C202" s="3266">
        <v>0.13</v>
      </c>
      <c r="D202" s="3266">
        <v>0.13</v>
      </c>
      <c r="E202" s="3266">
        <v>0.13</v>
      </c>
      <c r="F202" s="3266">
        <v>0.13</v>
      </c>
      <c r="G202" s="3267">
        <v>0.13</v>
      </c>
    </row>
    <row r="203" spans="1:7">
      <c r="A203" s="3276" t="s">
        <v>304</v>
      </c>
      <c r="B203" s="3265" t="s">
        <v>2907</v>
      </c>
      <c r="C203" s="3266">
        <v>0.129</v>
      </c>
      <c r="D203" s="3266">
        <v>0.129</v>
      </c>
      <c r="E203" s="3266">
        <v>0.13</v>
      </c>
      <c r="F203" s="3266">
        <v>0.13</v>
      </c>
      <c r="G203" s="3267">
        <v>0.13</v>
      </c>
    </row>
    <row r="204" spans="1:7">
      <c r="A204" s="3276" t="s">
        <v>304</v>
      </c>
      <c r="B204" s="3265" t="s">
        <v>2910</v>
      </c>
      <c r="C204" s="3266">
        <v>0.129</v>
      </c>
      <c r="D204" s="3266">
        <v>0.129</v>
      </c>
      <c r="E204" s="3266">
        <v>0.123</v>
      </c>
      <c r="F204" s="3266">
        <v>0.13</v>
      </c>
      <c r="G204" s="3267">
        <v>0.13</v>
      </c>
    </row>
    <row r="205" spans="1:7">
      <c r="A205" s="3276" t="s">
        <v>304</v>
      </c>
      <c r="B205" s="3265" t="s">
        <v>2912</v>
      </c>
      <c r="C205" s="3266">
        <v>0.13</v>
      </c>
      <c r="D205" s="3266">
        <v>0.13</v>
      </c>
      <c r="E205" s="3266">
        <v>0.13</v>
      </c>
      <c r="F205" s="3266">
        <v>0.13</v>
      </c>
      <c r="G205" s="3267">
        <v>0.13</v>
      </c>
    </row>
    <row r="206" spans="1:7">
      <c r="A206" s="3276" t="s">
        <v>304</v>
      </c>
      <c r="B206" s="3265" t="s">
        <v>2915</v>
      </c>
      <c r="C206" s="3266">
        <v>0.13</v>
      </c>
      <c r="D206" s="3266">
        <v>0.13</v>
      </c>
      <c r="E206" s="3266">
        <v>0.13</v>
      </c>
      <c r="F206" s="3266">
        <v>0.128</v>
      </c>
      <c r="G206" s="3267">
        <v>0.13</v>
      </c>
    </row>
    <row r="207" spans="1:7">
      <c r="A207" s="3276" t="s">
        <v>304</v>
      </c>
      <c r="B207" s="3265" t="s">
        <v>2917</v>
      </c>
      <c r="C207" s="3266">
        <v>0.13</v>
      </c>
      <c r="D207" s="3266">
        <v>0.13</v>
      </c>
      <c r="E207" s="3266">
        <v>0.13</v>
      </c>
      <c r="F207" s="3266">
        <v>0.13</v>
      </c>
      <c r="G207" s="3267">
        <v>0.13</v>
      </c>
    </row>
    <row r="208" spans="1:7">
      <c r="A208" s="3276" t="s">
        <v>304</v>
      </c>
      <c r="B208" s="3265" t="s">
        <v>2920</v>
      </c>
      <c r="C208" s="3266">
        <v>0.13</v>
      </c>
      <c r="D208" s="3266">
        <v>0.13</v>
      </c>
      <c r="E208" s="3266">
        <v>0.13</v>
      </c>
      <c r="F208" s="3266">
        <v>0.13</v>
      </c>
      <c r="G208" s="3267">
        <v>0.13</v>
      </c>
    </row>
    <row r="209" spans="1:7">
      <c r="A209" s="3276" t="s">
        <v>304</v>
      </c>
      <c r="B209" s="3265" t="s">
        <v>264</v>
      </c>
      <c r="C209" s="3266">
        <v>0.13</v>
      </c>
      <c r="D209" s="3266">
        <v>0.13</v>
      </c>
      <c r="E209" s="3266">
        <v>0.13</v>
      </c>
      <c r="F209" s="3266">
        <v>0.13</v>
      </c>
      <c r="G209" s="3267">
        <v>0.13</v>
      </c>
    </row>
    <row r="210" spans="1:7">
      <c r="A210" s="3276" t="s">
        <v>304</v>
      </c>
      <c r="B210" s="3265" t="s">
        <v>2927</v>
      </c>
      <c r="C210" s="3266">
        <v>0.121</v>
      </c>
      <c r="D210" s="3266">
        <v>0.121</v>
      </c>
      <c r="E210" s="3266">
        <v>0.125</v>
      </c>
      <c r="F210" s="3266">
        <v>0.13</v>
      </c>
      <c r="G210" s="3267">
        <v>0.123</v>
      </c>
    </row>
    <row r="211" spans="1:7">
      <c r="A211" s="3276" t="s">
        <v>304</v>
      </c>
      <c r="B211" s="3265" t="s">
        <v>2930</v>
      </c>
      <c r="C211" s="3266">
        <v>0.123</v>
      </c>
      <c r="D211" s="3266">
        <v>0.123</v>
      </c>
      <c r="E211" s="3266">
        <v>0.127</v>
      </c>
      <c r="F211" s="3266">
        <v>0.115</v>
      </c>
      <c r="G211" s="3267">
        <v>0.126</v>
      </c>
    </row>
    <row r="212" spans="1:7">
      <c r="A212" s="3276" t="s">
        <v>304</v>
      </c>
      <c r="B212" s="3265" t="s">
        <v>285</v>
      </c>
      <c r="C212" s="3266">
        <v>0.126</v>
      </c>
      <c r="D212" s="3266">
        <v>0.126</v>
      </c>
      <c r="E212" s="3266">
        <v>0.13</v>
      </c>
      <c r="F212" s="3266">
        <v>0.13</v>
      </c>
      <c r="G212" s="3267">
        <v>0.129</v>
      </c>
    </row>
    <row r="213" spans="1:7">
      <c r="A213" s="3276" t="s">
        <v>304</v>
      </c>
      <c r="B213" s="3265" t="s">
        <v>288</v>
      </c>
      <c r="C213" s="3266">
        <v>0.129</v>
      </c>
      <c r="D213" s="3266">
        <v>0.13</v>
      </c>
      <c r="E213" s="3266">
        <v>0.127</v>
      </c>
      <c r="F213" s="3266">
        <v>0.13</v>
      </c>
      <c r="G213" s="3267">
        <v>0.13</v>
      </c>
    </row>
    <row r="214" spans="1:7">
      <c r="A214" s="3276" t="s">
        <v>304</v>
      </c>
      <c r="B214" s="3265" t="s">
        <v>2942</v>
      </c>
      <c r="C214" s="3266">
        <v>0.128</v>
      </c>
      <c r="D214" s="3266">
        <v>0.128</v>
      </c>
      <c r="E214" s="3266">
        <v>0.13</v>
      </c>
      <c r="F214" s="3266">
        <v>0.13</v>
      </c>
      <c r="G214" s="3267">
        <v>0.13</v>
      </c>
    </row>
    <row r="215" spans="1:7">
      <c r="A215" s="3276" t="s">
        <v>304</v>
      </c>
      <c r="B215" s="3265" t="s">
        <v>2946</v>
      </c>
      <c r="C215" s="3266">
        <v>0.13</v>
      </c>
      <c r="D215" s="3266">
        <v>0.13</v>
      </c>
      <c r="E215" s="3266">
        <v>0.13</v>
      </c>
      <c r="F215" s="3266">
        <v>0.129</v>
      </c>
      <c r="G215" s="3267">
        <v>0.13</v>
      </c>
    </row>
    <row r="216" spans="1:7">
      <c r="A216" s="3276" t="s">
        <v>304</v>
      </c>
      <c r="B216" s="3265" t="s">
        <v>2953</v>
      </c>
      <c r="C216" s="3266">
        <v>0.13</v>
      </c>
      <c r="D216" s="3266">
        <v>0.13</v>
      </c>
      <c r="E216" s="3266">
        <v>0.13</v>
      </c>
      <c r="F216" s="3266">
        <v>0.13</v>
      </c>
      <c r="G216" s="3267">
        <v>0.13</v>
      </c>
    </row>
    <row r="217" spans="1:7">
      <c r="A217" s="3276" t="s">
        <v>304</v>
      </c>
      <c r="B217" s="3265" t="s">
        <v>2960</v>
      </c>
      <c r="C217" s="3266">
        <v>0.129</v>
      </c>
      <c r="D217" s="3266">
        <v>0.129</v>
      </c>
      <c r="E217" s="3266">
        <v>0.13</v>
      </c>
      <c r="F217" s="3266">
        <v>0.13</v>
      </c>
      <c r="G217" s="3267">
        <v>0.13</v>
      </c>
    </row>
    <row r="218" spans="1:7">
      <c r="A218" s="3276" t="s">
        <v>304</v>
      </c>
      <c r="B218" s="3265" t="s">
        <v>2966</v>
      </c>
      <c r="C218" s="3277"/>
      <c r="D218" s="3277"/>
      <c r="E218" s="3277"/>
      <c r="F218" s="3266">
        <v>0.05</v>
      </c>
      <c r="G218" s="3283"/>
    </row>
    <row r="219" spans="1:7">
      <c r="A219" s="3276" t="s">
        <v>304</v>
      </c>
      <c r="B219" s="3265" t="s">
        <v>2973</v>
      </c>
      <c r="C219" s="3277"/>
      <c r="D219" s="3277"/>
      <c r="E219" s="3277"/>
      <c r="F219" s="3266">
        <v>0.05</v>
      </c>
      <c r="G219" s="3283"/>
    </row>
    <row r="220" spans="1:7">
      <c r="A220" s="3276" t="s">
        <v>304</v>
      </c>
      <c r="B220" s="3265" t="s">
        <v>2979</v>
      </c>
      <c r="C220" s="3277"/>
      <c r="D220" s="3277"/>
      <c r="E220" s="3277"/>
      <c r="F220" s="3266">
        <v>0.05</v>
      </c>
      <c r="G220" s="3283"/>
    </row>
    <row r="221" spans="1:7">
      <c r="A221" s="3276" t="s">
        <v>304</v>
      </c>
      <c r="B221" s="3265" t="s">
        <v>2984</v>
      </c>
      <c r="C221" s="3277"/>
      <c r="D221" s="3277"/>
      <c r="E221" s="3277"/>
      <c r="F221" s="3266">
        <v>0.05</v>
      </c>
      <c r="G221" s="3283"/>
    </row>
    <row r="222" spans="1:7">
      <c r="A222" s="3276" t="s">
        <v>304</v>
      </c>
      <c r="B222" s="3265" t="s">
        <v>2988</v>
      </c>
      <c r="C222" s="3277"/>
      <c r="D222" s="3277"/>
      <c r="E222" s="3277"/>
      <c r="F222" s="3266">
        <v>0.05</v>
      </c>
      <c r="G222" s="3283"/>
    </row>
    <row r="223" spans="1:7">
      <c r="A223" s="3276" t="s">
        <v>304</v>
      </c>
      <c r="B223" s="3265" t="s">
        <v>2993</v>
      </c>
      <c r="C223" s="3277"/>
      <c r="D223" s="3277"/>
      <c r="E223" s="3277"/>
      <c r="F223" s="3266">
        <v>0.05</v>
      </c>
      <c r="G223" s="3283"/>
    </row>
    <row r="224" spans="1:7">
      <c r="A224" s="3276" t="s">
        <v>304</v>
      </c>
      <c r="B224" s="3265" t="s">
        <v>2998</v>
      </c>
      <c r="C224" s="3277"/>
      <c r="D224" s="3277"/>
      <c r="E224" s="3277"/>
      <c r="F224" s="3266">
        <v>0.05</v>
      </c>
      <c r="G224" s="3283"/>
    </row>
    <row r="225" spans="1:7">
      <c r="A225" s="3276" t="s">
        <v>304</v>
      </c>
      <c r="B225" s="3265" t="s">
        <v>3003</v>
      </c>
      <c r="C225" s="3277"/>
      <c r="D225" s="3277"/>
      <c r="E225" s="3277"/>
      <c r="F225" s="3266">
        <v>0.05</v>
      </c>
      <c r="G225" s="3283"/>
    </row>
    <row r="226" spans="1:7">
      <c r="A226" s="3276" t="s">
        <v>304</v>
      </c>
      <c r="B226" s="3265" t="s">
        <v>3205</v>
      </c>
      <c r="C226" s="3277"/>
      <c r="D226" s="3277"/>
      <c r="E226" s="3277"/>
      <c r="F226" s="3266">
        <v>0.05</v>
      </c>
      <c r="G226" s="3283"/>
    </row>
    <row r="227" spans="1:7">
      <c r="A227" s="3276" t="s">
        <v>304</v>
      </c>
      <c r="B227" s="3265" t="s">
        <v>3206</v>
      </c>
      <c r="C227" s="3277"/>
      <c r="D227" s="3277"/>
      <c r="E227" s="3277"/>
      <c r="F227" s="3266">
        <v>0.05</v>
      </c>
      <c r="G227" s="3283"/>
    </row>
    <row r="228" spans="1:7">
      <c r="A228" s="3276" t="s">
        <v>304</v>
      </c>
      <c r="B228" s="3265" t="s">
        <v>3207</v>
      </c>
      <c r="C228" s="3277"/>
      <c r="D228" s="3277"/>
      <c r="E228" s="3277"/>
      <c r="F228" s="3266">
        <v>0.05</v>
      </c>
      <c r="G228" s="3283"/>
    </row>
    <row r="229" spans="1:7">
      <c r="A229" s="3276" t="s">
        <v>304</v>
      </c>
      <c r="B229" s="3265" t="s">
        <v>3208</v>
      </c>
      <c r="C229" s="3277"/>
      <c r="D229" s="3277"/>
      <c r="E229" s="3277"/>
      <c r="F229" s="3266">
        <v>0.05</v>
      </c>
      <c r="G229" s="3283"/>
    </row>
    <row r="230" spans="1:7">
      <c r="A230" s="3276" t="s">
        <v>304</v>
      </c>
      <c r="B230" s="3265" t="s">
        <v>3209</v>
      </c>
      <c r="C230" s="3277"/>
      <c r="D230" s="3277"/>
      <c r="E230" s="3277"/>
      <c r="F230" s="3266">
        <v>0.05</v>
      </c>
      <c r="G230" s="3283"/>
    </row>
    <row r="231" spans="1:7">
      <c r="A231" s="3276" t="s">
        <v>304</v>
      </c>
      <c r="B231" s="3265" t="s">
        <v>3210</v>
      </c>
      <c r="C231" s="3277"/>
      <c r="D231" s="3277"/>
      <c r="E231" s="3277"/>
      <c r="F231" s="3266">
        <v>0.05</v>
      </c>
      <c r="G231" s="3283"/>
    </row>
    <row r="232" spans="1:7">
      <c r="A232" s="3276" t="s">
        <v>304</v>
      </c>
      <c r="B232" s="3265" t="s">
        <v>3211</v>
      </c>
      <c r="C232" s="3277"/>
      <c r="D232" s="3277"/>
      <c r="E232" s="3277"/>
      <c r="F232" s="3266">
        <v>0.05</v>
      </c>
      <c r="G232" s="3283"/>
    </row>
    <row r="233" spans="1:7" ht="14.25" thickBot="1">
      <c r="A233" s="3279" t="s">
        <v>304</v>
      </c>
      <c r="B233" s="3269" t="s">
        <v>3212</v>
      </c>
      <c r="C233" s="3271"/>
      <c r="D233" s="3271"/>
      <c r="E233" s="3271"/>
      <c r="F233" s="3270">
        <v>0.05</v>
      </c>
      <c r="G233" s="3284"/>
    </row>
    <row r="234" spans="1:7">
      <c r="A234" s="3275" t="s">
        <v>305</v>
      </c>
      <c r="B234" s="3261" t="s">
        <v>2861</v>
      </c>
      <c r="C234" s="3262">
        <v>0.13</v>
      </c>
      <c r="D234" s="3262">
        <v>0.128</v>
      </c>
      <c r="E234" s="3262">
        <v>0.14199999999999999</v>
      </c>
      <c r="F234" s="3262">
        <v>0.14699999999999999</v>
      </c>
      <c r="G234" s="3263">
        <v>0.14000000000000001</v>
      </c>
    </row>
    <row r="235" spans="1:7">
      <c r="A235" s="3276" t="s">
        <v>305</v>
      </c>
      <c r="B235" s="3265" t="s">
        <v>134</v>
      </c>
      <c r="C235" s="3266">
        <v>0.13600000000000001</v>
      </c>
      <c r="D235" s="3266">
        <v>0.13800000000000001</v>
      </c>
      <c r="E235" s="3266">
        <v>0.14499999999999999</v>
      </c>
      <c r="F235" s="3266">
        <v>0.14299999999999999</v>
      </c>
      <c r="G235" s="3267">
        <v>0.14099999999999999</v>
      </c>
    </row>
    <row r="236" spans="1:7">
      <c r="A236" s="3276" t="s">
        <v>305</v>
      </c>
      <c r="B236" s="3265" t="s">
        <v>143</v>
      </c>
      <c r="C236" s="3266">
        <v>0.15</v>
      </c>
      <c r="D236" s="3266">
        <v>0.15</v>
      </c>
      <c r="E236" s="3266">
        <v>0.15</v>
      </c>
      <c r="F236" s="3266">
        <v>0.15</v>
      </c>
      <c r="G236" s="3267">
        <v>0.15</v>
      </c>
    </row>
    <row r="237" spans="1:7">
      <c r="A237" s="3276" t="s">
        <v>305</v>
      </c>
      <c r="B237" s="3265" t="s">
        <v>152</v>
      </c>
      <c r="C237" s="3266">
        <v>0.15</v>
      </c>
      <c r="D237" s="3266">
        <v>0.15</v>
      </c>
      <c r="E237" s="3266">
        <v>0.15</v>
      </c>
      <c r="F237" s="3266">
        <v>0.15</v>
      </c>
      <c r="G237" s="3267">
        <v>0.15</v>
      </c>
    </row>
    <row r="238" spans="1:7">
      <c r="A238" s="3276" t="s">
        <v>305</v>
      </c>
      <c r="B238" s="3265" t="s">
        <v>2881</v>
      </c>
      <c r="C238" s="3266">
        <v>0.14899999999999999</v>
      </c>
      <c r="D238" s="3266">
        <v>0.14899999999999999</v>
      </c>
      <c r="E238" s="3266">
        <v>0.15</v>
      </c>
      <c r="F238" s="3266">
        <v>0.15</v>
      </c>
      <c r="G238" s="3267">
        <v>0.15</v>
      </c>
    </row>
    <row r="239" spans="1:7">
      <c r="A239" s="3276" t="s">
        <v>305</v>
      </c>
      <c r="B239" s="3265" t="s">
        <v>2885</v>
      </c>
      <c r="C239" s="3266">
        <v>0.15</v>
      </c>
      <c r="D239" s="3266">
        <v>0.15</v>
      </c>
      <c r="E239" s="3266">
        <v>0.15</v>
      </c>
      <c r="F239" s="3266">
        <v>0.15</v>
      </c>
      <c r="G239" s="3267">
        <v>0.15</v>
      </c>
    </row>
    <row r="240" spans="1:7">
      <c r="A240" s="3276" t="s">
        <v>305</v>
      </c>
      <c r="B240" s="3265" t="s">
        <v>2890</v>
      </c>
      <c r="C240" s="3266">
        <v>0.15</v>
      </c>
      <c r="D240" s="3266">
        <v>0.15</v>
      </c>
      <c r="E240" s="3266">
        <v>0.15</v>
      </c>
      <c r="F240" s="3266">
        <v>0.15</v>
      </c>
      <c r="G240" s="3267">
        <v>0.15</v>
      </c>
    </row>
    <row r="241" spans="1:7">
      <c r="A241" s="3276" t="s">
        <v>305</v>
      </c>
      <c r="B241" s="3265" t="s">
        <v>2894</v>
      </c>
      <c r="C241" s="3266">
        <v>0.14099999999999999</v>
      </c>
      <c r="D241" s="3266">
        <v>0.14199999999999999</v>
      </c>
      <c r="E241" s="3266">
        <v>0.14899999999999999</v>
      </c>
      <c r="F241" s="3266">
        <v>0.15</v>
      </c>
      <c r="G241" s="3267">
        <v>0.14399999999999999</v>
      </c>
    </row>
    <row r="242" spans="1:7">
      <c r="A242" s="3276" t="s">
        <v>305</v>
      </c>
      <c r="B242" s="3265" t="s">
        <v>181</v>
      </c>
      <c r="C242" s="3266">
        <v>0.14099999999999999</v>
      </c>
      <c r="D242" s="3266">
        <v>0.14199999999999999</v>
      </c>
      <c r="E242" s="3266">
        <v>0.14799999999999999</v>
      </c>
      <c r="F242" s="3266">
        <v>0.127</v>
      </c>
      <c r="G242" s="3267">
        <v>0.14399999999999999</v>
      </c>
    </row>
    <row r="243" spans="1:7">
      <c r="A243" s="3276" t="s">
        <v>305</v>
      </c>
      <c r="B243" s="3265" t="s">
        <v>191</v>
      </c>
      <c r="C243" s="3266">
        <v>0.14699999999999999</v>
      </c>
      <c r="D243" s="3266">
        <v>0.14699999999999999</v>
      </c>
      <c r="E243" s="3266">
        <v>0.15</v>
      </c>
      <c r="F243" s="3266">
        <v>0.15</v>
      </c>
      <c r="G243" s="3267">
        <v>0.14899999999999999</v>
      </c>
    </row>
    <row r="244" spans="1:7">
      <c r="A244" s="3276" t="s">
        <v>305</v>
      </c>
      <c r="B244" s="3265" t="s">
        <v>2900</v>
      </c>
      <c r="C244" s="3266">
        <v>0.15</v>
      </c>
      <c r="D244" s="3266">
        <v>0.15</v>
      </c>
      <c r="E244" s="3266">
        <v>0.15</v>
      </c>
      <c r="F244" s="3266">
        <v>0.15</v>
      </c>
      <c r="G244" s="3267">
        <v>0.15</v>
      </c>
    </row>
    <row r="245" spans="1:7">
      <c r="A245" s="3276" t="s">
        <v>305</v>
      </c>
      <c r="B245" s="3265" t="s">
        <v>206</v>
      </c>
      <c r="C245" s="3266">
        <v>0.14199999999999999</v>
      </c>
      <c r="D245" s="3266">
        <v>0.14199999999999999</v>
      </c>
      <c r="E245" s="3266">
        <v>0.15</v>
      </c>
      <c r="F245" s="3266">
        <v>0.15</v>
      </c>
      <c r="G245" s="3267">
        <v>0.14499999999999999</v>
      </c>
    </row>
    <row r="246" spans="1:7">
      <c r="A246" s="3276" t="s">
        <v>305</v>
      </c>
      <c r="B246" s="3265" t="s">
        <v>213</v>
      </c>
      <c r="C246" s="3266">
        <v>0.14199999999999999</v>
      </c>
      <c r="D246" s="3266">
        <v>0.14299999999999999</v>
      </c>
      <c r="E246" s="3266">
        <v>0.15</v>
      </c>
      <c r="F246" s="3266">
        <v>0.14199999999999999</v>
      </c>
      <c r="G246" s="3267">
        <v>0.14399999999999999</v>
      </c>
    </row>
    <row r="247" spans="1:7">
      <c r="A247" s="3276" t="s">
        <v>305</v>
      </c>
      <c r="B247" s="3265" t="s">
        <v>2908</v>
      </c>
      <c r="C247" s="3266">
        <v>0.14899999999999999</v>
      </c>
      <c r="D247" s="3266">
        <v>0.14899999999999999</v>
      </c>
      <c r="E247" s="3266">
        <v>0.15</v>
      </c>
      <c r="F247" s="3266">
        <v>0.15</v>
      </c>
      <c r="G247" s="3267">
        <v>0.15</v>
      </c>
    </row>
    <row r="248" spans="1:7">
      <c r="A248" s="3276" t="s">
        <v>305</v>
      </c>
      <c r="B248" s="3265" t="s">
        <v>227</v>
      </c>
      <c r="C248" s="3266">
        <v>0.14399999999999999</v>
      </c>
      <c r="D248" s="3266">
        <v>0.14399999999999999</v>
      </c>
      <c r="E248" s="3266">
        <v>0.14899999999999999</v>
      </c>
      <c r="F248" s="3266">
        <v>0.14799999999999999</v>
      </c>
      <c r="G248" s="3267">
        <v>0.14599999999999999</v>
      </c>
    </row>
    <row r="249" spans="1:7">
      <c r="A249" s="3276" t="s">
        <v>305</v>
      </c>
      <c r="B249" s="3265" t="s">
        <v>2913</v>
      </c>
      <c r="C249" s="3266">
        <v>0.14000000000000001</v>
      </c>
      <c r="D249" s="3266">
        <v>0.14000000000000001</v>
      </c>
      <c r="E249" s="3266">
        <v>0.14699999999999999</v>
      </c>
      <c r="F249" s="3266">
        <v>0.14899999999999999</v>
      </c>
      <c r="G249" s="3267">
        <v>0.14199999999999999</v>
      </c>
    </row>
    <row r="250" spans="1:7">
      <c r="A250" s="3276" t="s">
        <v>305</v>
      </c>
      <c r="B250" s="3265" t="s">
        <v>241</v>
      </c>
      <c r="C250" s="3266">
        <v>0.14399999999999999</v>
      </c>
      <c r="D250" s="3266">
        <v>0.14299999999999999</v>
      </c>
      <c r="E250" s="3266">
        <v>0.14899999999999999</v>
      </c>
      <c r="F250" s="3266">
        <v>0.15</v>
      </c>
      <c r="G250" s="3267">
        <v>0.14599999999999999</v>
      </c>
    </row>
    <row r="251" spans="1:7">
      <c r="A251" s="3276" t="s">
        <v>305</v>
      </c>
      <c r="B251" s="3265" t="s">
        <v>249</v>
      </c>
      <c r="C251" s="3282"/>
      <c r="D251" s="3277"/>
      <c r="E251" s="3277"/>
      <c r="F251" s="3266">
        <v>0.1</v>
      </c>
      <c r="G251" s="3283"/>
    </row>
    <row r="252" spans="1:7">
      <c r="A252" s="3276" t="s">
        <v>305</v>
      </c>
      <c r="B252" s="3265" t="s">
        <v>2921</v>
      </c>
      <c r="C252" s="3266">
        <v>0.14399999999999999</v>
      </c>
      <c r="D252" s="3266">
        <v>0.14399999999999999</v>
      </c>
      <c r="E252" s="3266">
        <v>0.15</v>
      </c>
      <c r="F252" s="3266">
        <v>0.14899999999999999</v>
      </c>
      <c r="G252" s="3267">
        <v>0.14599999999999999</v>
      </c>
    </row>
    <row r="253" spans="1:7">
      <c r="A253" s="3276" t="s">
        <v>305</v>
      </c>
      <c r="B253" s="3265" t="s">
        <v>283</v>
      </c>
      <c r="C253" s="3266">
        <v>0.14199999999999999</v>
      </c>
      <c r="D253" s="3266">
        <v>0.14199999999999999</v>
      </c>
      <c r="E253" s="3266">
        <v>0.14599999999999999</v>
      </c>
      <c r="F253" s="3266">
        <v>0.14799999999999999</v>
      </c>
      <c r="G253" s="3267">
        <v>0.14499999999999999</v>
      </c>
    </row>
    <row r="254" spans="1:7">
      <c r="A254" s="3276" t="s">
        <v>305</v>
      </c>
      <c r="B254" s="3265" t="s">
        <v>286</v>
      </c>
      <c r="C254" s="3266">
        <v>0.15</v>
      </c>
      <c r="D254" s="3266">
        <v>0.15</v>
      </c>
      <c r="E254" s="3266">
        <v>0.15</v>
      </c>
      <c r="F254" s="3266">
        <v>0.15</v>
      </c>
      <c r="G254" s="3267">
        <v>0.15</v>
      </c>
    </row>
    <row r="255" spans="1:7">
      <c r="A255" s="3276" t="s">
        <v>305</v>
      </c>
      <c r="B255" s="3265" t="s">
        <v>289</v>
      </c>
      <c r="C255" s="3266">
        <v>0.14299999999999999</v>
      </c>
      <c r="D255" s="3266">
        <v>0.14299999999999999</v>
      </c>
      <c r="E255" s="3266">
        <v>0.15</v>
      </c>
      <c r="F255" s="3266">
        <v>0.15</v>
      </c>
      <c r="G255" s="3267">
        <v>0.14499999999999999</v>
      </c>
    </row>
    <row r="256" spans="1:7">
      <c r="A256" s="3276" t="s">
        <v>305</v>
      </c>
      <c r="B256" s="3265" t="s">
        <v>2934</v>
      </c>
      <c r="C256" s="3266">
        <v>0.15</v>
      </c>
      <c r="D256" s="3266">
        <v>0.15</v>
      </c>
      <c r="E256" s="3266">
        <v>0.15</v>
      </c>
      <c r="F256" s="3266">
        <v>0.14599999999999999</v>
      </c>
      <c r="G256" s="3267">
        <v>0.15</v>
      </c>
    </row>
    <row r="257" spans="1:7">
      <c r="A257" s="3276" t="s">
        <v>305</v>
      </c>
      <c r="B257" s="3265" t="s">
        <v>275</v>
      </c>
      <c r="C257" s="3266">
        <v>0.14199999999999999</v>
      </c>
      <c r="D257" s="3266">
        <v>0.14299999999999999</v>
      </c>
      <c r="E257" s="3266">
        <v>0.14799999999999999</v>
      </c>
      <c r="F257" s="3266">
        <v>0.15</v>
      </c>
      <c r="G257" s="3267">
        <v>0.14499999999999999</v>
      </c>
    </row>
    <row r="258" spans="1:7">
      <c r="A258" s="3276" t="s">
        <v>305</v>
      </c>
      <c r="B258" s="3265" t="s">
        <v>2943</v>
      </c>
      <c r="C258" s="3266">
        <v>0.14299999999999999</v>
      </c>
      <c r="D258" s="3266">
        <v>0.14299999999999999</v>
      </c>
      <c r="E258" s="3266">
        <v>0.15</v>
      </c>
      <c r="F258" s="3266">
        <v>0.14799999999999999</v>
      </c>
      <c r="G258" s="3267">
        <v>0.14599999999999999</v>
      </c>
    </row>
    <row r="259" spans="1:7">
      <c r="A259" s="3276" t="s">
        <v>305</v>
      </c>
      <c r="B259" s="3265" t="s">
        <v>2947</v>
      </c>
      <c r="C259" s="3266">
        <v>0.14399999999999999</v>
      </c>
      <c r="D259" s="3266">
        <v>0.14399999999999999</v>
      </c>
      <c r="E259" s="3266">
        <v>0.14899999999999999</v>
      </c>
      <c r="F259" s="3266">
        <v>0.14699999999999999</v>
      </c>
      <c r="G259" s="3267">
        <v>0.14599999999999999</v>
      </c>
    </row>
    <row r="260" spans="1:7">
      <c r="A260" s="3276" t="s">
        <v>305</v>
      </c>
      <c r="B260" s="3265" t="s">
        <v>2954</v>
      </c>
      <c r="C260" s="3266">
        <v>0.109</v>
      </c>
      <c r="D260" s="3266">
        <v>0.111</v>
      </c>
      <c r="E260" s="3266">
        <v>0.13100000000000001</v>
      </c>
      <c r="F260" s="3266">
        <v>0.126</v>
      </c>
      <c r="G260" s="3267">
        <v>0.11899999999999999</v>
      </c>
    </row>
    <row r="261" spans="1:7">
      <c r="A261" s="3276" t="s">
        <v>305</v>
      </c>
      <c r="B261" s="3265" t="s">
        <v>2961</v>
      </c>
      <c r="C261" s="3266">
        <v>0.1</v>
      </c>
      <c r="D261" s="3266">
        <v>0.1</v>
      </c>
      <c r="E261" s="3266">
        <v>0.11799999999999999</v>
      </c>
      <c r="F261" s="3266">
        <v>0.108</v>
      </c>
      <c r="G261" s="3267">
        <v>0.107</v>
      </c>
    </row>
    <row r="262" spans="1:7">
      <c r="A262" s="3276" t="s">
        <v>305</v>
      </c>
      <c r="B262" s="3265" t="s">
        <v>2967</v>
      </c>
      <c r="C262" s="3266">
        <v>0.1</v>
      </c>
      <c r="D262" s="3266">
        <v>0.1</v>
      </c>
      <c r="E262" s="3266">
        <v>0.1</v>
      </c>
      <c r="F262" s="3266">
        <v>0.14099999999999999</v>
      </c>
      <c r="G262" s="3267">
        <v>0.1</v>
      </c>
    </row>
    <row r="263" spans="1:7">
      <c r="A263" s="3276" t="s">
        <v>305</v>
      </c>
      <c r="B263" s="3265" t="s">
        <v>2974</v>
      </c>
      <c r="C263" s="3266">
        <v>0.14799999999999999</v>
      </c>
      <c r="D263" s="3266">
        <v>0.14799999999999999</v>
      </c>
      <c r="E263" s="3266">
        <v>0.15</v>
      </c>
      <c r="F263" s="3266">
        <v>0.14699999999999999</v>
      </c>
      <c r="G263" s="3267">
        <v>0.15</v>
      </c>
    </row>
    <row r="264" spans="1:7">
      <c r="A264" s="3276" t="s">
        <v>305</v>
      </c>
      <c r="B264" s="3265" t="s">
        <v>299</v>
      </c>
      <c r="C264" s="3266">
        <v>0.14299999999999999</v>
      </c>
      <c r="D264" s="3266">
        <v>0.14299999999999999</v>
      </c>
      <c r="E264" s="3266">
        <v>0.15</v>
      </c>
      <c r="F264" s="3266">
        <v>0.14899999999999999</v>
      </c>
      <c r="G264" s="3267">
        <v>0.14599999999999999</v>
      </c>
    </row>
    <row r="265" spans="1:7">
      <c r="A265" s="3276" t="s">
        <v>305</v>
      </c>
      <c r="B265" s="3265" t="s">
        <v>2985</v>
      </c>
      <c r="C265" s="3277"/>
      <c r="D265" s="3277"/>
      <c r="E265" s="3277"/>
      <c r="F265" s="3266">
        <v>0.05</v>
      </c>
      <c r="G265" s="3283"/>
    </row>
    <row r="266" spans="1:7">
      <c r="A266" s="3276" t="s">
        <v>305</v>
      </c>
      <c r="B266" s="3265" t="s">
        <v>2989</v>
      </c>
      <c r="C266" s="3277"/>
      <c r="D266" s="3277"/>
      <c r="E266" s="3277"/>
      <c r="F266" s="3266">
        <v>0.05</v>
      </c>
      <c r="G266" s="3283"/>
    </row>
    <row r="267" spans="1:7">
      <c r="A267" s="3276" t="s">
        <v>305</v>
      </c>
      <c r="B267" s="3265" t="s">
        <v>2994</v>
      </c>
      <c r="C267" s="3277"/>
      <c r="D267" s="3277"/>
      <c r="E267" s="3277"/>
      <c r="F267" s="3266">
        <v>0.05</v>
      </c>
      <c r="G267" s="3283"/>
    </row>
    <row r="268" spans="1:7">
      <c r="A268" s="3276" t="s">
        <v>305</v>
      </c>
      <c r="B268" s="3265" t="s">
        <v>2999</v>
      </c>
      <c r="C268" s="3277"/>
      <c r="D268" s="3277"/>
      <c r="E268" s="3277"/>
      <c r="F268" s="3266">
        <v>0.05</v>
      </c>
      <c r="G268" s="3283"/>
    </row>
    <row r="269" spans="1:7">
      <c r="A269" s="3276" t="s">
        <v>305</v>
      </c>
      <c r="B269" s="3265" t="s">
        <v>3004</v>
      </c>
      <c r="C269" s="3277"/>
      <c r="D269" s="3277"/>
      <c r="E269" s="3277"/>
      <c r="F269" s="3266">
        <v>0.05</v>
      </c>
      <c r="G269" s="3283"/>
    </row>
    <row r="270" spans="1:7">
      <c r="A270" s="3276" t="s">
        <v>305</v>
      </c>
      <c r="B270" s="3265" t="s">
        <v>3009</v>
      </c>
      <c r="C270" s="3277"/>
      <c r="D270" s="3277"/>
      <c r="E270" s="3277"/>
      <c r="F270" s="3266">
        <v>0.05</v>
      </c>
      <c r="G270" s="3283"/>
    </row>
    <row r="271" spans="1:7">
      <c r="A271" s="3276" t="s">
        <v>305</v>
      </c>
      <c r="B271" s="3265" t="s">
        <v>3213</v>
      </c>
      <c r="C271" s="3277"/>
      <c r="D271" s="3277"/>
      <c r="E271" s="3277"/>
      <c r="F271" s="3266">
        <v>0.05</v>
      </c>
      <c r="G271" s="3283"/>
    </row>
    <row r="272" spans="1:7">
      <c r="A272" s="3276" t="s">
        <v>305</v>
      </c>
      <c r="B272" s="3265" t="s">
        <v>3214</v>
      </c>
      <c r="C272" s="3277"/>
      <c r="D272" s="3277"/>
      <c r="E272" s="3277"/>
      <c r="F272" s="3266">
        <v>0.05</v>
      </c>
      <c r="G272" s="3283"/>
    </row>
    <row r="273" spans="1:7">
      <c r="A273" s="3276" t="s">
        <v>305</v>
      </c>
      <c r="B273" s="3265" t="s">
        <v>3215</v>
      </c>
      <c r="C273" s="3277"/>
      <c r="D273" s="3277"/>
      <c r="E273" s="3277"/>
      <c r="F273" s="3266">
        <v>0.05</v>
      </c>
      <c r="G273" s="3283"/>
    </row>
    <row r="274" spans="1:7">
      <c r="A274" s="3276" t="s">
        <v>305</v>
      </c>
      <c r="B274" s="3265" t="s">
        <v>3216</v>
      </c>
      <c r="C274" s="3277"/>
      <c r="D274" s="3277"/>
      <c r="E274" s="3277"/>
      <c r="F274" s="3266">
        <v>0.05</v>
      </c>
      <c r="G274" s="3283"/>
    </row>
    <row r="275" spans="1:7">
      <c r="A275" s="3276" t="s">
        <v>305</v>
      </c>
      <c r="B275" s="3265" t="s">
        <v>3217</v>
      </c>
      <c r="C275" s="3277"/>
      <c r="D275" s="3277"/>
      <c r="E275" s="3277"/>
      <c r="F275" s="3266">
        <v>0.05</v>
      </c>
      <c r="G275" s="3283"/>
    </row>
    <row r="276" spans="1:7" ht="14.25" thickBot="1">
      <c r="A276" s="3279" t="s">
        <v>305</v>
      </c>
      <c r="B276" s="3269" t="s">
        <v>3218</v>
      </c>
      <c r="C276" s="3271"/>
      <c r="D276" s="3271"/>
      <c r="E276" s="3271"/>
      <c r="F276" s="3270">
        <v>0.05</v>
      </c>
      <c r="G276" s="3284"/>
    </row>
    <row r="277" spans="1:7">
      <c r="A277" s="3275" t="s">
        <v>306</v>
      </c>
      <c r="B277" s="3261" t="s">
        <v>2862</v>
      </c>
      <c r="C277" s="3262">
        <v>0.15</v>
      </c>
      <c r="D277" s="3262">
        <v>0.15</v>
      </c>
      <c r="E277" s="3262">
        <v>0.15</v>
      </c>
      <c r="F277" s="3262">
        <v>0.15</v>
      </c>
      <c r="G277" s="3263">
        <v>0.15</v>
      </c>
    </row>
    <row r="278" spans="1:7">
      <c r="A278" s="3276" t="s">
        <v>306</v>
      </c>
      <c r="B278" s="3265" t="s">
        <v>135</v>
      </c>
      <c r="C278" s="3266">
        <v>0.15</v>
      </c>
      <c r="D278" s="3266">
        <v>0.15</v>
      </c>
      <c r="E278" s="3266">
        <v>0.15</v>
      </c>
      <c r="F278" s="3266">
        <v>0.15</v>
      </c>
      <c r="G278" s="3267">
        <v>0.15</v>
      </c>
    </row>
    <row r="279" spans="1:7">
      <c r="A279" s="3276" t="s">
        <v>306</v>
      </c>
      <c r="B279" s="3265" t="s">
        <v>2874</v>
      </c>
      <c r="C279" s="3266">
        <v>0.15</v>
      </c>
      <c r="D279" s="3266">
        <v>0.15</v>
      </c>
      <c r="E279" s="3266">
        <v>0.15</v>
      </c>
      <c r="F279" s="3266">
        <v>0.15</v>
      </c>
      <c r="G279" s="3267">
        <v>0.15</v>
      </c>
    </row>
    <row r="280" spans="1:7">
      <c r="A280" s="3276" t="s">
        <v>306</v>
      </c>
      <c r="B280" s="3265" t="s">
        <v>2878</v>
      </c>
      <c r="C280" s="3266">
        <v>0.15</v>
      </c>
      <c r="D280" s="3266">
        <v>0.15</v>
      </c>
      <c r="E280" s="3266">
        <v>0.15</v>
      </c>
      <c r="F280" s="3266">
        <v>0.15</v>
      </c>
      <c r="G280" s="3267">
        <v>0.15</v>
      </c>
    </row>
    <row r="281" spans="1:7">
      <c r="A281" s="3276" t="s">
        <v>306</v>
      </c>
      <c r="B281" s="3265" t="s">
        <v>2882</v>
      </c>
      <c r="C281" s="3266">
        <v>0.15</v>
      </c>
      <c r="D281" s="3266">
        <v>0.15</v>
      </c>
      <c r="E281" s="3266">
        <v>0.15</v>
      </c>
      <c r="F281" s="3266">
        <v>0.15</v>
      </c>
      <c r="G281" s="3267">
        <v>0.15</v>
      </c>
    </row>
    <row r="282" spans="1:7">
      <c r="A282" s="3276" t="s">
        <v>306</v>
      </c>
      <c r="B282" s="3265" t="s">
        <v>2886</v>
      </c>
      <c r="C282" s="3266">
        <v>0.15</v>
      </c>
      <c r="D282" s="3266">
        <v>0.15</v>
      </c>
      <c r="E282" s="3266">
        <v>0.15</v>
      </c>
      <c r="F282" s="3266">
        <v>0.14499999999999999</v>
      </c>
      <c r="G282" s="3267">
        <v>0.15</v>
      </c>
    </row>
    <row r="283" spans="1:7">
      <c r="A283" s="3276" t="s">
        <v>306</v>
      </c>
      <c r="B283" s="3265" t="s">
        <v>174</v>
      </c>
      <c r="C283" s="3266">
        <v>0.15</v>
      </c>
      <c r="D283" s="3266">
        <v>0.15</v>
      </c>
      <c r="E283" s="3266">
        <v>0.15</v>
      </c>
      <c r="F283" s="3266">
        <v>0.14199999999999999</v>
      </c>
      <c r="G283" s="3267">
        <v>0.15</v>
      </c>
    </row>
    <row r="284" spans="1:7">
      <c r="A284" s="3276" t="s">
        <v>306</v>
      </c>
      <c r="B284" s="3265" t="s">
        <v>182</v>
      </c>
      <c r="C284" s="3266">
        <v>0.15</v>
      </c>
      <c r="D284" s="3266">
        <v>0.15</v>
      </c>
      <c r="E284" s="3266">
        <v>0.15</v>
      </c>
      <c r="F284" s="3266">
        <v>0.15</v>
      </c>
      <c r="G284" s="3267">
        <v>0.15</v>
      </c>
    </row>
    <row r="285" spans="1:7">
      <c r="A285" s="3276" t="s">
        <v>306</v>
      </c>
      <c r="B285" s="3265" t="s">
        <v>192</v>
      </c>
      <c r="C285" s="3266">
        <v>0.15</v>
      </c>
      <c r="D285" s="3266">
        <v>0.15</v>
      </c>
      <c r="E285" s="3266">
        <v>0.15</v>
      </c>
      <c r="F285" s="3266">
        <v>0.15</v>
      </c>
      <c r="G285" s="3267">
        <v>0.15</v>
      </c>
    </row>
    <row r="286" spans="1:7">
      <c r="A286" s="3276" t="s">
        <v>306</v>
      </c>
      <c r="B286" s="3265" t="s">
        <v>199</v>
      </c>
      <c r="C286" s="3266">
        <v>0.14499999999999999</v>
      </c>
      <c r="D286" s="3266">
        <v>0.14499999999999999</v>
      </c>
      <c r="E286" s="3266">
        <v>0.15</v>
      </c>
      <c r="F286" s="3266">
        <v>0.14099999999999999</v>
      </c>
      <c r="G286" s="3267">
        <v>0.14499999999999999</v>
      </c>
    </row>
    <row r="287" spans="1:7">
      <c r="A287" s="3276" t="s">
        <v>306</v>
      </c>
      <c r="B287" s="3265" t="s">
        <v>2901</v>
      </c>
      <c r="C287" s="3266">
        <v>0.11</v>
      </c>
      <c r="D287" s="3266">
        <v>0.111</v>
      </c>
      <c r="E287" s="3266">
        <v>0.14099999999999999</v>
      </c>
      <c r="F287" s="3266">
        <v>0.11</v>
      </c>
      <c r="G287" s="3267">
        <v>0.12</v>
      </c>
    </row>
    <row r="288" spans="1:7">
      <c r="A288" s="3276" t="s">
        <v>306</v>
      </c>
      <c r="B288" s="3265" t="s">
        <v>219</v>
      </c>
      <c r="C288" s="3266">
        <v>0.14199999999999999</v>
      </c>
      <c r="D288" s="3266">
        <v>0.14299999999999999</v>
      </c>
      <c r="E288" s="3266">
        <v>0.15</v>
      </c>
      <c r="F288" s="3266">
        <v>0.14199999999999999</v>
      </c>
      <c r="G288" s="3267">
        <v>0.14399999999999999</v>
      </c>
    </row>
    <row r="289" spans="1:7">
      <c r="A289" s="3276" t="s">
        <v>306</v>
      </c>
      <c r="B289" s="3265" t="s">
        <v>2906</v>
      </c>
      <c r="C289" s="3266">
        <v>0.14299999999999999</v>
      </c>
      <c r="D289" s="3266">
        <v>0.14299999999999999</v>
      </c>
      <c r="E289" s="3266">
        <v>0.14799999999999999</v>
      </c>
      <c r="F289" s="3266">
        <v>0.14399999999999999</v>
      </c>
      <c r="G289" s="3267">
        <v>0.14399999999999999</v>
      </c>
    </row>
    <row r="290" spans="1:7">
      <c r="A290" s="3276" t="s">
        <v>306</v>
      </c>
      <c r="B290" s="3265" t="s">
        <v>242</v>
      </c>
      <c r="C290" s="3266">
        <v>0.14799999999999999</v>
      </c>
      <c r="D290" s="3266">
        <v>0.14899999999999999</v>
      </c>
      <c r="E290" s="3266">
        <v>0.15</v>
      </c>
      <c r="F290" s="3266">
        <v>0.127</v>
      </c>
      <c r="G290" s="3267">
        <v>0.15</v>
      </c>
    </row>
    <row r="291" spans="1:7">
      <c r="A291" s="3276" t="s">
        <v>306</v>
      </c>
      <c r="B291" s="3265" t="s">
        <v>250</v>
      </c>
      <c r="C291" s="3266">
        <v>0.15</v>
      </c>
      <c r="D291" s="3266">
        <v>0.15</v>
      </c>
      <c r="E291" s="3266">
        <v>0.15</v>
      </c>
      <c r="F291" s="3266">
        <v>0.14899999999999999</v>
      </c>
      <c r="G291" s="3267">
        <v>0.15</v>
      </c>
    </row>
    <row r="292" spans="1:7">
      <c r="A292" s="3276" t="s">
        <v>306</v>
      </c>
      <c r="B292" s="3265" t="s">
        <v>256</v>
      </c>
      <c r="C292" s="3266">
        <v>0.15</v>
      </c>
      <c r="D292" s="3266">
        <v>0.15</v>
      </c>
      <c r="E292" s="3266">
        <v>0.15</v>
      </c>
      <c r="F292" s="3266">
        <v>0.14399999999999999</v>
      </c>
      <c r="G292" s="3267">
        <v>0.15</v>
      </c>
    </row>
    <row r="293" spans="1:7">
      <c r="A293" s="3276" t="s">
        <v>306</v>
      </c>
      <c r="B293" s="3265" t="s">
        <v>2916</v>
      </c>
      <c r="C293" s="3266">
        <v>0.15</v>
      </c>
      <c r="D293" s="3266">
        <v>0.15</v>
      </c>
      <c r="E293" s="3266">
        <v>0.15</v>
      </c>
      <c r="F293" s="3266">
        <v>0.14499999999999999</v>
      </c>
      <c r="G293" s="3267">
        <v>0.15</v>
      </c>
    </row>
    <row r="294" spans="1:7">
      <c r="A294" s="3276" t="s">
        <v>306</v>
      </c>
      <c r="B294" s="3265" t="s">
        <v>2918</v>
      </c>
      <c r="C294" s="3266">
        <v>0.15</v>
      </c>
      <c r="D294" s="3266">
        <v>0.15</v>
      </c>
      <c r="E294" s="3266">
        <v>0.15</v>
      </c>
      <c r="F294" s="3266">
        <v>0.14899999999999999</v>
      </c>
      <c r="G294" s="3267">
        <v>0.15</v>
      </c>
    </row>
    <row r="295" spans="1:7">
      <c r="A295" s="3276" t="s">
        <v>306</v>
      </c>
      <c r="B295" s="3265" t="s">
        <v>290</v>
      </c>
      <c r="C295" s="3266">
        <v>0.15</v>
      </c>
      <c r="D295" s="3266">
        <v>0.15</v>
      </c>
      <c r="E295" s="3266">
        <v>0.15</v>
      </c>
      <c r="F295" s="3266">
        <v>0.14799999999999999</v>
      </c>
      <c r="G295" s="3267">
        <v>0.15</v>
      </c>
    </row>
    <row r="296" spans="1:7">
      <c r="A296" s="3276" t="s">
        <v>306</v>
      </c>
      <c r="B296" s="3265" t="s">
        <v>293</v>
      </c>
      <c r="C296" s="3266">
        <v>0.15</v>
      </c>
      <c r="D296" s="3266">
        <v>0.15</v>
      </c>
      <c r="E296" s="3266">
        <v>0.15</v>
      </c>
      <c r="F296" s="3266">
        <v>0.14399999999999999</v>
      </c>
      <c r="G296" s="3267">
        <v>0.15</v>
      </c>
    </row>
    <row r="297" spans="1:7">
      <c r="A297" s="3276" t="s">
        <v>306</v>
      </c>
      <c r="B297" s="3265" t="s">
        <v>295</v>
      </c>
      <c r="C297" s="3266">
        <v>0.15</v>
      </c>
      <c r="D297" s="3266">
        <v>0.15</v>
      </c>
      <c r="E297" s="3266">
        <v>0.15</v>
      </c>
      <c r="F297" s="3266">
        <v>0.14499999999999999</v>
      </c>
      <c r="G297" s="3267">
        <v>0.15</v>
      </c>
    </row>
    <row r="298" spans="1:7">
      <c r="A298" s="3276" t="s">
        <v>306</v>
      </c>
      <c r="B298" s="3265" t="s">
        <v>298</v>
      </c>
      <c r="C298" s="3266">
        <v>0.15</v>
      </c>
      <c r="D298" s="3266">
        <v>0.15</v>
      </c>
      <c r="E298" s="3266">
        <v>0.15</v>
      </c>
      <c r="F298" s="3266">
        <v>0.15</v>
      </c>
      <c r="G298" s="3267">
        <v>0.15</v>
      </c>
    </row>
    <row r="299" spans="1:7">
      <c r="A299" s="3276" t="s">
        <v>306</v>
      </c>
      <c r="B299" s="3285" t="s">
        <v>2935</v>
      </c>
      <c r="C299" s="3266">
        <v>0.15</v>
      </c>
      <c r="D299" s="3266">
        <v>0.15</v>
      </c>
      <c r="E299" s="3266">
        <v>0.15</v>
      </c>
      <c r="F299" s="3266">
        <v>0.14499999999999999</v>
      </c>
      <c r="G299" s="3267">
        <v>0.15</v>
      </c>
    </row>
    <row r="300" spans="1:7">
      <c r="A300" s="3276" t="s">
        <v>306</v>
      </c>
      <c r="B300" s="3285" t="s">
        <v>271</v>
      </c>
      <c r="C300" s="3266">
        <v>0.15</v>
      </c>
      <c r="D300" s="3266">
        <v>0.15</v>
      </c>
      <c r="E300" s="3266">
        <v>0.15</v>
      </c>
      <c r="F300" s="3266">
        <v>0.14599999999999999</v>
      </c>
      <c r="G300" s="3267">
        <v>0.15</v>
      </c>
    </row>
    <row r="301" spans="1:7">
      <c r="A301" s="3276" t="s">
        <v>306</v>
      </c>
      <c r="B301" s="3285" t="s">
        <v>276</v>
      </c>
      <c r="C301" s="3266">
        <v>0.126</v>
      </c>
      <c r="D301" s="3266">
        <v>0.124</v>
      </c>
      <c r="E301" s="3266">
        <v>0.14099999999999999</v>
      </c>
      <c r="F301" s="3266">
        <v>0.14399999999999999</v>
      </c>
      <c r="G301" s="3267">
        <v>0.13</v>
      </c>
    </row>
    <row r="302" spans="1:7">
      <c r="A302" s="3276" t="s">
        <v>306</v>
      </c>
      <c r="B302" s="3265" t="s">
        <v>2948</v>
      </c>
      <c r="C302" s="3266">
        <v>0.15</v>
      </c>
      <c r="D302" s="3266">
        <v>0.15</v>
      </c>
      <c r="E302" s="3266">
        <v>0.15</v>
      </c>
      <c r="F302" s="3266">
        <v>0.14699999999999999</v>
      </c>
      <c r="G302" s="3267">
        <v>0.15</v>
      </c>
    </row>
    <row r="303" spans="1:7">
      <c r="A303" s="3276" t="s">
        <v>306</v>
      </c>
      <c r="B303" s="3265" t="s">
        <v>2955</v>
      </c>
      <c r="C303" s="3266">
        <v>0.15</v>
      </c>
      <c r="D303" s="3266">
        <v>0.15</v>
      </c>
      <c r="E303" s="3266">
        <v>0.15</v>
      </c>
      <c r="F303" s="3266">
        <v>0.14199999999999999</v>
      </c>
      <c r="G303" s="3267">
        <v>0.15</v>
      </c>
    </row>
    <row r="304" spans="1:7">
      <c r="A304" s="3276" t="s">
        <v>306</v>
      </c>
      <c r="B304" s="3265" t="s">
        <v>2962</v>
      </c>
      <c r="C304" s="3266">
        <v>0.15</v>
      </c>
      <c r="D304" s="3266">
        <v>0.15</v>
      </c>
      <c r="E304" s="3266">
        <v>0.15</v>
      </c>
      <c r="F304" s="3266">
        <v>0.14499999999999999</v>
      </c>
      <c r="G304" s="3267">
        <v>0.15</v>
      </c>
    </row>
    <row r="305" spans="1:7">
      <c r="A305" s="3276" t="s">
        <v>306</v>
      </c>
      <c r="B305" s="3265" t="s">
        <v>2968</v>
      </c>
      <c r="C305" s="3266">
        <v>0.15</v>
      </c>
      <c r="D305" s="3266">
        <v>0.15</v>
      </c>
      <c r="E305" s="3266">
        <v>0.15</v>
      </c>
      <c r="F305" s="3266">
        <v>0.111</v>
      </c>
      <c r="G305" s="3267">
        <v>0.15</v>
      </c>
    </row>
    <row r="306" spans="1:7">
      <c r="A306" s="3276" t="s">
        <v>306</v>
      </c>
      <c r="B306" s="3265" t="s">
        <v>2975</v>
      </c>
      <c r="C306" s="3266">
        <v>0.15</v>
      </c>
      <c r="D306" s="3266">
        <v>0.15</v>
      </c>
      <c r="E306" s="3266">
        <v>0.15</v>
      </c>
      <c r="F306" s="3266">
        <v>0.126</v>
      </c>
      <c r="G306" s="3267">
        <v>0.15</v>
      </c>
    </row>
    <row r="307" spans="1:7">
      <c r="A307" s="3276" t="s">
        <v>306</v>
      </c>
      <c r="B307" s="3265" t="s">
        <v>2980</v>
      </c>
      <c r="C307" s="3266">
        <v>0.15</v>
      </c>
      <c r="D307" s="3266">
        <v>0.15</v>
      </c>
      <c r="E307" s="3266">
        <v>0.15</v>
      </c>
      <c r="F307" s="3266">
        <v>0.12</v>
      </c>
      <c r="G307" s="3267">
        <v>0.15</v>
      </c>
    </row>
    <row r="308" spans="1:7">
      <c r="A308" s="3276" t="s">
        <v>306</v>
      </c>
      <c r="B308" s="3265" t="s">
        <v>2986</v>
      </c>
      <c r="C308" s="3266">
        <v>0.15</v>
      </c>
      <c r="D308" s="3266">
        <v>0.15</v>
      </c>
      <c r="E308" s="3266">
        <v>0.15</v>
      </c>
      <c r="F308" s="3266">
        <v>0.13</v>
      </c>
      <c r="G308" s="3267">
        <v>0.15</v>
      </c>
    </row>
    <row r="309" spans="1:7">
      <c r="A309" s="3276" t="s">
        <v>306</v>
      </c>
      <c r="B309" s="3265" t="s">
        <v>2990</v>
      </c>
      <c r="C309" s="3266">
        <v>0.15</v>
      </c>
      <c r="D309" s="3266">
        <v>0.15</v>
      </c>
      <c r="E309" s="3266">
        <v>0.15</v>
      </c>
      <c r="F309" s="3266">
        <v>0.14099999999999999</v>
      </c>
      <c r="G309" s="3267">
        <v>0.15</v>
      </c>
    </row>
    <row r="310" spans="1:7">
      <c r="A310" s="3276" t="s">
        <v>306</v>
      </c>
      <c r="B310" s="3265" t="s">
        <v>2995</v>
      </c>
      <c r="C310" s="3266">
        <v>0.15</v>
      </c>
      <c r="D310" s="3266">
        <v>0.15</v>
      </c>
      <c r="E310" s="3266">
        <v>0.15</v>
      </c>
      <c r="F310" s="3266">
        <v>0.15</v>
      </c>
      <c r="G310" s="3267">
        <v>0.15</v>
      </c>
    </row>
    <row r="311" spans="1:7">
      <c r="A311" s="3276" t="s">
        <v>306</v>
      </c>
      <c r="B311" s="3265" t="s">
        <v>3000</v>
      </c>
      <c r="C311" s="3266">
        <v>0.13200000000000001</v>
      </c>
      <c r="D311" s="3266">
        <v>0.13300000000000001</v>
      </c>
      <c r="E311" s="3266">
        <v>0.14499999999999999</v>
      </c>
      <c r="F311" s="3266">
        <v>0.14199999999999999</v>
      </c>
      <c r="G311" s="3267">
        <v>0.14000000000000001</v>
      </c>
    </row>
    <row r="312" spans="1:7">
      <c r="A312" s="3276" t="s">
        <v>306</v>
      </c>
      <c r="B312" s="3265" t="s">
        <v>3005</v>
      </c>
      <c r="C312" s="3266">
        <v>0.13800000000000001</v>
      </c>
      <c r="D312" s="3266">
        <v>0.14000000000000001</v>
      </c>
      <c r="E312" s="3266">
        <v>0.14599999999999999</v>
      </c>
      <c r="F312" s="3266">
        <v>0.14899999999999999</v>
      </c>
      <c r="G312" s="3267">
        <v>0.14199999999999999</v>
      </c>
    </row>
    <row r="313" spans="1:7">
      <c r="A313" s="3276" t="s">
        <v>306</v>
      </c>
      <c r="B313" s="3265" t="s">
        <v>3010</v>
      </c>
      <c r="C313" s="3266">
        <v>0.125</v>
      </c>
      <c r="D313" s="3266">
        <v>0.127</v>
      </c>
      <c r="E313" s="3266">
        <v>0.14399999999999999</v>
      </c>
      <c r="F313" s="3266">
        <v>0.115</v>
      </c>
      <c r="G313" s="3267">
        <v>0.13600000000000001</v>
      </c>
    </row>
    <row r="314" spans="1:7">
      <c r="A314" s="3276" t="s">
        <v>306</v>
      </c>
      <c r="B314" s="3265" t="s">
        <v>3219</v>
      </c>
      <c r="C314" s="3282"/>
      <c r="D314" s="3282"/>
      <c r="E314" s="3282"/>
      <c r="F314" s="3266">
        <v>0.05</v>
      </c>
      <c r="G314" s="3283"/>
    </row>
    <row r="315" spans="1:7">
      <c r="A315" s="3276" t="s">
        <v>306</v>
      </c>
      <c r="B315" s="3265" t="s">
        <v>3220</v>
      </c>
      <c r="C315" s="3282"/>
      <c r="D315" s="3282"/>
      <c r="E315" s="3282"/>
      <c r="F315" s="3266">
        <v>0.05</v>
      </c>
      <c r="G315" s="3283"/>
    </row>
    <row r="316" spans="1:7">
      <c r="A316" s="3276" t="s">
        <v>306</v>
      </c>
      <c r="B316" s="3265" t="s">
        <v>3221</v>
      </c>
      <c r="C316" s="3277"/>
      <c r="D316" s="3277"/>
      <c r="E316" s="3277"/>
      <c r="F316" s="3266">
        <v>0.05</v>
      </c>
      <c r="G316" s="3283"/>
    </row>
    <row r="317" spans="1:7">
      <c r="A317" s="3276" t="s">
        <v>306</v>
      </c>
      <c r="B317" s="3265" t="s">
        <v>3222</v>
      </c>
      <c r="C317" s="3277"/>
      <c r="D317" s="3277"/>
      <c r="E317" s="3277"/>
      <c r="F317" s="3266">
        <v>0.05</v>
      </c>
      <c r="G317" s="3283"/>
    </row>
    <row r="318" spans="1:7">
      <c r="A318" s="3276" t="s">
        <v>306</v>
      </c>
      <c r="B318" s="3265" t="s">
        <v>3223</v>
      </c>
      <c r="C318" s="3277"/>
      <c r="D318" s="3277"/>
      <c r="E318" s="3277"/>
      <c r="F318" s="3266">
        <v>0.05</v>
      </c>
      <c r="G318" s="3283"/>
    </row>
    <row r="319" spans="1:7">
      <c r="A319" s="3276" t="s">
        <v>306</v>
      </c>
      <c r="B319" s="3265" t="s">
        <v>3224</v>
      </c>
      <c r="C319" s="3277"/>
      <c r="D319" s="3277"/>
      <c r="E319" s="3277"/>
      <c r="F319" s="3266">
        <v>0.05</v>
      </c>
      <c r="G319" s="3283"/>
    </row>
    <row r="320" spans="1:7">
      <c r="A320" s="3276" t="s">
        <v>306</v>
      </c>
      <c r="B320" s="3265" t="s">
        <v>3225</v>
      </c>
      <c r="C320" s="3277"/>
      <c r="D320" s="3277"/>
      <c r="E320" s="3277"/>
      <c r="F320" s="3266">
        <v>0.05</v>
      </c>
      <c r="G320" s="3283"/>
    </row>
    <row r="321" spans="1:7">
      <c r="A321" s="3276" t="s">
        <v>306</v>
      </c>
      <c r="B321" s="3265" t="s">
        <v>3226</v>
      </c>
      <c r="C321" s="3277"/>
      <c r="D321" s="3277"/>
      <c r="E321" s="3277"/>
      <c r="F321" s="3266">
        <v>0.05</v>
      </c>
      <c r="G321" s="3283"/>
    </row>
    <row r="322" spans="1:7">
      <c r="A322" s="3276" t="s">
        <v>306</v>
      </c>
      <c r="B322" s="3265" t="s">
        <v>3227</v>
      </c>
      <c r="C322" s="3277"/>
      <c r="D322" s="3277"/>
      <c r="E322" s="3277"/>
      <c r="F322" s="3266">
        <v>0.05</v>
      </c>
      <c r="G322" s="3283"/>
    </row>
    <row r="323" spans="1:7">
      <c r="A323" s="3276" t="s">
        <v>306</v>
      </c>
      <c r="B323" s="3265" t="s">
        <v>3228</v>
      </c>
      <c r="C323" s="3277"/>
      <c r="D323" s="3277"/>
      <c r="E323" s="3277"/>
      <c r="F323" s="3266">
        <v>0.05</v>
      </c>
      <c r="G323" s="3283"/>
    </row>
    <row r="324" spans="1:7">
      <c r="A324" s="3276" t="s">
        <v>306</v>
      </c>
      <c r="B324" s="3265" t="s">
        <v>3229</v>
      </c>
      <c r="C324" s="3277"/>
      <c r="D324" s="3277"/>
      <c r="E324" s="3277"/>
      <c r="F324" s="3266">
        <v>0.05</v>
      </c>
      <c r="G324" s="3283"/>
    </row>
    <row r="325" spans="1:7">
      <c r="A325" s="3276" t="s">
        <v>306</v>
      </c>
      <c r="B325" s="3265" t="s">
        <v>3230</v>
      </c>
      <c r="C325" s="3277"/>
      <c r="D325" s="3277"/>
      <c r="E325" s="3277"/>
      <c r="F325" s="3266">
        <v>0.05</v>
      </c>
      <c r="G325" s="3283"/>
    </row>
    <row r="326" spans="1:7" ht="14.25" thickBot="1">
      <c r="A326" s="3279" t="s">
        <v>306</v>
      </c>
      <c r="B326" s="3269" t="s">
        <v>3231</v>
      </c>
      <c r="C326" s="3271"/>
      <c r="D326" s="3271"/>
      <c r="E326" s="3271"/>
      <c r="F326" s="3270">
        <v>0.05</v>
      </c>
      <c r="G326" s="3284"/>
    </row>
    <row r="327" spans="1:7">
      <c r="A327" s="3275" t="s">
        <v>307</v>
      </c>
      <c r="B327" s="3261" t="s">
        <v>2863</v>
      </c>
      <c r="C327" s="3262">
        <v>0.15</v>
      </c>
      <c r="D327" s="3262">
        <v>0.15</v>
      </c>
      <c r="E327" s="3262">
        <v>0.15</v>
      </c>
      <c r="F327" s="3262">
        <v>0.15</v>
      </c>
      <c r="G327" s="3263">
        <v>0.15</v>
      </c>
    </row>
    <row r="328" spans="1:7">
      <c r="A328" s="3276" t="s">
        <v>307</v>
      </c>
      <c r="B328" s="3265" t="s">
        <v>136</v>
      </c>
      <c r="C328" s="3266">
        <v>0.15</v>
      </c>
      <c r="D328" s="3266">
        <v>0.15</v>
      </c>
      <c r="E328" s="3266">
        <v>0.15</v>
      </c>
      <c r="F328" s="3266">
        <v>0.126</v>
      </c>
      <c r="G328" s="3267">
        <v>0.15</v>
      </c>
    </row>
    <row r="329" spans="1:7">
      <c r="A329" s="3276" t="s">
        <v>307</v>
      </c>
      <c r="B329" s="3265" t="s">
        <v>2875</v>
      </c>
      <c r="C329" s="3266">
        <v>0.15</v>
      </c>
      <c r="D329" s="3266">
        <v>0.15</v>
      </c>
      <c r="E329" s="3266">
        <v>0.15</v>
      </c>
      <c r="F329" s="3266">
        <v>0.15</v>
      </c>
      <c r="G329" s="3267">
        <v>0.15</v>
      </c>
    </row>
    <row r="330" spans="1:7">
      <c r="A330" s="3276" t="s">
        <v>307</v>
      </c>
      <c r="B330" s="3265" t="s">
        <v>2879</v>
      </c>
      <c r="C330" s="3266">
        <v>0.15</v>
      </c>
      <c r="D330" s="3266">
        <v>0.15</v>
      </c>
      <c r="E330" s="3266">
        <v>0.15</v>
      </c>
      <c r="F330" s="3266">
        <v>0.15</v>
      </c>
      <c r="G330" s="3267">
        <v>0.15</v>
      </c>
    </row>
    <row r="331" spans="1:7">
      <c r="A331" s="3276" t="s">
        <v>307</v>
      </c>
      <c r="B331" s="3265" t="s">
        <v>161</v>
      </c>
      <c r="C331" s="3266">
        <v>0.15</v>
      </c>
      <c r="D331" s="3266">
        <v>0.15</v>
      </c>
      <c r="E331" s="3266">
        <v>0.15</v>
      </c>
      <c r="F331" s="3266">
        <v>0.15</v>
      </c>
      <c r="G331" s="3267">
        <v>0.15</v>
      </c>
    </row>
    <row r="332" spans="1:7">
      <c r="A332" s="3276" t="s">
        <v>307</v>
      </c>
      <c r="B332" s="3265" t="s">
        <v>2887</v>
      </c>
      <c r="C332" s="3266">
        <v>0.15</v>
      </c>
      <c r="D332" s="3266">
        <v>0.15</v>
      </c>
      <c r="E332" s="3266">
        <v>0.15</v>
      </c>
      <c r="F332" s="3266">
        <v>0.15</v>
      </c>
      <c r="G332" s="3267">
        <v>0.15</v>
      </c>
    </row>
    <row r="333" spans="1:7">
      <c r="A333" s="3276" t="s">
        <v>307</v>
      </c>
      <c r="B333" s="3265" t="s">
        <v>2891</v>
      </c>
      <c r="C333" s="3266">
        <v>0.14899999999999999</v>
      </c>
      <c r="D333" s="3266">
        <v>0.14899999999999999</v>
      </c>
      <c r="E333" s="3266">
        <v>0.15</v>
      </c>
      <c r="F333" s="3266">
        <v>0.11600000000000001</v>
      </c>
      <c r="G333" s="3267">
        <v>0.15</v>
      </c>
    </row>
    <row r="334" spans="1:7">
      <c r="A334" s="3276" t="s">
        <v>307</v>
      </c>
      <c r="B334" s="3265" t="s">
        <v>183</v>
      </c>
      <c r="C334" s="3266">
        <v>0.15</v>
      </c>
      <c r="D334" s="3266">
        <v>0.15</v>
      </c>
      <c r="E334" s="3266">
        <v>0.15</v>
      </c>
      <c r="F334" s="3266">
        <v>0.13</v>
      </c>
      <c r="G334" s="3267">
        <v>0.15</v>
      </c>
    </row>
    <row r="335" spans="1:7">
      <c r="A335" s="3276" t="s">
        <v>307</v>
      </c>
      <c r="B335" s="3265" t="s">
        <v>193</v>
      </c>
      <c r="C335" s="3266">
        <v>0.15</v>
      </c>
      <c r="D335" s="3266">
        <v>0.15</v>
      </c>
      <c r="E335" s="3266">
        <v>0.15</v>
      </c>
      <c r="F335" s="3266">
        <v>0.14399999999999999</v>
      </c>
      <c r="G335" s="3267">
        <v>0.15</v>
      </c>
    </row>
    <row r="336" spans="1:7">
      <c r="A336" s="3276" t="s">
        <v>307</v>
      </c>
      <c r="B336" s="3265" t="s">
        <v>2897</v>
      </c>
      <c r="C336" s="3266">
        <v>0.15</v>
      </c>
      <c r="D336" s="3266">
        <v>0.15</v>
      </c>
      <c r="E336" s="3266">
        <v>0.15</v>
      </c>
      <c r="F336" s="3266">
        <v>0.14199999999999999</v>
      </c>
      <c r="G336" s="3267">
        <v>0.15</v>
      </c>
    </row>
    <row r="337" spans="1:7">
      <c r="A337" s="3276" t="s">
        <v>307</v>
      </c>
      <c r="B337" s="3265" t="s">
        <v>2902</v>
      </c>
      <c r="C337" s="3266">
        <v>0.15</v>
      </c>
      <c r="D337" s="3266">
        <v>0.15</v>
      </c>
      <c r="E337" s="3266">
        <v>0.15</v>
      </c>
      <c r="F337" s="3266">
        <v>0.14499999999999999</v>
      </c>
      <c r="G337" s="3267">
        <v>0.15</v>
      </c>
    </row>
    <row r="338" spans="1:7">
      <c r="A338" s="3276" t="s">
        <v>307</v>
      </c>
      <c r="B338" s="3265" t="s">
        <v>220</v>
      </c>
      <c r="C338" s="3266">
        <v>0.15</v>
      </c>
      <c r="D338" s="3266">
        <v>0.15</v>
      </c>
      <c r="E338" s="3266">
        <v>0.15</v>
      </c>
      <c r="F338" s="3266">
        <v>0.15</v>
      </c>
      <c r="G338" s="3267">
        <v>0.15</v>
      </c>
    </row>
    <row r="339" spans="1:7">
      <c r="A339" s="3276" t="s">
        <v>307</v>
      </c>
      <c r="B339" s="3265" t="s">
        <v>228</v>
      </c>
      <c r="C339" s="3266">
        <v>0.15</v>
      </c>
      <c r="D339" s="3266">
        <v>0.15</v>
      </c>
      <c r="E339" s="3266">
        <v>0.15</v>
      </c>
      <c r="F339" s="3266">
        <v>0.14699999999999999</v>
      </c>
      <c r="G339" s="3267">
        <v>0.15</v>
      </c>
    </row>
    <row r="340" spans="1:7">
      <c r="A340" s="3276" t="s">
        <v>307</v>
      </c>
      <c r="B340" s="3265" t="s">
        <v>2909</v>
      </c>
      <c r="C340" s="3266">
        <v>0.14599999999999999</v>
      </c>
      <c r="D340" s="3266">
        <v>0.14599999999999999</v>
      </c>
      <c r="E340" s="3266">
        <v>0.15</v>
      </c>
      <c r="F340" s="3266">
        <v>0.14099999999999999</v>
      </c>
      <c r="G340" s="3267">
        <v>0.14699999999999999</v>
      </c>
    </row>
    <row r="341" spans="1:7">
      <c r="A341" s="3276" t="s">
        <v>307</v>
      </c>
      <c r="B341" s="3265" t="s">
        <v>207</v>
      </c>
      <c r="C341" s="3266">
        <v>0.126</v>
      </c>
      <c r="D341" s="3266">
        <v>0.124</v>
      </c>
      <c r="E341" s="3266">
        <v>0.14099999999999999</v>
      </c>
      <c r="F341" s="3266">
        <v>0.14399999999999999</v>
      </c>
      <c r="G341" s="3267">
        <v>0.13</v>
      </c>
    </row>
    <row r="342" spans="1:7">
      <c r="A342" s="3276" t="s">
        <v>307</v>
      </c>
      <c r="B342" s="3265" t="s">
        <v>2914</v>
      </c>
      <c r="C342" s="3266">
        <v>0.15</v>
      </c>
      <c r="D342" s="3266">
        <v>0.15</v>
      </c>
      <c r="E342" s="3266">
        <v>0.15</v>
      </c>
      <c r="F342" s="3266">
        <v>0.14399999999999999</v>
      </c>
      <c r="G342" s="3267">
        <v>0.15</v>
      </c>
    </row>
    <row r="343" spans="1:7">
      <c r="A343" s="3276" t="s">
        <v>307</v>
      </c>
      <c r="B343" s="3265" t="s">
        <v>257</v>
      </c>
      <c r="C343" s="3266">
        <v>0.15</v>
      </c>
      <c r="D343" s="3266">
        <v>0.15</v>
      </c>
      <c r="E343" s="3266">
        <v>0.15</v>
      </c>
      <c r="F343" s="3266">
        <v>0.128</v>
      </c>
      <c r="G343" s="3267">
        <v>0.15</v>
      </c>
    </row>
    <row r="344" spans="1:7">
      <c r="A344" s="3276" t="s">
        <v>307</v>
      </c>
      <c r="B344" s="3265" t="s">
        <v>265</v>
      </c>
      <c r="C344" s="3266">
        <v>0.15</v>
      </c>
      <c r="D344" s="3266">
        <v>0.15</v>
      </c>
      <c r="E344" s="3266">
        <v>0.15</v>
      </c>
      <c r="F344" s="3266">
        <v>0.14799999999999999</v>
      </c>
      <c r="G344" s="3267">
        <v>0.15</v>
      </c>
    </row>
    <row r="345" spans="1:7">
      <c r="A345" s="3276" t="s">
        <v>307</v>
      </c>
      <c r="B345" s="3265" t="s">
        <v>2922</v>
      </c>
      <c r="C345" s="3266">
        <v>0.15</v>
      </c>
      <c r="D345" s="3266">
        <v>0.15</v>
      </c>
      <c r="E345" s="3266">
        <v>0.15</v>
      </c>
      <c r="F345" s="3266">
        <v>0.13800000000000001</v>
      </c>
      <c r="G345" s="3267">
        <v>0.15</v>
      </c>
    </row>
    <row r="346" spans="1:7">
      <c r="A346" s="3276" t="s">
        <v>307</v>
      </c>
      <c r="B346" s="3265" t="s">
        <v>2924</v>
      </c>
      <c r="C346" s="3266">
        <v>0.15</v>
      </c>
      <c r="D346" s="3266">
        <v>0.15</v>
      </c>
      <c r="E346" s="3266">
        <v>0.15</v>
      </c>
      <c r="F346" s="3266">
        <v>0.14399999999999999</v>
      </c>
      <c r="G346" s="3267">
        <v>0.15</v>
      </c>
    </row>
    <row r="347" spans="1:7">
      <c r="A347" s="3276" t="s">
        <v>307</v>
      </c>
      <c r="B347" s="3265" t="s">
        <v>243</v>
      </c>
      <c r="C347" s="3266">
        <v>0.15</v>
      </c>
      <c r="D347" s="3266">
        <v>0.15</v>
      </c>
      <c r="E347" s="3266">
        <v>0.15</v>
      </c>
      <c r="F347" s="3266">
        <v>0.14599999999999999</v>
      </c>
      <c r="G347" s="3267">
        <v>0.15</v>
      </c>
    </row>
    <row r="348" spans="1:7">
      <c r="A348" s="3276" t="s">
        <v>307</v>
      </c>
      <c r="B348" s="3265" t="s">
        <v>2931</v>
      </c>
      <c r="C348" s="3266">
        <v>0.15</v>
      </c>
      <c r="D348" s="3266">
        <v>0.15</v>
      </c>
      <c r="E348" s="3266">
        <v>0.15</v>
      </c>
      <c r="F348" s="3266">
        <v>0.14399999999999999</v>
      </c>
      <c r="G348" s="3267">
        <v>0.15</v>
      </c>
    </row>
    <row r="349" spans="1:7">
      <c r="A349" s="3276" t="s">
        <v>307</v>
      </c>
      <c r="B349" s="3265" t="s">
        <v>2936</v>
      </c>
      <c r="C349" s="3266">
        <v>0.15</v>
      </c>
      <c r="D349" s="3266">
        <v>0.15</v>
      </c>
      <c r="E349" s="3266">
        <v>0.15</v>
      </c>
      <c r="F349" s="3266">
        <v>0.15</v>
      </c>
      <c r="G349" s="3267">
        <v>0.15</v>
      </c>
    </row>
    <row r="350" spans="1:7">
      <c r="A350" s="3276" t="s">
        <v>307</v>
      </c>
      <c r="B350" s="3265" t="s">
        <v>2939</v>
      </c>
      <c r="C350" s="3266">
        <v>0.15</v>
      </c>
      <c r="D350" s="3266">
        <v>0.15</v>
      </c>
      <c r="E350" s="3266">
        <v>0.15</v>
      </c>
      <c r="F350" s="3266">
        <v>0.14699999999999999</v>
      </c>
      <c r="G350" s="3267">
        <v>0.15</v>
      </c>
    </row>
    <row r="351" spans="1:7">
      <c r="A351" s="3276" t="s">
        <v>307</v>
      </c>
      <c r="B351" s="3265" t="s">
        <v>2944</v>
      </c>
      <c r="C351" s="3266">
        <v>0.15</v>
      </c>
      <c r="D351" s="3266">
        <v>0.15</v>
      </c>
      <c r="E351" s="3266">
        <v>0.15</v>
      </c>
      <c r="F351" s="3266">
        <v>0.13</v>
      </c>
      <c r="G351" s="3267">
        <v>0.15</v>
      </c>
    </row>
    <row r="352" spans="1:7">
      <c r="A352" s="3276" t="s">
        <v>307</v>
      </c>
      <c r="B352" s="3265" t="s">
        <v>2949</v>
      </c>
      <c r="C352" s="3266">
        <v>0.15</v>
      </c>
      <c r="D352" s="3266">
        <v>0.15</v>
      </c>
      <c r="E352" s="3266">
        <v>0.15</v>
      </c>
      <c r="F352" s="3266">
        <v>0.14599999999999999</v>
      </c>
      <c r="G352" s="3267">
        <v>0.15</v>
      </c>
    </row>
    <row r="353" spans="1:7">
      <c r="A353" s="3276" t="s">
        <v>307</v>
      </c>
      <c r="B353" s="3265" t="s">
        <v>2956</v>
      </c>
      <c r="C353" s="3266">
        <v>0.15</v>
      </c>
      <c r="D353" s="3266">
        <v>0.15</v>
      </c>
      <c r="E353" s="3266">
        <v>0.15</v>
      </c>
      <c r="F353" s="3266">
        <v>0.14499999999999999</v>
      </c>
      <c r="G353" s="3267">
        <v>0.15</v>
      </c>
    </row>
    <row r="354" spans="1:7">
      <c r="A354" s="3276" t="s">
        <v>307</v>
      </c>
      <c r="B354" s="3265" t="s">
        <v>280</v>
      </c>
      <c r="C354" s="3266">
        <v>0.15</v>
      </c>
      <c r="D354" s="3266">
        <v>0.15</v>
      </c>
      <c r="E354" s="3266">
        <v>0.15</v>
      </c>
      <c r="F354" s="3266">
        <v>0.14099999999999999</v>
      </c>
      <c r="G354" s="3267">
        <v>0.15</v>
      </c>
    </row>
    <row r="355" spans="1:7">
      <c r="A355" s="3276" t="s">
        <v>307</v>
      </c>
      <c r="B355" s="3265" t="s">
        <v>2969</v>
      </c>
      <c r="C355" s="3266">
        <v>0.15</v>
      </c>
      <c r="D355" s="3266">
        <v>0.15</v>
      </c>
      <c r="E355" s="3266">
        <v>0.15</v>
      </c>
      <c r="F355" s="3266">
        <v>0.15</v>
      </c>
      <c r="G355" s="3267">
        <v>0.15</v>
      </c>
    </row>
    <row r="356" spans="1:7">
      <c r="A356" s="3276" t="s">
        <v>307</v>
      </c>
      <c r="B356" s="3265" t="s">
        <v>2976</v>
      </c>
      <c r="C356" s="3266">
        <v>0.15</v>
      </c>
      <c r="D356" s="3266">
        <v>0.15</v>
      </c>
      <c r="E356" s="3266">
        <v>0.15</v>
      </c>
      <c r="F356" s="3266">
        <v>0.15</v>
      </c>
      <c r="G356" s="3267">
        <v>0.15</v>
      </c>
    </row>
    <row r="357" spans="1:7" ht="14.25" thickBot="1">
      <c r="A357" s="3279" t="s">
        <v>307</v>
      </c>
      <c r="B357" s="3269" t="s">
        <v>2981</v>
      </c>
      <c r="C357" s="3270">
        <v>0.126</v>
      </c>
      <c r="D357" s="3270">
        <v>0.127</v>
      </c>
      <c r="E357" s="3270">
        <v>0.14299999999999999</v>
      </c>
      <c r="F357" s="3270">
        <v>0.125</v>
      </c>
      <c r="G357" s="3272">
        <v>0.129</v>
      </c>
    </row>
    <row r="358" spans="1:7">
      <c r="A358" s="3275" t="s">
        <v>2850</v>
      </c>
      <c r="B358" s="3261" t="s">
        <v>2864</v>
      </c>
      <c r="C358" s="3262">
        <v>0.15</v>
      </c>
      <c r="D358" s="3262">
        <v>0.15</v>
      </c>
      <c r="E358" s="3262">
        <v>0.15</v>
      </c>
      <c r="F358" s="3262">
        <v>0.15</v>
      </c>
      <c r="G358" s="3263">
        <v>0.15</v>
      </c>
    </row>
    <row r="359" spans="1:7">
      <c r="A359" s="3276" t="s">
        <v>2850</v>
      </c>
      <c r="B359" s="3265" t="s">
        <v>2870</v>
      </c>
      <c r="C359" s="3266">
        <v>0.1</v>
      </c>
      <c r="D359" s="3266">
        <v>0.1</v>
      </c>
      <c r="E359" s="3266">
        <v>0.1</v>
      </c>
      <c r="F359" s="3266">
        <v>0.1</v>
      </c>
      <c r="G359" s="3267">
        <v>0.1</v>
      </c>
    </row>
    <row r="360" spans="1:7">
      <c r="A360" s="3276" t="s">
        <v>2850</v>
      </c>
      <c r="B360" s="3265" t="s">
        <v>2876</v>
      </c>
      <c r="C360" s="3266">
        <v>0.15</v>
      </c>
      <c r="D360" s="3266">
        <v>0.15</v>
      </c>
      <c r="E360" s="3266">
        <v>0.15</v>
      </c>
      <c r="F360" s="3266">
        <v>0.14899999999999999</v>
      </c>
      <c r="G360" s="3267">
        <v>0.15</v>
      </c>
    </row>
    <row r="361" spans="1:7">
      <c r="A361" s="3276" t="s">
        <v>2850</v>
      </c>
      <c r="B361" s="3265" t="s">
        <v>153</v>
      </c>
      <c r="C361" s="3266">
        <v>0.15</v>
      </c>
      <c r="D361" s="3266">
        <v>0.15</v>
      </c>
      <c r="E361" s="3266">
        <v>0.15</v>
      </c>
      <c r="F361" s="3266">
        <v>0.115</v>
      </c>
      <c r="G361" s="3267">
        <v>0.15</v>
      </c>
    </row>
    <row r="362" spans="1:7">
      <c r="A362" s="3276" t="s">
        <v>2850</v>
      </c>
      <c r="B362" s="3265" t="s">
        <v>2883</v>
      </c>
      <c r="C362" s="3266">
        <v>0.15</v>
      </c>
      <c r="D362" s="3266">
        <v>0.15</v>
      </c>
      <c r="E362" s="3266">
        <v>0.15</v>
      </c>
      <c r="F362" s="3266">
        <v>0.106</v>
      </c>
      <c r="G362" s="3267">
        <v>0.15</v>
      </c>
    </row>
    <row r="363" spans="1:7">
      <c r="A363" s="3276" t="s">
        <v>2850</v>
      </c>
      <c r="B363" s="3265" t="s">
        <v>2888</v>
      </c>
      <c r="C363" s="3266">
        <v>0.15</v>
      </c>
      <c r="D363" s="3266">
        <v>0.15</v>
      </c>
      <c r="E363" s="3266">
        <v>0.15</v>
      </c>
      <c r="F363" s="3266">
        <v>0.14699999999999999</v>
      </c>
      <c r="G363" s="3267">
        <v>0.15</v>
      </c>
    </row>
    <row r="364" spans="1:7">
      <c r="A364" s="3276" t="s">
        <v>2850</v>
      </c>
      <c r="B364" s="3265" t="s">
        <v>2892</v>
      </c>
      <c r="C364" s="3266">
        <v>0.15</v>
      </c>
      <c r="D364" s="3266">
        <v>0.15</v>
      </c>
      <c r="E364" s="3266">
        <v>0.15</v>
      </c>
      <c r="F364" s="3266">
        <v>0.14799999999999999</v>
      </c>
      <c r="G364" s="3267">
        <v>0.15</v>
      </c>
    </row>
    <row r="365" spans="1:7">
      <c r="A365" s="3276" t="s">
        <v>2850</v>
      </c>
      <c r="B365" s="3265" t="s">
        <v>200</v>
      </c>
      <c r="C365" s="3266">
        <v>0.15</v>
      </c>
      <c r="D365" s="3266">
        <v>0.15</v>
      </c>
      <c r="E365" s="3266">
        <v>0.15</v>
      </c>
      <c r="F365" s="3266">
        <v>0.15</v>
      </c>
      <c r="G365" s="3267">
        <v>0.15</v>
      </c>
    </row>
    <row r="366" spans="1:7">
      <c r="A366" s="3276" t="s">
        <v>2850</v>
      </c>
      <c r="B366" s="3265" t="s">
        <v>2895</v>
      </c>
      <c r="C366" s="3266">
        <v>0.15</v>
      </c>
      <c r="D366" s="3266">
        <v>0.15</v>
      </c>
      <c r="E366" s="3266">
        <v>0.15</v>
      </c>
      <c r="F366" s="3266">
        <v>0.15</v>
      </c>
      <c r="G366" s="3267">
        <v>0.15</v>
      </c>
    </row>
    <row r="367" spans="1:7">
      <c r="A367" s="3276" t="s">
        <v>2850</v>
      </c>
      <c r="B367" s="3265" t="s">
        <v>2898</v>
      </c>
      <c r="C367" s="3266">
        <v>0.15</v>
      </c>
      <c r="D367" s="3266">
        <v>0.15</v>
      </c>
      <c r="E367" s="3266">
        <v>0.15</v>
      </c>
      <c r="F367" s="3266">
        <v>0.14699999999999999</v>
      </c>
      <c r="G367" s="3267">
        <v>0.15</v>
      </c>
    </row>
    <row r="368" spans="1:7">
      <c r="A368" s="3276" t="s">
        <v>2850</v>
      </c>
      <c r="B368" s="3265" t="s">
        <v>2903</v>
      </c>
      <c r="C368" s="3266">
        <v>0.15</v>
      </c>
      <c r="D368" s="3266">
        <v>0.15</v>
      </c>
      <c r="E368" s="3266">
        <v>0.15</v>
      </c>
      <c r="F368" s="3266">
        <v>0.13600000000000001</v>
      </c>
      <c r="G368" s="3267">
        <v>0.15</v>
      </c>
    </row>
    <row r="369" spans="1:7">
      <c r="A369" s="3276" t="s">
        <v>2850</v>
      </c>
      <c r="B369" s="3265" t="s">
        <v>214</v>
      </c>
      <c r="C369" s="3266">
        <v>0.15</v>
      </c>
      <c r="D369" s="3266">
        <v>0.15</v>
      </c>
      <c r="E369" s="3266">
        <v>0.15</v>
      </c>
      <c r="F369" s="3266">
        <v>0.14399999999999999</v>
      </c>
      <c r="G369" s="3267">
        <v>0.15</v>
      </c>
    </row>
    <row r="370" spans="1:7">
      <c r="A370" s="3276" t="s">
        <v>2850</v>
      </c>
      <c r="B370" s="3265" t="s">
        <v>221</v>
      </c>
      <c r="C370" s="3266">
        <v>0.15</v>
      </c>
      <c r="D370" s="3266">
        <v>0.15</v>
      </c>
      <c r="E370" s="3266">
        <v>0.15</v>
      </c>
      <c r="F370" s="3266">
        <v>0.14599999999999999</v>
      </c>
      <c r="G370" s="3267">
        <v>0.15</v>
      </c>
    </row>
    <row r="371" spans="1:7">
      <c r="A371" s="3276" t="s">
        <v>2850</v>
      </c>
      <c r="B371" s="3265" t="s">
        <v>229</v>
      </c>
      <c r="C371" s="3266">
        <v>0.15</v>
      </c>
      <c r="D371" s="3266">
        <v>0.15</v>
      </c>
      <c r="E371" s="3266">
        <v>0.15</v>
      </c>
      <c r="F371" s="3266">
        <v>0.12</v>
      </c>
      <c r="G371" s="3267">
        <v>0.15</v>
      </c>
    </row>
    <row r="372" spans="1:7">
      <c r="A372" s="3276" t="s">
        <v>2850</v>
      </c>
      <c r="B372" s="3265" t="s">
        <v>2911</v>
      </c>
      <c r="C372" s="3266">
        <v>0.15</v>
      </c>
      <c r="D372" s="3266">
        <v>0.15</v>
      </c>
      <c r="E372" s="3266">
        <v>0.15</v>
      </c>
      <c r="F372" s="3266">
        <v>0.14299999999999999</v>
      </c>
      <c r="G372" s="3267">
        <v>0.15</v>
      </c>
    </row>
    <row r="373" spans="1:7">
      <c r="A373" s="3276" t="s">
        <v>2850</v>
      </c>
      <c r="B373" s="3265" t="s">
        <v>258</v>
      </c>
      <c r="C373" s="3266">
        <v>0.15</v>
      </c>
      <c r="D373" s="3266">
        <v>0.15</v>
      </c>
      <c r="E373" s="3266">
        <v>0.15</v>
      </c>
      <c r="F373" s="3266">
        <v>0.14599999999999999</v>
      </c>
      <c r="G373" s="3267">
        <v>0.15</v>
      </c>
    </row>
    <row r="374" spans="1:7">
      <c r="A374" s="3276" t="s">
        <v>2850</v>
      </c>
      <c r="B374" s="3265" t="s">
        <v>266</v>
      </c>
      <c r="C374" s="3266">
        <v>0.15</v>
      </c>
      <c r="D374" s="3266">
        <v>0.15</v>
      </c>
      <c r="E374" s="3266">
        <v>0.15</v>
      </c>
      <c r="F374" s="3266">
        <v>0.14399999999999999</v>
      </c>
      <c r="G374" s="3267">
        <v>0.15</v>
      </c>
    </row>
    <row r="375" spans="1:7">
      <c r="A375" s="3276" t="s">
        <v>2850</v>
      </c>
      <c r="B375" s="3265" t="s">
        <v>2919</v>
      </c>
      <c r="C375" s="3266">
        <v>0.15</v>
      </c>
      <c r="D375" s="3266">
        <v>0.15</v>
      </c>
      <c r="E375" s="3266">
        <v>0.15</v>
      </c>
      <c r="F375" s="3266">
        <v>0.13</v>
      </c>
      <c r="G375" s="3267">
        <v>0.15</v>
      </c>
    </row>
    <row r="376" spans="1:7">
      <c r="A376" s="3276" t="s">
        <v>2850</v>
      </c>
      <c r="B376" s="3265" t="s">
        <v>277</v>
      </c>
      <c r="C376" s="3266">
        <v>0.15</v>
      </c>
      <c r="D376" s="3266">
        <v>0.15</v>
      </c>
      <c r="E376" s="3266">
        <v>0.15</v>
      </c>
      <c r="F376" s="3266">
        <v>0.14199999999999999</v>
      </c>
      <c r="G376" s="3267">
        <v>0.15</v>
      </c>
    </row>
    <row r="377" spans="1:7" ht="14.25" thickBot="1">
      <c r="A377" s="3279" t="s">
        <v>2850</v>
      </c>
      <c r="B377" s="3269" t="s">
        <v>2925</v>
      </c>
      <c r="C377" s="3270">
        <v>0.15</v>
      </c>
      <c r="D377" s="3270">
        <v>0.15</v>
      </c>
      <c r="E377" s="3270">
        <v>0.15</v>
      </c>
      <c r="F377" s="3270">
        <v>0.14000000000000001</v>
      </c>
      <c r="G377" s="3272">
        <v>0.15</v>
      </c>
    </row>
    <row r="378" spans="1:7">
      <c r="A378" s="3275" t="s">
        <v>2851</v>
      </c>
      <c r="B378" s="3261" t="s">
        <v>2865</v>
      </c>
      <c r="C378" s="3262">
        <v>0.15</v>
      </c>
      <c r="D378" s="3262">
        <v>0.15</v>
      </c>
      <c r="E378" s="3262">
        <v>0.15</v>
      </c>
      <c r="F378" s="3262">
        <v>0.107</v>
      </c>
      <c r="G378" s="3263">
        <v>0.15</v>
      </c>
    </row>
    <row r="379" spans="1:7">
      <c r="A379" s="3276" t="s">
        <v>2851</v>
      </c>
      <c r="B379" s="3265" t="s">
        <v>2871</v>
      </c>
      <c r="C379" s="3266">
        <v>0.15</v>
      </c>
      <c r="D379" s="3266">
        <v>0.15</v>
      </c>
      <c r="E379" s="3266">
        <v>0.15</v>
      </c>
      <c r="F379" s="3266">
        <v>0.115</v>
      </c>
      <c r="G379" s="3267">
        <v>0.14899999999999999</v>
      </c>
    </row>
    <row r="380" spans="1:7">
      <c r="A380" s="3276" t="s">
        <v>2851</v>
      </c>
      <c r="B380" s="3265" t="s">
        <v>2877</v>
      </c>
      <c r="C380" s="3266">
        <v>0.15</v>
      </c>
      <c r="D380" s="3266">
        <v>0.15</v>
      </c>
      <c r="E380" s="3266">
        <v>0.15</v>
      </c>
      <c r="F380" s="3266">
        <v>0.1</v>
      </c>
      <c r="G380" s="3267">
        <v>0.14799999999999999</v>
      </c>
    </row>
    <row r="381" spans="1:7">
      <c r="A381" s="3276" t="s">
        <v>2851</v>
      </c>
      <c r="B381" s="3265" t="s">
        <v>2880</v>
      </c>
      <c r="C381" s="3266">
        <v>0.15</v>
      </c>
      <c r="D381" s="3266">
        <v>0.15</v>
      </c>
      <c r="E381" s="3266">
        <v>0.15</v>
      </c>
      <c r="F381" s="3266">
        <v>0.126</v>
      </c>
      <c r="G381" s="3267">
        <v>0.15</v>
      </c>
    </row>
    <row r="382" spans="1:7">
      <c r="A382" s="3276" t="s">
        <v>2851</v>
      </c>
      <c r="B382" s="3265" t="s">
        <v>2884</v>
      </c>
      <c r="C382" s="3266">
        <v>0.15</v>
      </c>
      <c r="D382" s="3266">
        <v>0.15</v>
      </c>
      <c r="E382" s="3266">
        <v>0.15</v>
      </c>
      <c r="F382" s="3266">
        <v>0.15</v>
      </c>
      <c r="G382" s="3267">
        <v>0.15</v>
      </c>
    </row>
    <row r="383" spans="1:7">
      <c r="A383" s="3276" t="s">
        <v>2851</v>
      </c>
      <c r="B383" s="3265" t="s">
        <v>2889</v>
      </c>
      <c r="C383" s="3266">
        <v>0.15</v>
      </c>
      <c r="D383" s="3266">
        <v>0.15</v>
      </c>
      <c r="E383" s="3266">
        <v>0.15</v>
      </c>
      <c r="F383" s="3266">
        <v>0.14699999999999999</v>
      </c>
      <c r="G383" s="3267">
        <v>0.15</v>
      </c>
    </row>
    <row r="384" spans="1:7" ht="14.25" thickBot="1">
      <c r="A384" s="3286" t="s">
        <v>2851</v>
      </c>
      <c r="B384" s="3287" t="s">
        <v>2893</v>
      </c>
      <c r="C384" s="3288">
        <v>0.15</v>
      </c>
      <c r="D384" s="3288">
        <v>0.15</v>
      </c>
      <c r="E384" s="3288">
        <v>0.15</v>
      </c>
      <c r="F384" s="3288">
        <v>0.15</v>
      </c>
      <c r="G384" s="3289">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125" defaultRowHeight="13.5"/>
  <cols>
    <col min="1" max="16384" width="13.125" style="3291"/>
  </cols>
  <sheetData>
    <row r="1" spans="1:6">
      <c r="A1" s="3781" t="s">
        <v>3232</v>
      </c>
      <c r="B1" s="3781"/>
      <c r="C1" s="3781"/>
      <c r="D1" s="3781"/>
      <c r="E1" s="3781"/>
      <c r="F1" s="3782"/>
    </row>
    <row r="2" spans="1:6">
      <c r="A2" s="3292" t="s">
        <v>3233</v>
      </c>
      <c r="B2" s="3293"/>
      <c r="C2" s="3293"/>
      <c r="D2" s="3293"/>
      <c r="E2" s="3293"/>
      <c r="F2" s="3293"/>
    </row>
    <row r="3" spans="1:6">
      <c r="A3" s="3292" t="s">
        <v>3234</v>
      </c>
      <c r="B3" s="3293"/>
      <c r="C3" s="3293"/>
      <c r="D3" s="3293"/>
      <c r="E3" s="3293"/>
      <c r="F3" s="3294" t="s">
        <v>3235</v>
      </c>
    </row>
    <row r="4" spans="1:6">
      <c r="A4" s="3295" t="s">
        <v>672</v>
      </c>
      <c r="B4" s="3295" t="s">
        <v>673</v>
      </c>
      <c r="C4" s="3295" t="s">
        <v>21</v>
      </c>
      <c r="D4" s="3295" t="s">
        <v>674</v>
      </c>
      <c r="E4" s="3295" t="s">
        <v>3</v>
      </c>
      <c r="F4" s="3295" t="s">
        <v>3236</v>
      </c>
    </row>
    <row r="5" spans="1:6">
      <c r="A5" s="3296" t="s">
        <v>675</v>
      </c>
      <c r="B5" s="3295"/>
      <c r="C5" s="3295"/>
      <c r="D5" s="3295"/>
      <c r="E5" s="3295"/>
      <c r="F5" s="3297"/>
    </row>
    <row r="6" spans="1:6">
      <c r="A6" s="3296" t="s">
        <v>144</v>
      </c>
      <c r="B6" s="3298">
        <v>35380</v>
      </c>
      <c r="C6" s="3298">
        <v>35180</v>
      </c>
      <c r="D6" s="3298">
        <v>35030</v>
      </c>
      <c r="E6" s="3298">
        <v>13780</v>
      </c>
      <c r="F6" s="3298">
        <v>25980</v>
      </c>
    </row>
    <row r="7" spans="1:6">
      <c r="A7" s="3296" t="s">
        <v>184</v>
      </c>
      <c r="B7" s="3298">
        <v>29960</v>
      </c>
      <c r="C7" s="3298">
        <v>29800</v>
      </c>
      <c r="D7" s="3298">
        <v>29690</v>
      </c>
      <c r="E7" s="3298">
        <v>10100</v>
      </c>
      <c r="F7" s="3298">
        <v>21690</v>
      </c>
    </row>
    <row r="8" spans="1:6">
      <c r="A8" s="3296" t="s">
        <v>296</v>
      </c>
      <c r="B8" s="3298">
        <v>24480</v>
      </c>
      <c r="C8" s="3298">
        <v>24380</v>
      </c>
      <c r="D8" s="3298">
        <v>25590</v>
      </c>
      <c r="E8" s="3298">
        <v>7010</v>
      </c>
      <c r="F8" s="3298">
        <v>17060</v>
      </c>
    </row>
    <row r="9" spans="1:6">
      <c r="A9" s="3296" t="s">
        <v>110</v>
      </c>
      <c r="B9" s="3298">
        <v>19370</v>
      </c>
      <c r="C9" s="3298">
        <v>19290</v>
      </c>
      <c r="D9" s="3298">
        <v>21280</v>
      </c>
      <c r="E9" s="3298">
        <v>4910</v>
      </c>
      <c r="F9" s="3298">
        <v>13090</v>
      </c>
    </row>
    <row r="10" spans="1:6">
      <c r="A10" s="3296" t="s">
        <v>303</v>
      </c>
      <c r="B10" s="3298">
        <v>15050</v>
      </c>
      <c r="C10" s="3298">
        <v>14980</v>
      </c>
      <c r="D10" s="3298">
        <v>17300</v>
      </c>
      <c r="E10" s="3298">
        <v>3450</v>
      </c>
      <c r="F10" s="3298">
        <v>9900</v>
      </c>
    </row>
    <row r="11" spans="1:6">
      <c r="A11" s="3296" t="s">
        <v>29</v>
      </c>
      <c r="B11" s="3298">
        <v>11550</v>
      </c>
      <c r="C11" s="3298">
        <v>11490</v>
      </c>
      <c r="D11" s="3298">
        <v>13850</v>
      </c>
      <c r="E11" s="3298">
        <v>2400</v>
      </c>
      <c r="F11" s="3298">
        <v>7390</v>
      </c>
    </row>
    <row r="12" spans="1:6">
      <c r="A12" s="3296" t="s">
        <v>304</v>
      </c>
      <c r="B12" s="3298">
        <v>8630</v>
      </c>
      <c r="C12" s="3298">
        <v>8580</v>
      </c>
      <c r="D12" s="3298">
        <v>10740</v>
      </c>
      <c r="E12" s="3298">
        <v>1720</v>
      </c>
      <c r="F12" s="3298">
        <v>5420</v>
      </c>
    </row>
    <row r="13" spans="1:6">
      <c r="A13" s="3296" t="s">
        <v>305</v>
      </c>
      <c r="B13" s="3298">
        <v>6620</v>
      </c>
      <c r="C13" s="3298">
        <v>6580</v>
      </c>
      <c r="D13" s="3298">
        <v>7830</v>
      </c>
      <c r="E13" s="3298">
        <v>1260</v>
      </c>
      <c r="F13" s="3298">
        <v>4040</v>
      </c>
    </row>
    <row r="14" spans="1:6">
      <c r="A14" s="3296" t="s">
        <v>306</v>
      </c>
      <c r="B14" s="3298">
        <v>4900</v>
      </c>
      <c r="C14" s="3298">
        <v>4860</v>
      </c>
      <c r="D14" s="3298">
        <v>5540</v>
      </c>
      <c r="E14" s="3298">
        <v>950</v>
      </c>
      <c r="F14" s="3298">
        <v>2930</v>
      </c>
    </row>
    <row r="15" spans="1:6">
      <c r="A15" s="3296" t="s">
        <v>307</v>
      </c>
      <c r="B15" s="3298">
        <v>3380</v>
      </c>
      <c r="C15" s="3298">
        <v>3340</v>
      </c>
      <c r="D15" s="3298">
        <v>3630</v>
      </c>
      <c r="E15" s="3298">
        <v>730</v>
      </c>
      <c r="F15" s="3298">
        <v>1990</v>
      </c>
    </row>
    <row r="16" spans="1:6">
      <c r="A16" s="3296" t="s">
        <v>369</v>
      </c>
      <c r="B16" s="3298">
        <v>2230</v>
      </c>
      <c r="C16" s="3298">
        <v>2200</v>
      </c>
      <c r="D16" s="3298">
        <v>2180</v>
      </c>
      <c r="E16" s="3298">
        <v>570</v>
      </c>
      <c r="F16" s="3298">
        <v>1330</v>
      </c>
    </row>
    <row r="17" spans="1:6">
      <c r="A17" s="3296" t="s">
        <v>370</v>
      </c>
      <c r="B17" s="3298">
        <v>1390</v>
      </c>
      <c r="C17" s="3298">
        <v>1360</v>
      </c>
      <c r="D17" s="3298">
        <v>1340</v>
      </c>
      <c r="E17" s="3298">
        <v>450</v>
      </c>
      <c r="F17" s="329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80" zoomScaleNormal="80" workbookViewId="0">
      <selection activeCell="A9" sqref="A9:XFD9"/>
    </sheetView>
  </sheetViews>
  <sheetFormatPr defaultColWidth="8.875" defaultRowHeight="13.5"/>
  <cols>
    <col min="1" max="1" width="13.875" customWidth="1"/>
  </cols>
  <sheetData>
    <row r="1" spans="1:30">
      <c r="A1" s="3222">
        <f>基准地价修正!G23</f>
        <v>44916</v>
      </c>
      <c r="B1" s="3211" t="s">
        <v>2838</v>
      </c>
      <c r="C1" s="3212"/>
      <c r="D1" s="3212"/>
      <c r="E1" s="3212"/>
      <c r="F1" s="3212"/>
      <c r="G1" s="3212"/>
      <c r="H1" s="3212"/>
      <c r="I1" s="3212"/>
      <c r="J1" s="3165"/>
      <c r="K1" s="3212" t="s">
        <v>454</v>
      </c>
      <c r="L1" s="3212"/>
      <c r="M1" s="3212"/>
      <c r="N1" s="3212"/>
      <c r="O1" s="3212"/>
      <c r="P1" s="3212"/>
      <c r="Q1" s="3165"/>
      <c r="R1" s="3783" t="s">
        <v>456</v>
      </c>
      <c r="S1" s="3784"/>
      <c r="T1" s="3784"/>
      <c r="U1" s="3784"/>
      <c r="V1" s="3784"/>
      <c r="W1" s="3784"/>
      <c r="X1" s="3165"/>
      <c r="Y1" s="3783" t="s">
        <v>457</v>
      </c>
      <c r="Z1" s="3784"/>
      <c r="AA1" s="3784"/>
      <c r="AB1" s="3784"/>
      <c r="AC1" s="3784"/>
      <c r="AD1" s="3784"/>
    </row>
    <row r="2" spans="1:30" s="3143" customFormat="1" ht="14.25" thickBot="1">
      <c r="B2" s="3144"/>
      <c r="C2" s="3145"/>
      <c r="D2" s="3146" t="s">
        <v>2804</v>
      </c>
      <c r="E2" s="3147" t="s">
        <v>2805</v>
      </c>
      <c r="F2" s="3147" t="s">
        <v>2806</v>
      </c>
      <c r="G2" s="3147" t="s">
        <v>2807</v>
      </c>
      <c r="H2" s="3147" t="s">
        <v>2808</v>
      </c>
      <c r="I2" s="3147" t="s">
        <v>2625</v>
      </c>
      <c r="J2" s="3148"/>
      <c r="K2" s="3146" t="s">
        <v>2804</v>
      </c>
      <c r="L2" s="3147" t="s">
        <v>2805</v>
      </c>
      <c r="M2" s="3147" t="s">
        <v>2806</v>
      </c>
      <c r="N2" s="3147" t="s">
        <v>2807</v>
      </c>
      <c r="O2" s="3147" t="s">
        <v>2809</v>
      </c>
      <c r="P2" s="3147" t="s">
        <v>2625</v>
      </c>
      <c r="Q2" s="3148"/>
      <c r="R2" s="3146" t="s">
        <v>2804</v>
      </c>
      <c r="S2" s="3147" t="s">
        <v>2805</v>
      </c>
      <c r="T2" s="3147" t="s">
        <v>2806</v>
      </c>
      <c r="U2" s="3147" t="s">
        <v>2810</v>
      </c>
      <c r="V2" s="3147" t="s">
        <v>2811</v>
      </c>
      <c r="W2" s="3147" t="s">
        <v>2625</v>
      </c>
      <c r="X2" s="3148"/>
      <c r="Y2" s="3146" t="s">
        <v>2804</v>
      </c>
      <c r="Z2" s="3147" t="s">
        <v>2805</v>
      </c>
      <c r="AA2" s="3147" t="s">
        <v>2806</v>
      </c>
      <c r="AB2" s="3147" t="s">
        <v>2812</v>
      </c>
      <c r="AC2" s="3147" t="s">
        <v>2811</v>
      </c>
      <c r="AD2" s="3147" t="s">
        <v>2625</v>
      </c>
    </row>
    <row r="3" spans="1:30" s="3161" customFormat="1" ht="12.75">
      <c r="A3" s="3149" t="s">
        <v>2813</v>
      </c>
      <c r="B3" s="3150"/>
      <c r="C3" s="3151"/>
      <c r="D3" s="3151">
        <f>ROUND(AVERAGEIF(D4:D13,"&lt;&gt;0"),2)</f>
        <v>0.84</v>
      </c>
      <c r="E3" s="3151">
        <f t="shared" ref="E3:H3" si="0">ROUND(AVERAGEIF(E4:E13,"&lt;&gt;0"),2)</f>
        <v>0.35</v>
      </c>
      <c r="F3" s="3151">
        <f t="shared" si="0"/>
        <v>0.15</v>
      </c>
      <c r="G3" s="3151">
        <f t="shared" si="0"/>
        <v>0.92</v>
      </c>
      <c r="H3" s="3151">
        <f t="shared" si="0"/>
        <v>0.68</v>
      </c>
      <c r="I3" s="3151">
        <f>F3</f>
        <v>0.15</v>
      </c>
      <c r="J3" s="3152"/>
      <c r="K3" s="3153">
        <f>ROUND(AVERAGEIF(K4:K13,"&lt;&gt;0"),4)</f>
        <v>8.3999999999999995E-3</v>
      </c>
      <c r="L3" s="3154">
        <f t="shared" ref="L3:O3" si="1">ROUND(AVERAGEIF(L4:L13,"&lt;&gt;0"),4)</f>
        <v>3.5000000000000001E-3</v>
      </c>
      <c r="M3" s="3154">
        <f t="shared" si="1"/>
        <v>1.5E-3</v>
      </c>
      <c r="N3" s="3154">
        <f t="shared" si="1"/>
        <v>9.1999999999999998E-3</v>
      </c>
      <c r="O3" s="3154">
        <f t="shared" si="1"/>
        <v>6.7999999999999996E-3</v>
      </c>
      <c r="P3" s="3154">
        <f>M3</f>
        <v>1.5E-3</v>
      </c>
      <c r="Q3" s="3152"/>
      <c r="R3" s="3155">
        <f>ROUND(SUMPRODUCT(PRODUCT(1+K4:K13)),4)</f>
        <v>1.0602</v>
      </c>
      <c r="S3" s="3156">
        <f t="shared" ref="S3:V3" si="2">ROUND(SUMPRODUCT(PRODUCT(1+L4:L13)),4)</f>
        <v>1.0246</v>
      </c>
      <c r="T3" s="3156">
        <f t="shared" si="2"/>
        <v>1.0107999999999999</v>
      </c>
      <c r="U3" s="3156">
        <f t="shared" si="2"/>
        <v>1.0662</v>
      </c>
      <c r="V3" s="3156">
        <f t="shared" si="2"/>
        <v>1.0485</v>
      </c>
      <c r="W3" s="3155">
        <f>T3</f>
        <v>1.0107999999999999</v>
      </c>
      <c r="X3" s="3152"/>
      <c r="Y3" s="3157">
        <f>ROUND(AVERAGEIF(Y5:Y13,"&lt;&gt;0"),4)</f>
        <v>8.8000000000000005E-3</v>
      </c>
      <c r="Z3" s="3158">
        <f t="shared" ref="Z3:AC3" si="3">ROUND(AVERAGEIF(Z5:Z13,"&lt;&gt;0"),4)</f>
        <v>3.5999999999999999E-3</v>
      </c>
      <c r="AA3" s="3159">
        <f t="shared" si="3"/>
        <v>8.0000000000000004E-4</v>
      </c>
      <c r="AB3" s="3157">
        <f t="shared" si="3"/>
        <v>9.5999999999999992E-3</v>
      </c>
      <c r="AC3" s="3160">
        <f t="shared" si="3"/>
        <v>6.1000000000000004E-3</v>
      </c>
      <c r="AD3" s="3157">
        <f>AA3</f>
        <v>8.0000000000000004E-4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2814</v>
      </c>
      <c r="B5" s="3177">
        <v>2023</v>
      </c>
      <c r="C5" s="3178">
        <v>1</v>
      </c>
      <c r="D5" s="3179">
        <v>0</v>
      </c>
      <c r="E5" s="3179">
        <v>0</v>
      </c>
      <c r="F5" s="3179">
        <v>0</v>
      </c>
      <c r="G5" s="3179">
        <v>0</v>
      </c>
      <c r="H5" s="3179">
        <v>0</v>
      </c>
      <c r="I5" s="3180">
        <f t="shared" ref="I5:I13" si="4">F5</f>
        <v>0</v>
      </c>
      <c r="J5" s="3181"/>
      <c r="K5" s="3182">
        <f t="shared" ref="K5:O13" si="5">D5/100</f>
        <v>0</v>
      </c>
      <c r="L5" s="3172">
        <f t="shared" si="5"/>
        <v>0</v>
      </c>
      <c r="M5" s="3172">
        <f t="shared" si="5"/>
        <v>0</v>
      </c>
      <c r="N5" s="3172">
        <f t="shared" si="5"/>
        <v>0</v>
      </c>
      <c r="O5" s="3172">
        <f t="shared" si="5"/>
        <v>0</v>
      </c>
      <c r="P5" s="3172">
        <f>M5</f>
        <v>0</v>
      </c>
      <c r="Q5" s="3181"/>
      <c r="R5" s="3183">
        <f>ROUND(IF([2]项目基本情况!B8="出让",SUMPRODUCT(PRODUCT(1+K5:K13)),SUMPRODUCT(PRODUCT(1+K5:K12))),4)</f>
        <v>1.05</v>
      </c>
      <c r="S5" s="3183">
        <f>ROUND(IF([2]项目基本情况!B8="出让",SUMPRODUCT(PRODUCT(1+L5:L13)),SUMPRODUCT(PRODUCT(1+L5:L12))),4)</f>
        <v>1.0229999999999999</v>
      </c>
      <c r="T5" s="3183">
        <f>ROUND(IF([2]项目基本情况!B8="出让",SUMPRODUCT(PRODUCT(1+M5:M13)),SUMPRODUCT(PRODUCT(1+M5:M12))),4)</f>
        <v>1.0134000000000001</v>
      </c>
      <c r="U5" s="3183">
        <f>ROUND(IF([2]项目基本情况!B8="出让",SUMPRODUCT(PRODUCT(1+N5:N13)),SUMPRODUCT(PRODUCT(1+N5:N12))),4)</f>
        <v>1.0545</v>
      </c>
      <c r="V5" s="3183">
        <f>ROUND(IF([2]项目基本情况!B8="出让",SUMPRODUCT(PRODUCT(1+O5:O13)),SUMPRODUCT(PRODUCT(1+O5:O12))),4)</f>
        <v>1.0447</v>
      </c>
      <c r="W5" s="3183">
        <f>T5</f>
        <v>1.0134000000000001</v>
      </c>
      <c r="X5" s="3181"/>
      <c r="Y5" s="3184">
        <f>IF(D5=0,0,ROUND(AVERAGE(D5:D13)/100,4))</f>
        <v>0</v>
      </c>
      <c r="Z5" s="3184">
        <f t="shared" ref="Z5:AC5" si="6">IF(E5=0,0,ROUND(AVERAGE(E5:E13)/100,4))</f>
        <v>0</v>
      </c>
      <c r="AA5" s="3184">
        <f t="shared" si="6"/>
        <v>0</v>
      </c>
      <c r="AB5" s="3184">
        <f t="shared" si="6"/>
        <v>0</v>
      </c>
      <c r="AC5" s="3184">
        <f t="shared" si="6"/>
        <v>0</v>
      </c>
      <c r="AD5" s="3184">
        <f t="shared" ref="AD5:AD12" si="7">AA5</f>
        <v>0</v>
      </c>
    </row>
    <row r="6" spans="1:30" s="3186" customFormat="1" ht="12.75">
      <c r="A6" s="3176" t="s">
        <v>2815</v>
      </c>
      <c r="B6" s="3177">
        <v>2022</v>
      </c>
      <c r="C6" s="3178">
        <v>4</v>
      </c>
      <c r="D6" s="3179">
        <v>0</v>
      </c>
      <c r="E6" s="3179">
        <v>0</v>
      </c>
      <c r="F6" s="3179">
        <v>0</v>
      </c>
      <c r="G6" s="3179">
        <v>0</v>
      </c>
      <c r="H6" s="3179">
        <v>0</v>
      </c>
      <c r="I6" s="3180">
        <f t="shared" si="4"/>
        <v>0</v>
      </c>
      <c r="J6" s="3181"/>
      <c r="K6" s="3182">
        <f t="shared" si="5"/>
        <v>0</v>
      </c>
      <c r="L6" s="3172">
        <f t="shared" si="5"/>
        <v>0</v>
      </c>
      <c r="M6" s="3172">
        <f t="shared" si="5"/>
        <v>0</v>
      </c>
      <c r="N6" s="3172">
        <f t="shared" si="5"/>
        <v>0</v>
      </c>
      <c r="O6" s="3172">
        <f t="shared" si="5"/>
        <v>0</v>
      </c>
      <c r="P6" s="3172">
        <f t="shared" ref="P6:P13" si="8">M6</f>
        <v>0</v>
      </c>
      <c r="Q6" s="3181"/>
      <c r="R6" s="3183">
        <f>ROUND(IF([2]项目基本情况!B8="出让",SUMPRODUCT(PRODUCT(1+K6:K13)),SUMPRODUCT(PRODUCT(1+K6:K12))),4)</f>
        <v>1.05</v>
      </c>
      <c r="S6" s="3183">
        <f>ROUND(IF([2]项目基本情况!B8="出让",SUMPRODUCT(PRODUCT(1+L6:L13)),SUMPRODUCT(PRODUCT(1+L6:L12))),4)</f>
        <v>1.0229999999999999</v>
      </c>
      <c r="T6" s="3183">
        <f>ROUND(IF([2]项目基本情况!B8="出让",SUMPRODUCT(PRODUCT(1+M6:M13)),SUMPRODUCT(PRODUCT(1+M6:M12))),4)</f>
        <v>1.0134000000000001</v>
      </c>
      <c r="U6" s="3183">
        <f>ROUND(IF([2]项目基本情况!B8="出让",SUMPRODUCT(PRODUCT(1+N6:N13)),SUMPRODUCT(PRODUCT(1+N6:N12))),4)</f>
        <v>1.0545</v>
      </c>
      <c r="V6" s="3183">
        <f>ROUND(IF([2]项目基本情况!B8="出让",SUMPRODUCT(PRODUCT(1+O6:O13)),SUMPRODUCT(PRODUCT(1+O6:O12))),4)</f>
        <v>1.0447</v>
      </c>
      <c r="W6" s="3183">
        <f t="shared" ref="W6:W13" si="9">T6</f>
        <v>1.0134000000000001</v>
      </c>
      <c r="X6" s="3181"/>
      <c r="Y6" s="3184">
        <f>IF(D6=0,0,ROUND(AVERAGE(D6:D14)/100,4))</f>
        <v>0</v>
      </c>
      <c r="Z6" s="3184">
        <f t="shared" ref="Z6:AC6" si="10">IF(E6=0,0,ROUND(AVERAGE(E6:E13)/100,4))</f>
        <v>0</v>
      </c>
      <c r="AA6" s="3184">
        <f t="shared" si="10"/>
        <v>0</v>
      </c>
      <c r="AB6" s="3184">
        <f t="shared" si="10"/>
        <v>0</v>
      </c>
      <c r="AC6" s="3184">
        <f t="shared" si="10"/>
        <v>0</v>
      </c>
      <c r="AD6" s="3184">
        <f t="shared" si="7"/>
        <v>0</v>
      </c>
    </row>
    <row r="7" spans="1:30" s="3196" customFormat="1" ht="12.75">
      <c r="A7" s="3187" t="s">
        <v>3355</v>
      </c>
      <c r="B7" s="3188">
        <v>2022</v>
      </c>
      <c r="C7" s="3189">
        <v>3</v>
      </c>
      <c r="D7" s="3190">
        <v>0.66</v>
      </c>
      <c r="E7" s="3190">
        <v>0.32</v>
      </c>
      <c r="F7" s="3190">
        <v>0.23</v>
      </c>
      <c r="G7" s="3190">
        <v>0.72</v>
      </c>
      <c r="H7" s="3191">
        <v>0.63</v>
      </c>
      <c r="I7" s="3192">
        <f t="shared" si="4"/>
        <v>0.23</v>
      </c>
      <c r="J7" s="3193"/>
      <c r="K7" s="3194">
        <f t="shared" si="5"/>
        <v>6.6E-3</v>
      </c>
      <c r="L7" s="3195">
        <f t="shared" si="5"/>
        <v>3.2000000000000002E-3</v>
      </c>
      <c r="M7" s="3195">
        <f t="shared" si="5"/>
        <v>2.3E-3</v>
      </c>
      <c r="N7" s="3195">
        <f t="shared" si="5"/>
        <v>7.1999999999999998E-3</v>
      </c>
      <c r="O7" s="3195">
        <f t="shared" si="5"/>
        <v>6.3E-3</v>
      </c>
      <c r="P7" s="3195">
        <f t="shared" si="8"/>
        <v>2.3E-3</v>
      </c>
      <c r="Q7" s="3193"/>
      <c r="R7" s="3193">
        <f>ROUND(IF([2]项目基本情况!B8="出让",SUMPRODUCT(PRODUCT(1+K7:K13)),SUMPRODUCT(PRODUCT(1+K7:K12))),4)</f>
        <v>1.05</v>
      </c>
      <c r="S7" s="3193">
        <f>ROUND(IF([2]项目基本情况!B8="出让",SUMPRODUCT(PRODUCT(1+L7:L13)),SUMPRODUCT(PRODUCT(1+L7:L12))),4)</f>
        <v>1.0229999999999999</v>
      </c>
      <c r="T7" s="3193">
        <f>ROUND(IF([2]项目基本情况!B8="出让",SUMPRODUCT(PRODUCT(1+M7:M13)),SUMPRODUCT(PRODUCT(1+M7:M12))),4)</f>
        <v>1.0134000000000001</v>
      </c>
      <c r="U7" s="3193">
        <f>ROUND(IF([2]项目基本情况!B8="出让",SUMPRODUCT(PRODUCT(1+N7:N13)),SUMPRODUCT(PRODUCT(1+N7:N12))),4)</f>
        <v>1.0545</v>
      </c>
      <c r="V7" s="3193">
        <f>ROUND(IF([2]项目基本情况!B8="出让",SUMPRODUCT(PRODUCT(1+O7:O13)),SUMPRODUCT(PRODUCT(1+O7:O12))),4)</f>
        <v>1.0447</v>
      </c>
      <c r="W7" s="3193">
        <f t="shared" si="9"/>
        <v>1.0134000000000001</v>
      </c>
      <c r="X7" s="3193"/>
      <c r="Y7" s="3195">
        <f>IF(D7=0,0,ROUND(AVERAGE(D7:D13)/100,4))</f>
        <v>8.3999999999999995E-3</v>
      </c>
      <c r="Z7" s="3195">
        <f t="shared" ref="Z7:AC7" si="11">IF(E7=0,0,ROUND(AVERAGE(E7:E13)/100,4))</f>
        <v>3.5000000000000001E-3</v>
      </c>
      <c r="AA7" s="3195">
        <f t="shared" si="11"/>
        <v>1.5E-3</v>
      </c>
      <c r="AB7" s="3195">
        <f t="shared" si="11"/>
        <v>9.1999999999999998E-3</v>
      </c>
      <c r="AC7" s="3195">
        <f t="shared" si="11"/>
        <v>6.7999999999999996E-3</v>
      </c>
      <c r="AD7" s="3195">
        <f t="shared" si="7"/>
        <v>1.5E-3</v>
      </c>
    </row>
    <row r="8" spans="1:30" s="3185" customFormat="1" ht="12.75">
      <c r="A8" s="3176" t="s">
        <v>3356</v>
      </c>
      <c r="B8" s="3177">
        <v>2022</v>
      </c>
      <c r="C8" s="3178">
        <v>2</v>
      </c>
      <c r="D8" s="3179">
        <v>0.93</v>
      </c>
      <c r="E8" s="3179">
        <v>0.15</v>
      </c>
      <c r="F8" s="3179">
        <v>0.01</v>
      </c>
      <c r="G8" s="3179">
        <v>1.05</v>
      </c>
      <c r="H8" s="3197">
        <v>1.08</v>
      </c>
      <c r="I8" s="3180">
        <f t="shared" si="4"/>
        <v>0.01</v>
      </c>
      <c r="J8" s="3181"/>
      <c r="K8" s="3182">
        <f t="shared" si="5"/>
        <v>9.300000000000001E-3</v>
      </c>
      <c r="L8" s="3172">
        <f t="shared" si="5"/>
        <v>1.5E-3</v>
      </c>
      <c r="M8" s="3172">
        <f t="shared" si="5"/>
        <v>1E-4</v>
      </c>
      <c r="N8" s="3172">
        <f t="shared" si="5"/>
        <v>1.0500000000000001E-2</v>
      </c>
      <c r="O8" s="3172">
        <f t="shared" si="5"/>
        <v>1.0800000000000001E-2</v>
      </c>
      <c r="P8" s="3172">
        <f t="shared" si="8"/>
        <v>1E-4</v>
      </c>
      <c r="Q8" s="3181"/>
      <c r="R8" s="3183">
        <f>ROUND(IF([2]项目基本情况!B8="出让",SUMPRODUCT(PRODUCT(1+K8:K13)),SUMPRODUCT(PRODUCT(1+K8:K12))),4)</f>
        <v>1.0430999999999999</v>
      </c>
      <c r="S8" s="3183">
        <f>ROUND(IF([2]项目基本情况!B8="出让",SUMPRODUCT(PRODUCT(1+L8:L13)),SUMPRODUCT(PRODUCT(1+L8:L12))),4)</f>
        <v>1.0197000000000001</v>
      </c>
      <c r="T8" s="3183">
        <f>ROUND(IF([2]项目基本情况!B8="出让",SUMPRODUCT(PRODUCT(1+M8:M13)),SUMPRODUCT(PRODUCT(1+M8:M12))),4)</f>
        <v>1.0109999999999999</v>
      </c>
      <c r="U8" s="3183">
        <f>ROUND(IF([2]项目基本情况!B8="出让",SUMPRODUCT(PRODUCT(1+N8:N13)),SUMPRODUCT(PRODUCT(1+N8:N12))),4)</f>
        <v>1.0468999999999999</v>
      </c>
      <c r="V8" s="3183">
        <f>ROUND(IF([2]项目基本情况!B8="出让",SUMPRODUCT(PRODUCT(1+O8:O13)),SUMPRODUCT(PRODUCT(1+O8:O12))),4)</f>
        <v>1.0382</v>
      </c>
      <c r="W8" s="3183">
        <f t="shared" si="9"/>
        <v>1.0109999999999999</v>
      </c>
      <c r="X8" s="3181"/>
      <c r="Y8" s="3184">
        <f>IF(D8=0,0,ROUND(AVERAGE(D8:D13)/100,4))</f>
        <v>8.6999999999999994E-3</v>
      </c>
      <c r="Z8" s="3184">
        <f t="shared" ref="Z8:AC8" si="12">IF(E8=0,0,ROUND(AVERAGE(E8:E13)/100,4))</f>
        <v>3.5000000000000001E-3</v>
      </c>
      <c r="AA8" s="3184">
        <f t="shared" si="12"/>
        <v>1.4E-3</v>
      </c>
      <c r="AB8" s="3184">
        <f t="shared" si="12"/>
        <v>9.4999999999999998E-3</v>
      </c>
      <c r="AC8" s="3184">
        <f t="shared" si="12"/>
        <v>6.8999999999999999E-3</v>
      </c>
      <c r="AD8" s="3184">
        <f t="shared" si="7"/>
        <v>1.4E-3</v>
      </c>
    </row>
    <row r="9" spans="1:30" s="3185" customFormat="1" ht="12.75">
      <c r="A9" s="3176" t="s">
        <v>2816</v>
      </c>
      <c r="B9" s="3177">
        <v>2022</v>
      </c>
      <c r="C9" s="3178">
        <v>1</v>
      </c>
      <c r="D9" s="3179">
        <v>0.89</v>
      </c>
      <c r="E9" s="3179">
        <v>0.44</v>
      </c>
      <c r="F9" s="3179">
        <v>0.37</v>
      </c>
      <c r="G9" s="3179">
        <v>0.96</v>
      </c>
      <c r="H9" s="3197">
        <v>0.64</v>
      </c>
      <c r="I9" s="3180">
        <f t="shared" si="4"/>
        <v>0.37</v>
      </c>
      <c r="J9" s="3181"/>
      <c r="K9" s="3182">
        <f t="shared" si="5"/>
        <v>8.8999999999999999E-3</v>
      </c>
      <c r="L9" s="3172">
        <f t="shared" si="5"/>
        <v>4.4000000000000003E-3</v>
      </c>
      <c r="M9" s="3172">
        <f t="shared" si="5"/>
        <v>3.7000000000000002E-3</v>
      </c>
      <c r="N9" s="3172">
        <f t="shared" si="5"/>
        <v>9.5999999999999992E-3</v>
      </c>
      <c r="O9" s="3172">
        <f t="shared" si="5"/>
        <v>6.4000000000000003E-3</v>
      </c>
      <c r="P9" s="3172">
        <f t="shared" si="8"/>
        <v>3.7000000000000002E-3</v>
      </c>
      <c r="Q9" s="3181"/>
      <c r="R9" s="3183">
        <f>ROUND(IF([2]项目基本情况!B8="出让",SUMPRODUCT(PRODUCT(1+K9:K13)),SUMPRODUCT(PRODUCT(1+K9:K12))),4)</f>
        <v>1.0335000000000001</v>
      </c>
      <c r="S9" s="3183">
        <f>ROUND(IF([2]项目基本情况!B8="出让",SUMPRODUCT(PRODUCT(1+L9:L13)),SUMPRODUCT(PRODUCT(1+L9:L12))),4)</f>
        <v>1.0182</v>
      </c>
      <c r="T9" s="3183">
        <f>ROUND(IF([2]项目基本情况!B8="出让",SUMPRODUCT(PRODUCT(1+M9:M13)),SUMPRODUCT(PRODUCT(1+M9:M12))),4)</f>
        <v>1.0108999999999999</v>
      </c>
      <c r="U9" s="3183">
        <f>ROUND(IF([2]项目基本情况!B8="出让",SUMPRODUCT(PRODUCT(1+N9:N13)),SUMPRODUCT(PRODUCT(1+N9:N12))),4)</f>
        <v>1.0361</v>
      </c>
      <c r="V9" s="3183">
        <f>ROUND(IF([2]项目基本情况!B8="出让",SUMPRODUCT(PRODUCT(1+O9:O13)),SUMPRODUCT(PRODUCT(1+O9:O12))),4)</f>
        <v>1.0270999999999999</v>
      </c>
      <c r="W9" s="3183">
        <f t="shared" si="9"/>
        <v>1.0108999999999999</v>
      </c>
      <c r="X9" s="3181"/>
      <c r="Y9" s="3184">
        <f>IF(D9=0,0,ROUND(AVERAGE(D9:D13)/100,4))</f>
        <v>8.6E-3</v>
      </c>
      <c r="Z9" s="3184">
        <f t="shared" ref="Z9:AC9" si="13">IF(E9=0,0,ROUND(AVERAGE(E9:E13)/100,4))</f>
        <v>3.8999999999999998E-3</v>
      </c>
      <c r="AA9" s="3184">
        <f t="shared" si="13"/>
        <v>1.6999999999999999E-3</v>
      </c>
      <c r="AB9" s="3184">
        <f t="shared" si="13"/>
        <v>9.2999999999999992E-3</v>
      </c>
      <c r="AC9" s="3184">
        <f t="shared" si="13"/>
        <v>6.1000000000000004E-3</v>
      </c>
      <c r="AD9" s="3184">
        <f t="shared" si="7"/>
        <v>1.6999999999999999E-3</v>
      </c>
    </row>
    <row r="10" spans="1:30" s="3185" customFormat="1" ht="12.75">
      <c r="A10" s="3176" t="s">
        <v>2817</v>
      </c>
      <c r="B10" s="3177">
        <v>2021</v>
      </c>
      <c r="C10" s="3178">
        <v>4</v>
      </c>
      <c r="D10" s="3179">
        <v>1.03</v>
      </c>
      <c r="E10" s="3179">
        <v>0.24</v>
      </c>
      <c r="F10" s="3179">
        <v>7.0000000000000007E-2</v>
      </c>
      <c r="G10" s="3179">
        <v>1.17</v>
      </c>
      <c r="H10" s="3197">
        <v>0.55000000000000004</v>
      </c>
      <c r="I10" s="3180">
        <f t="shared" si="4"/>
        <v>7.0000000000000007E-2</v>
      </c>
      <c r="J10" s="3181"/>
      <c r="K10" s="3182">
        <f t="shared" si="5"/>
        <v>1.03E-2</v>
      </c>
      <c r="L10" s="3172">
        <f t="shared" si="5"/>
        <v>2.3999999999999998E-3</v>
      </c>
      <c r="M10" s="3172">
        <f t="shared" si="5"/>
        <v>7.000000000000001E-4</v>
      </c>
      <c r="N10" s="3172">
        <f t="shared" si="5"/>
        <v>1.1699999999999999E-2</v>
      </c>
      <c r="O10" s="3172">
        <f t="shared" si="5"/>
        <v>5.5000000000000005E-3</v>
      </c>
      <c r="P10" s="3172">
        <f t="shared" si="8"/>
        <v>7.000000000000001E-4</v>
      </c>
      <c r="Q10" s="3181"/>
      <c r="R10" s="3183">
        <f>ROUND(IF([2]项目基本情况!B8="出让",SUMPRODUCT(PRODUCT(1+K10:K13)),SUMPRODUCT(PRODUCT(1+K10:K12))),4)</f>
        <v>1.0244</v>
      </c>
      <c r="S10" s="3183">
        <f>ROUND(IF([2]项目基本情况!B8="出让",SUMPRODUCT(PRODUCT(1+L10:L13)),SUMPRODUCT(PRODUCT(1+L10:L12))),4)</f>
        <v>1.0138</v>
      </c>
      <c r="T10" s="3183">
        <f>ROUND(IF([2]项目基本情况!B8="出让",SUMPRODUCT(PRODUCT(1+M10:M13)),SUMPRODUCT(PRODUCT(1+M10:M12))),4)</f>
        <v>1.0072000000000001</v>
      </c>
      <c r="U10" s="3183">
        <f>ROUND(IF([2]项目基本情况!B8="出让",SUMPRODUCT(PRODUCT(1+N10:N13)),SUMPRODUCT(PRODUCT(1+N10:N12))),4)</f>
        <v>1.0262</v>
      </c>
      <c r="V10" s="3183">
        <f>ROUND(IF([2]项目基本情况!B8="出让",SUMPRODUCT(PRODUCT(1+O10:O13)),SUMPRODUCT(PRODUCT(1+O10:O12))),4)</f>
        <v>1.0205</v>
      </c>
      <c r="W10" s="3183">
        <f t="shared" si="9"/>
        <v>1.0072000000000001</v>
      </c>
      <c r="X10" s="3181"/>
      <c r="Y10" s="3184">
        <f>IF(D10=0,0,ROUND(AVERAGE(D10:D13)/100,4))</f>
        <v>8.5000000000000006E-3</v>
      </c>
      <c r="Z10" s="3184">
        <f t="shared" ref="Z10:AC10" si="14">IF(E10=0,0,ROUND(AVERAGE(E10:E13)/100,4))</f>
        <v>3.8E-3</v>
      </c>
      <c r="AA10" s="3184">
        <f t="shared" si="14"/>
        <v>1.1999999999999999E-3</v>
      </c>
      <c r="AB10" s="3184">
        <f t="shared" si="14"/>
        <v>9.2999999999999992E-3</v>
      </c>
      <c r="AC10" s="3184">
        <f t="shared" si="14"/>
        <v>6.0000000000000001E-3</v>
      </c>
      <c r="AD10" s="3184">
        <f t="shared" si="7"/>
        <v>1.1999999999999999E-3</v>
      </c>
    </row>
    <row r="11" spans="1:30" s="3185" customFormat="1" ht="12.75">
      <c r="A11" s="3176" t="s">
        <v>2818</v>
      </c>
      <c r="B11" s="3177">
        <v>2021</v>
      </c>
      <c r="C11" s="3178">
        <v>3</v>
      </c>
      <c r="D11" s="3179">
        <v>0.47</v>
      </c>
      <c r="E11" s="3179">
        <v>0.41</v>
      </c>
      <c r="F11" s="3179">
        <v>0.24</v>
      </c>
      <c r="G11" s="3179">
        <v>0.48</v>
      </c>
      <c r="H11" s="3197">
        <v>0.48</v>
      </c>
      <c r="I11" s="3180">
        <f t="shared" si="4"/>
        <v>0.24</v>
      </c>
      <c r="J11" s="3181"/>
      <c r="K11" s="3182">
        <f t="shared" si="5"/>
        <v>4.6999999999999993E-3</v>
      </c>
      <c r="L11" s="3172">
        <f t="shared" si="5"/>
        <v>4.0999999999999995E-3</v>
      </c>
      <c r="M11" s="3172">
        <f t="shared" si="5"/>
        <v>2.3999999999999998E-3</v>
      </c>
      <c r="N11" s="3172">
        <f t="shared" si="5"/>
        <v>4.7999999999999996E-3</v>
      </c>
      <c r="O11" s="3172">
        <f t="shared" si="5"/>
        <v>4.7999999999999996E-3</v>
      </c>
      <c r="P11" s="3172">
        <f t="shared" si="8"/>
        <v>2.3999999999999998E-3</v>
      </c>
      <c r="Q11" s="3181"/>
      <c r="R11" s="3183">
        <f>ROUND(IF([2]项目基本情况!B8="出让",SUMPRODUCT(PRODUCT(1+K11:K13)),SUMPRODUCT(PRODUCT(1+K11:K12))),4)</f>
        <v>1.0139</v>
      </c>
      <c r="S11" s="3183">
        <f>ROUND(IF([2]项目基本情况!B8="出让",SUMPRODUCT(PRODUCT(1+L11:L13)),SUMPRODUCT(PRODUCT(1+L11:L12))),4)</f>
        <v>1.0113000000000001</v>
      </c>
      <c r="T11" s="3183">
        <f>ROUND(IF([2]项目基本情况!B8="出让",SUMPRODUCT(PRODUCT(1+M11:M13)),SUMPRODUCT(PRODUCT(1+M11:M12))),4)</f>
        <v>1.0065</v>
      </c>
      <c r="U11" s="3183">
        <f>ROUND(IF([2]项目基本情况!B8="出让",SUMPRODUCT(PRODUCT(1+N11:N13)),SUMPRODUCT(PRODUCT(1+N11:N12))),4)</f>
        <v>1.0143</v>
      </c>
      <c r="V11" s="3183">
        <f>ROUND(IF([2]项目基本情况!B8="出让",SUMPRODUCT(PRODUCT(1+O11:O13)),SUMPRODUCT(PRODUCT(1+O11:O12))),4)</f>
        <v>1.0148999999999999</v>
      </c>
      <c r="W11" s="3183">
        <f t="shared" si="9"/>
        <v>1.0065</v>
      </c>
      <c r="X11" s="3181"/>
      <c r="Y11" s="3184">
        <f>IF(D11=0,0,ROUND(AVERAGE(D11:D13)/100,4))</f>
        <v>7.9000000000000008E-3</v>
      </c>
      <c r="Z11" s="3184">
        <f>IF(E11=0,0,ROUND(AVERAGE(E11:E13)/100,4))</f>
        <v>4.3E-3</v>
      </c>
      <c r="AA11" s="3184">
        <f>IF(F11=0,0,ROUND(AVERAGE(F11:F13)/100,4))</f>
        <v>1.2999999999999999E-3</v>
      </c>
      <c r="AB11" s="3184">
        <f>IF(G11=0,0,ROUND(AVERAGE(G11:G13)/100,4))</f>
        <v>8.5000000000000006E-3</v>
      </c>
      <c r="AC11" s="3184">
        <f>IF(H11=0,0,ROUND(AVERAGE(H11:H13)/100,4))</f>
        <v>6.1999999999999998E-3</v>
      </c>
      <c r="AD11" s="3184">
        <f t="shared" si="7"/>
        <v>1.2999999999999999E-3</v>
      </c>
    </row>
    <row r="12" spans="1:30" s="3185" customFormat="1" ht="12.75">
      <c r="A12" s="3176" t="s">
        <v>2819</v>
      </c>
      <c r="B12" s="3177">
        <v>2021</v>
      </c>
      <c r="C12" s="3178">
        <v>2</v>
      </c>
      <c r="D12" s="3179">
        <v>0.92</v>
      </c>
      <c r="E12" s="3179">
        <v>0.72</v>
      </c>
      <c r="F12" s="3179">
        <v>0.41</v>
      </c>
      <c r="G12" s="3179">
        <v>0.95</v>
      </c>
      <c r="H12" s="3197">
        <v>1.01</v>
      </c>
      <c r="I12" s="3180">
        <f t="shared" si="4"/>
        <v>0.41</v>
      </c>
      <c r="J12" s="3181"/>
      <c r="K12" s="3182">
        <f t="shared" si="5"/>
        <v>9.1999999999999998E-3</v>
      </c>
      <c r="L12" s="3172">
        <f t="shared" si="5"/>
        <v>7.1999999999999998E-3</v>
      </c>
      <c r="M12" s="3172">
        <f t="shared" si="5"/>
        <v>4.0999999999999995E-3</v>
      </c>
      <c r="N12" s="3172">
        <f t="shared" si="5"/>
        <v>9.4999999999999998E-3</v>
      </c>
      <c r="O12" s="3172">
        <f t="shared" si="5"/>
        <v>1.01E-2</v>
      </c>
      <c r="P12" s="3172">
        <f t="shared" si="8"/>
        <v>4.0999999999999995E-3</v>
      </c>
      <c r="Q12" s="3181"/>
      <c r="R12" s="3183">
        <f>ROUND(IF([2]项目基本情况!B8="出让",SUMPRODUCT(PRODUCT(1+K12:K13)),SUMPRODUCT(PRODUCT(1+K12:K12))),4)</f>
        <v>1.0092000000000001</v>
      </c>
      <c r="S12" s="3183">
        <f>ROUND(IF([2]项目基本情况!B8="出让",SUMPRODUCT(PRODUCT(1+L12:L13)),SUMPRODUCT(PRODUCT(1+L12:L12))),4)</f>
        <v>1.0072000000000001</v>
      </c>
      <c r="T12" s="3183">
        <f>ROUND(IF([2]项目基本情况!B8="出让",SUMPRODUCT(PRODUCT(1+M12:M13)),SUMPRODUCT(PRODUCT(1+M12:M12))),4)</f>
        <v>1.0041</v>
      </c>
      <c r="U12" s="3183">
        <f>ROUND(IF([2]项目基本情况!B8="出让",SUMPRODUCT(PRODUCT(1+N12:N13)),SUMPRODUCT(PRODUCT(1+N12:N12))),4)</f>
        <v>1.0095000000000001</v>
      </c>
      <c r="V12" s="3183">
        <f>ROUND(IF([2]项目基本情况!B8="出让",SUMPRODUCT(PRODUCT(1+O12:O13)),SUMPRODUCT(PRODUCT(1+O12:O12))),4)</f>
        <v>1.0101</v>
      </c>
      <c r="W12" s="3183">
        <f t="shared" si="9"/>
        <v>1.0041</v>
      </c>
      <c r="X12" s="3181"/>
      <c r="Y12" s="3184">
        <f>IF(D12=0,0,ROUND(AVERAGE(D12:D13)/100,4))</f>
        <v>9.4999999999999998E-3</v>
      </c>
      <c r="Z12" s="3184">
        <f>IF(E12=0,0,ROUND(AVERAGE(E12:E13)/100,4))</f>
        <v>4.4000000000000003E-3</v>
      </c>
      <c r="AA12" s="3184">
        <f>IF(F12=0,0,ROUND(AVERAGE(F12:F13)/100,4))</f>
        <v>8.0000000000000004E-4</v>
      </c>
      <c r="AB12" s="3184">
        <f>IF(G12=0,0,ROUND(AVERAGE(G12:G13)/100,4))</f>
        <v>1.03E-2</v>
      </c>
      <c r="AC12" s="3184">
        <f>IF(H12=0,0,ROUND(AVERAGE(H12:H13)/100,4))</f>
        <v>6.8999999999999999E-3</v>
      </c>
      <c r="AD12" s="3184">
        <f t="shared" si="7"/>
        <v>8.0000000000000004E-4</v>
      </c>
    </row>
    <row r="13" spans="1:30" s="3208" customFormat="1" thickBot="1">
      <c r="A13" s="3198" t="s">
        <v>2820</v>
      </c>
      <c r="B13" s="3199">
        <v>2021</v>
      </c>
      <c r="C13" s="3200">
        <v>1</v>
      </c>
      <c r="D13" s="3201">
        <v>0.97</v>
      </c>
      <c r="E13" s="3201">
        <v>0.16</v>
      </c>
      <c r="F13" s="3201">
        <v>-0.25</v>
      </c>
      <c r="G13" s="3201">
        <v>1.1100000000000001</v>
      </c>
      <c r="H13" s="3202">
        <v>0.36</v>
      </c>
      <c r="I13" s="3203">
        <f t="shared" si="4"/>
        <v>-0.25</v>
      </c>
      <c r="J13" s="3204"/>
      <c r="K13" s="3205">
        <f t="shared" si="5"/>
        <v>9.7000000000000003E-3</v>
      </c>
      <c r="L13" s="3206">
        <f t="shared" si="5"/>
        <v>1.6000000000000001E-3</v>
      </c>
      <c r="M13" s="3206">
        <f>F13/100</f>
        <v>-2.5000000000000001E-3</v>
      </c>
      <c r="N13" s="3206">
        <f t="shared" si="5"/>
        <v>1.11E-2</v>
      </c>
      <c r="O13" s="3206">
        <f t="shared" si="5"/>
        <v>3.5999999999999999E-3</v>
      </c>
      <c r="P13" s="3206">
        <f t="shared" si="8"/>
        <v>-2.5000000000000001E-3</v>
      </c>
      <c r="Q13" s="3204"/>
      <c r="R13" s="3207">
        <v>1</v>
      </c>
      <c r="S13" s="3207">
        <v>1</v>
      </c>
      <c r="T13" s="3207">
        <v>1</v>
      </c>
      <c r="U13" s="3207">
        <v>1</v>
      </c>
      <c r="V13" s="3207">
        <v>1</v>
      </c>
      <c r="W13" s="3207">
        <f t="shared" si="9"/>
        <v>1</v>
      </c>
      <c r="X13" s="3204"/>
      <c r="Y13" s="3206">
        <f>IF(D13=0,0,ROUND(AVERAGE(D13:D13)/100,4))</f>
        <v>9.7000000000000003E-3</v>
      </c>
      <c r="Z13" s="3206">
        <f>IF(E13=0,0,ROUND(AVERAGE(E13:E13)/100,4))</f>
        <v>1.6000000000000001E-3</v>
      </c>
      <c r="AA13" s="3206">
        <f>IF(F13=0,0,ROUND(AVERAGE(F13:F13)/100,4))</f>
        <v>-2.5000000000000001E-3</v>
      </c>
      <c r="AB13" s="3206">
        <f>IF(G13=0,0,ROUND(AVERAGE(G13:G13)/100,4))</f>
        <v>1.11E-2</v>
      </c>
      <c r="AC13" s="3206">
        <f>IF(H13=0,0,ROUND(AVERAGE(H13:H13)/100,4))</f>
        <v>3.5999999999999999E-3</v>
      </c>
      <c r="AD13" s="3206">
        <f>AA13</f>
        <v>-2.5000000000000001E-3</v>
      </c>
    </row>
    <row r="14" spans="1:30" s="3009" customFormat="1" ht="14.25" thickTop="1"/>
    <row r="15" spans="1:30" s="3009" customFormat="1"/>
    <row r="16" spans="1:30" s="3009" customFormat="1">
      <c r="I16" s="3209" t="s">
        <v>2821</v>
      </c>
    </row>
    <row r="17" spans="1:30" s="3009" customFormat="1"/>
    <row r="18" spans="1:30" s="3210" customFormat="1" ht="12.75">
      <c r="B18" s="3211" t="s">
        <v>2822</v>
      </c>
      <c r="C18" s="3212"/>
      <c r="D18" s="3212"/>
      <c r="E18" s="3212"/>
      <c r="F18" s="3212"/>
      <c r="G18" s="3212"/>
      <c r="H18" s="3212"/>
      <c r="I18" s="3212"/>
      <c r="J18" s="3165"/>
      <c r="K18" s="3212" t="s">
        <v>2823</v>
      </c>
      <c r="L18" s="3212"/>
      <c r="M18" s="3212"/>
      <c r="N18" s="3212"/>
      <c r="O18" s="3212"/>
      <c r="P18" s="3212"/>
      <c r="Q18" s="3165"/>
      <c r="R18" s="3783" t="s">
        <v>2824</v>
      </c>
      <c r="S18" s="3784"/>
      <c r="T18" s="3784"/>
      <c r="U18" s="3784"/>
      <c r="V18" s="3784"/>
      <c r="W18" s="3784"/>
      <c r="X18" s="3165"/>
      <c r="Y18" s="3783" t="s">
        <v>2825</v>
      </c>
      <c r="Z18" s="3784"/>
      <c r="AA18" s="3784"/>
      <c r="AB18" s="3784"/>
      <c r="AC18" s="3784"/>
      <c r="AD18" s="3784"/>
    </row>
    <row r="19" spans="1:30" s="3143" customFormat="1" ht="14.25" thickBot="1">
      <c r="B19" s="3144"/>
      <c r="C19" s="3145"/>
      <c r="D19" s="3146" t="s">
        <v>2826</v>
      </c>
      <c r="E19" s="3147" t="s">
        <v>2827</v>
      </c>
      <c r="F19" s="3147" t="s">
        <v>2828</v>
      </c>
      <c r="G19" s="3147" t="s">
        <v>2829</v>
      </c>
      <c r="H19" s="3147"/>
      <c r="I19" s="3147" t="s">
        <v>2830</v>
      </c>
      <c r="J19" s="3148"/>
      <c r="K19" s="3146" t="s">
        <v>2826</v>
      </c>
      <c r="L19" s="3147" t="s">
        <v>2827</v>
      </c>
      <c r="M19" s="3147" t="s">
        <v>2828</v>
      </c>
      <c r="N19" s="3147" t="s">
        <v>2829</v>
      </c>
      <c r="O19" s="3147"/>
      <c r="P19" s="3147" t="s">
        <v>2830</v>
      </c>
      <c r="Q19" s="3148"/>
      <c r="R19" s="3146" t="s">
        <v>2826</v>
      </c>
      <c r="S19" s="3147" t="s">
        <v>2827</v>
      </c>
      <c r="T19" s="3147" t="s">
        <v>2828</v>
      </c>
      <c r="U19" s="3147" t="s">
        <v>2829</v>
      </c>
      <c r="V19" s="3147"/>
      <c r="W19" s="3147" t="s">
        <v>2830</v>
      </c>
      <c r="X19" s="3148"/>
      <c r="Y19" s="3146" t="s">
        <v>2826</v>
      </c>
      <c r="Z19" s="3147" t="s">
        <v>2827</v>
      </c>
      <c r="AA19" s="3147" t="s">
        <v>2828</v>
      </c>
      <c r="AB19" s="3147" t="s">
        <v>2829</v>
      </c>
      <c r="AC19" s="3147"/>
      <c r="AD19" s="3147" t="s">
        <v>2830</v>
      </c>
    </row>
    <row r="20" spans="1:30" s="3161" customFormat="1" ht="12.75">
      <c r="A20" s="3149" t="s">
        <v>2831</v>
      </c>
      <c r="B20" s="3150"/>
      <c r="C20" s="3151"/>
      <c r="D20" s="3151"/>
      <c r="E20" s="3151">
        <f t="shared" ref="E20:G20" si="15">ROUND(AVERAGEIF(E21:E30,"&lt;&gt;0"),2)</f>
        <v>0.39</v>
      </c>
      <c r="F20" s="3151">
        <f t="shared" si="15"/>
        <v>0.27</v>
      </c>
      <c r="G20" s="3151">
        <f t="shared" si="15"/>
        <v>0.79</v>
      </c>
      <c r="H20" s="3151"/>
      <c r="I20" s="3151">
        <f>F20</f>
        <v>0.27</v>
      </c>
      <c r="J20" s="3152"/>
      <c r="K20" s="3153"/>
      <c r="L20" s="3154">
        <f t="shared" ref="L20:N20" si="16">ROUND(AVERAGEIF(L21:L30,"&lt;&gt;0"),4)</f>
        <v>3.8999999999999998E-3</v>
      </c>
      <c r="M20" s="3154">
        <f t="shared" si="16"/>
        <v>2.7000000000000001E-3</v>
      </c>
      <c r="N20" s="3154">
        <f t="shared" si="16"/>
        <v>7.9000000000000008E-3</v>
      </c>
      <c r="O20" s="3154"/>
      <c r="P20" s="3154">
        <f>M20</f>
        <v>2.7000000000000001E-3</v>
      </c>
      <c r="Q20" s="3152"/>
      <c r="R20" s="3155"/>
      <c r="S20" s="3156">
        <f>ROUND(SUMPRODUCT(PRODUCT(1+L21:L30)),4)</f>
        <v>1.0277000000000001</v>
      </c>
      <c r="T20" s="3156">
        <f t="shared" ref="T20:U20" si="17">ROUND(SUMPRODUCT(PRODUCT(1+M21:M30)),4)</f>
        <v>1.0192000000000001</v>
      </c>
      <c r="U20" s="3156">
        <f t="shared" si="17"/>
        <v>1.0569</v>
      </c>
      <c r="V20" s="3156"/>
      <c r="W20" s="3155">
        <f>T20</f>
        <v>1.0192000000000001</v>
      </c>
      <c r="X20" s="3152"/>
      <c r="Y20" s="3157"/>
      <c r="Z20" s="3158">
        <f t="shared" ref="Z20:AB20" si="18">ROUND(AVERAGEIF(Z21:Z30,"&lt;&gt;0"),4)</f>
        <v>4.4000000000000003E-3</v>
      </c>
      <c r="AA20" s="3159">
        <f t="shared" si="18"/>
        <v>3.7000000000000002E-3</v>
      </c>
      <c r="AB20" s="3157">
        <f t="shared" si="18"/>
        <v>9.1000000000000004E-3</v>
      </c>
      <c r="AC20" s="3160"/>
      <c r="AD20" s="3157">
        <f>AA20</f>
        <v>3.7000000000000002E-3</v>
      </c>
    </row>
    <row r="21" spans="1:30" s="3162" customFormat="1" ht="12.75">
      <c r="B21" s="3163"/>
      <c r="C21" s="3164"/>
      <c r="D21" s="3164"/>
      <c r="E21" s="3164"/>
      <c r="F21" s="3164"/>
      <c r="G21" s="3164"/>
      <c r="H21" s="3164"/>
      <c r="I21" s="3164"/>
      <c r="J21" s="3165"/>
      <c r="K21" s="3166"/>
      <c r="L21" s="3167"/>
      <c r="M21" s="3167"/>
      <c r="N21" s="3167"/>
      <c r="O21" s="3167"/>
      <c r="P21" s="3167"/>
      <c r="Q21" s="3165"/>
      <c r="R21" s="3168"/>
      <c r="S21" s="3169"/>
      <c r="T21" s="3170"/>
      <c r="U21" s="3168"/>
      <c r="V21" s="3171"/>
      <c r="W21" s="3168"/>
      <c r="X21" s="3165"/>
      <c r="Y21" s="3172"/>
      <c r="Z21" s="3173"/>
      <c r="AA21" s="3174"/>
      <c r="AB21" s="3172"/>
      <c r="AC21" s="3175"/>
      <c r="AD21" s="3172"/>
    </row>
    <row r="22" spans="1:30" s="3185" customFormat="1" ht="12.75">
      <c r="A22" s="3176" t="s">
        <v>2832</v>
      </c>
      <c r="B22" s="3177">
        <v>2023</v>
      </c>
      <c r="C22" s="3178">
        <v>1</v>
      </c>
      <c r="D22" s="3179"/>
      <c r="E22" s="3179">
        <v>0</v>
      </c>
      <c r="F22" s="3179">
        <v>0</v>
      </c>
      <c r="G22" s="3179">
        <v>0</v>
      </c>
      <c r="H22" s="3179"/>
      <c r="I22" s="3180">
        <f t="shared" ref="I22:I30" si="19">F22</f>
        <v>0</v>
      </c>
      <c r="J22" s="3181"/>
      <c r="K22" s="3182"/>
      <c r="L22" s="3172">
        <f t="shared" ref="L22:N30" si="20">E22/100</f>
        <v>0</v>
      </c>
      <c r="M22" s="3172">
        <f t="shared" si="20"/>
        <v>0</v>
      </c>
      <c r="N22" s="3172">
        <f t="shared" si="20"/>
        <v>0</v>
      </c>
      <c r="O22" s="3172"/>
      <c r="P22" s="3172">
        <f>M22</f>
        <v>0</v>
      </c>
      <c r="Q22" s="3181"/>
      <c r="R22" s="3183"/>
      <c r="S22" s="3183">
        <f>ROUND(IF([2]项目基本情况!$B$8="出让",SUMPRODUCT(PRODUCT(1+L22:L$30)),SUMPRODUCT(PRODUCT(1+L22:L$29))),4)</f>
        <v>1.0241</v>
      </c>
      <c r="T22" s="3183">
        <f>ROUND(IF([2]项目基本情况!$B$8="出让",SUMPRODUCT(PRODUCT(1+M22:M$30)),SUMPRODUCT(PRODUCT(1+M22:M$29))),4)</f>
        <v>1.0144</v>
      </c>
      <c r="U22" s="3183">
        <f>ROUND(IF([2]项目基本情况!$B$8="出让",SUMPRODUCT(PRODUCT(1+N22:N$30)),SUMPRODUCT(PRODUCT(1+N22:N$29))),4)</f>
        <v>1.0467</v>
      </c>
      <c r="V22" s="3183"/>
      <c r="W22" s="3183">
        <f>T22</f>
        <v>1.0144</v>
      </c>
      <c r="X22" s="3181"/>
      <c r="Y22" s="3184"/>
      <c r="Z22" s="3213">
        <f>IF(E22=0,0,ROUND(AVERAGE(E22:E30)/100,4))</f>
        <v>0</v>
      </c>
      <c r="AA22" s="3213">
        <f>IF(F22=0,0,ROUND(AVERAGE(F22:F30)/100,4))</f>
        <v>0</v>
      </c>
      <c r="AB22" s="3213">
        <f>IF(G22=0,0,ROUND(AVERAGE(G22:G30)/100,4))</f>
        <v>0</v>
      </c>
      <c r="AC22" s="3214"/>
      <c r="AD22" s="3184">
        <f>IF(I22=0,0,ROUND(AVERAGE(I22:I30)/100,4))</f>
        <v>0</v>
      </c>
    </row>
    <row r="23" spans="1:30" s="3186" customFormat="1" ht="12.75">
      <c r="A23" s="3176" t="s">
        <v>2833</v>
      </c>
      <c r="B23" s="3177">
        <v>2022</v>
      </c>
      <c r="C23" s="3178">
        <v>4</v>
      </c>
      <c r="D23" s="3179"/>
      <c r="E23" s="3179">
        <v>0</v>
      </c>
      <c r="F23" s="3179">
        <v>0</v>
      </c>
      <c r="G23" s="3179">
        <v>0</v>
      </c>
      <c r="H23" s="3179"/>
      <c r="I23" s="3180">
        <f t="shared" si="19"/>
        <v>0</v>
      </c>
      <c r="J23" s="3181"/>
      <c r="K23" s="3182"/>
      <c r="L23" s="3172">
        <f t="shared" si="20"/>
        <v>0</v>
      </c>
      <c r="M23" s="3172">
        <f t="shared" si="20"/>
        <v>0</v>
      </c>
      <c r="N23" s="3172">
        <f t="shared" si="20"/>
        <v>0</v>
      </c>
      <c r="O23" s="3172"/>
      <c r="P23" s="3172">
        <f t="shared" ref="P23:P30" si="21">M23</f>
        <v>0</v>
      </c>
      <c r="Q23" s="3181"/>
      <c r="R23" s="3183"/>
      <c r="S23" s="3183">
        <f>ROUND(IF([2]项目基本情况!$B$8="出让",SUMPRODUCT(PRODUCT(1+L23:L$30)),SUMPRODUCT(PRODUCT(1+L23:L$29))),4)</f>
        <v>1.0241</v>
      </c>
      <c r="T23" s="3183">
        <f>ROUND(IF([2]项目基本情况!$B$8="出让",SUMPRODUCT(PRODUCT(1+M23:M$30)),SUMPRODUCT(PRODUCT(1+M23:M$29))),4)</f>
        <v>1.0144</v>
      </c>
      <c r="U23" s="3183">
        <f>ROUND(IF([2]项目基本情况!$B$8="出让",SUMPRODUCT(PRODUCT(1+N23:N$30)),SUMPRODUCT(PRODUCT(1+N23:N$29))),4)</f>
        <v>1.0467</v>
      </c>
      <c r="V23" s="3183"/>
      <c r="W23" s="3183">
        <f t="shared" ref="W23:W30" si="22">T23</f>
        <v>1.0144</v>
      </c>
      <c r="X23" s="3181"/>
      <c r="Y23" s="3184"/>
      <c r="Z23" s="3213">
        <f t="shared" ref="Z23:AD30" si="23">IF(E23=0,0,ROUND(AVERAGE(E23:E31)/100,4))</f>
        <v>0</v>
      </c>
      <c r="AA23" s="3215">
        <f t="shared" si="23"/>
        <v>0</v>
      </c>
      <c r="AB23" s="3184">
        <f t="shared" si="23"/>
        <v>0</v>
      </c>
      <c r="AC23" s="3214"/>
      <c r="AD23" s="3184">
        <f t="shared" si="23"/>
        <v>0</v>
      </c>
    </row>
    <row r="24" spans="1:30" s="3196" customFormat="1" ht="12.75">
      <c r="A24" s="3187" t="s">
        <v>3357</v>
      </c>
      <c r="B24" s="3188">
        <v>2022</v>
      </c>
      <c r="C24" s="3189">
        <v>3</v>
      </c>
      <c r="D24" s="3190"/>
      <c r="E24" s="3190">
        <v>0.3</v>
      </c>
      <c r="F24" s="3190">
        <v>0.28999999999999998</v>
      </c>
      <c r="G24" s="3190">
        <v>0.83</v>
      </c>
      <c r="H24" s="3191"/>
      <c r="I24" s="3192">
        <f t="shared" si="19"/>
        <v>0.28999999999999998</v>
      </c>
      <c r="J24" s="3193"/>
      <c r="K24" s="3194"/>
      <c r="L24" s="3195">
        <f t="shared" si="20"/>
        <v>3.0000000000000001E-3</v>
      </c>
      <c r="M24" s="3195">
        <f t="shared" si="20"/>
        <v>2.8999999999999998E-3</v>
      </c>
      <c r="N24" s="3195">
        <f t="shared" si="20"/>
        <v>8.3000000000000001E-3</v>
      </c>
      <c r="O24" s="3195"/>
      <c r="P24" s="3195">
        <f t="shared" si="21"/>
        <v>2.8999999999999998E-3</v>
      </c>
      <c r="Q24" s="3193"/>
      <c r="R24" s="3193"/>
      <c r="S24" s="3193">
        <f>ROUND(IF([2]项目基本情况!$B$8="出让",SUMPRODUCT(PRODUCT(1+L24:L$30)),SUMPRODUCT(PRODUCT(1+L24:L$29))),4)</f>
        <v>1.0241</v>
      </c>
      <c r="T24" s="3193">
        <f>ROUND(IF([2]项目基本情况!$B$8="出让",SUMPRODUCT(PRODUCT(1+M24:M$30)),SUMPRODUCT(PRODUCT(1+M24:M$29))),4)</f>
        <v>1.0144</v>
      </c>
      <c r="U24" s="3193">
        <f>ROUND(IF([2]项目基本情况!$B$8="出让",SUMPRODUCT(PRODUCT(1+N24:N$30)),SUMPRODUCT(PRODUCT(1+N24:N$29))),4)</f>
        <v>1.0467</v>
      </c>
      <c r="V24" s="3193"/>
      <c r="W24" s="3193">
        <f t="shared" si="22"/>
        <v>1.0144</v>
      </c>
      <c r="X24" s="3193"/>
      <c r="Y24" s="3195"/>
      <c r="Z24" s="3216">
        <f t="shared" si="23"/>
        <v>3.8999999999999998E-3</v>
      </c>
      <c r="AA24" s="3217">
        <f t="shared" si="23"/>
        <v>2.7000000000000001E-3</v>
      </c>
      <c r="AB24" s="3195">
        <f t="shared" si="23"/>
        <v>7.9000000000000008E-3</v>
      </c>
      <c r="AC24" s="3218"/>
      <c r="AD24" s="3195">
        <f t="shared" si="23"/>
        <v>2.7000000000000001E-3</v>
      </c>
    </row>
    <row r="25" spans="1:30" s="3185" customFormat="1" ht="12.75">
      <c r="A25" s="3176" t="s">
        <v>3356</v>
      </c>
      <c r="B25" s="3177">
        <v>2022</v>
      </c>
      <c r="C25" s="3178">
        <v>2</v>
      </c>
      <c r="D25" s="3179"/>
      <c r="E25" s="3179">
        <v>-0.11</v>
      </c>
      <c r="F25" s="3179">
        <v>-0.13</v>
      </c>
      <c r="G25" s="3179">
        <v>0.53</v>
      </c>
      <c r="H25" s="3197"/>
      <c r="I25" s="3180">
        <f t="shared" si="19"/>
        <v>-0.13</v>
      </c>
      <c r="J25" s="3181"/>
      <c r="K25" s="3182"/>
      <c r="L25" s="3172">
        <f t="shared" si="20"/>
        <v>-1.1000000000000001E-3</v>
      </c>
      <c r="M25" s="3172">
        <f t="shared" si="20"/>
        <v>-1.2999999999999999E-3</v>
      </c>
      <c r="N25" s="3172">
        <f t="shared" si="20"/>
        <v>5.3E-3</v>
      </c>
      <c r="O25" s="3172"/>
      <c r="P25" s="3172">
        <f t="shared" si="21"/>
        <v>-1.2999999999999999E-3</v>
      </c>
      <c r="Q25" s="3181"/>
      <c r="R25" s="3183"/>
      <c r="S25" s="3183">
        <f>ROUND(IF([2]项目基本情况!$B$8="出让",SUMPRODUCT(PRODUCT(1+L25:L$30)),SUMPRODUCT(PRODUCT(1+L25:L$29))),4)</f>
        <v>1.0210999999999999</v>
      </c>
      <c r="T25" s="3183">
        <f>ROUND(IF([2]项目基本情况!$B$8="出让",SUMPRODUCT(PRODUCT(1+M25:M$30)),SUMPRODUCT(PRODUCT(1+M25:M$29))),4)</f>
        <v>1.0114000000000001</v>
      </c>
      <c r="U25" s="3183">
        <f>ROUND(IF([2]项目基本情况!$B$8="出让",SUMPRODUCT(PRODUCT(1+N25:N$30)),SUMPRODUCT(PRODUCT(1+N25:N$29))),4)</f>
        <v>1.0381</v>
      </c>
      <c r="V25" s="3183"/>
      <c r="W25" s="3183">
        <f t="shared" si="22"/>
        <v>1.0114000000000001</v>
      </c>
      <c r="X25" s="3181"/>
      <c r="Y25" s="3184"/>
      <c r="Z25" s="3213">
        <f t="shared" si="23"/>
        <v>4.1000000000000003E-3</v>
      </c>
      <c r="AA25" s="3215">
        <f t="shared" si="23"/>
        <v>2.7000000000000001E-3</v>
      </c>
      <c r="AB25" s="3184">
        <f t="shared" si="23"/>
        <v>7.9000000000000008E-3</v>
      </c>
      <c r="AC25" s="3214"/>
      <c r="AD25" s="3184">
        <f t="shared" si="23"/>
        <v>2.7000000000000001E-3</v>
      </c>
    </row>
    <row r="26" spans="1:30" s="3185" customFormat="1" ht="12.75">
      <c r="A26" s="3176" t="s">
        <v>2834</v>
      </c>
      <c r="B26" s="3177">
        <v>2022</v>
      </c>
      <c r="C26" s="3178">
        <v>1</v>
      </c>
      <c r="D26" s="3179"/>
      <c r="E26" s="3179">
        <v>0.6</v>
      </c>
      <c r="F26" s="3179">
        <v>0.45</v>
      </c>
      <c r="G26" s="3179">
        <v>0.53</v>
      </c>
      <c r="H26" s="3197"/>
      <c r="I26" s="3180">
        <f t="shared" si="19"/>
        <v>0.45</v>
      </c>
      <c r="J26" s="3181"/>
      <c r="K26" s="3182"/>
      <c r="L26" s="3172">
        <f t="shared" si="20"/>
        <v>6.0000000000000001E-3</v>
      </c>
      <c r="M26" s="3172">
        <f t="shared" si="20"/>
        <v>4.5000000000000005E-3</v>
      </c>
      <c r="N26" s="3172">
        <f t="shared" si="20"/>
        <v>5.3E-3</v>
      </c>
      <c r="O26" s="3172"/>
      <c r="P26" s="3172">
        <f t="shared" si="21"/>
        <v>4.5000000000000005E-3</v>
      </c>
      <c r="Q26" s="3181"/>
      <c r="R26" s="3183"/>
      <c r="S26" s="3183">
        <f>ROUND(IF([2]项目基本情况!$B$8="出让",SUMPRODUCT(PRODUCT(1+L26:L$30)),SUMPRODUCT(PRODUCT(1+L26:L$29))),4)</f>
        <v>1.0222</v>
      </c>
      <c r="T26" s="3183">
        <f>ROUND(IF([2]项目基本情况!$B$8="出让",SUMPRODUCT(PRODUCT(1+M26:M$30)),SUMPRODUCT(PRODUCT(1+M26:M$29))),4)</f>
        <v>1.0127999999999999</v>
      </c>
      <c r="U26" s="3183">
        <f>ROUND(IF([2]项目基本情况!$B$8="出让",SUMPRODUCT(PRODUCT(1+N26:N$30)),SUMPRODUCT(PRODUCT(1+N26:N$29))),4)</f>
        <v>1.0326</v>
      </c>
      <c r="V26" s="3183"/>
      <c r="W26" s="3183">
        <f t="shared" si="22"/>
        <v>1.0127999999999999</v>
      </c>
      <c r="X26" s="3181"/>
      <c r="Y26" s="3184"/>
      <c r="Z26" s="3213">
        <f t="shared" si="23"/>
        <v>5.1000000000000004E-3</v>
      </c>
      <c r="AA26" s="3215">
        <f t="shared" si="23"/>
        <v>3.5000000000000001E-3</v>
      </c>
      <c r="AB26" s="3184">
        <f t="shared" si="23"/>
        <v>8.3999999999999995E-3</v>
      </c>
      <c r="AC26" s="3214"/>
      <c r="AD26" s="3184">
        <f t="shared" si="23"/>
        <v>3.5000000000000001E-3</v>
      </c>
    </row>
    <row r="27" spans="1:30" s="3185" customFormat="1" ht="12.75">
      <c r="A27" s="3176" t="s">
        <v>2835</v>
      </c>
      <c r="B27" s="3177">
        <v>2021</v>
      </c>
      <c r="C27" s="3178">
        <v>4</v>
      </c>
      <c r="D27" s="3179"/>
      <c r="E27" s="3179">
        <v>0.57999999999999996</v>
      </c>
      <c r="F27" s="3179">
        <v>0.08</v>
      </c>
      <c r="G27" s="3179">
        <v>0.68</v>
      </c>
      <c r="H27" s="3197"/>
      <c r="I27" s="3180">
        <f t="shared" si="19"/>
        <v>0.08</v>
      </c>
      <c r="J27" s="3181"/>
      <c r="K27" s="3182"/>
      <c r="L27" s="3172">
        <f t="shared" si="20"/>
        <v>5.7999999999999996E-3</v>
      </c>
      <c r="M27" s="3172">
        <f t="shared" si="20"/>
        <v>8.0000000000000004E-4</v>
      </c>
      <c r="N27" s="3172">
        <f t="shared" si="20"/>
        <v>6.8000000000000005E-3</v>
      </c>
      <c r="O27" s="3172"/>
      <c r="P27" s="3172">
        <f t="shared" si="21"/>
        <v>8.0000000000000004E-4</v>
      </c>
      <c r="Q27" s="3181"/>
      <c r="R27" s="3183"/>
      <c r="S27" s="3183">
        <f>ROUND(IF([2]项目基本情况!$B$8="出让",SUMPRODUCT(PRODUCT(1+L27:L$30)),SUMPRODUCT(PRODUCT(1+L27:L$29))),4)</f>
        <v>1.0161</v>
      </c>
      <c r="T27" s="3183">
        <f>ROUND(IF([2]项目基本情况!$B$8="出让",SUMPRODUCT(PRODUCT(1+M27:M$30)),SUMPRODUCT(PRODUCT(1+M27:M$29))),4)</f>
        <v>1.0082</v>
      </c>
      <c r="U27" s="3183">
        <f>ROUND(IF([2]项目基本情况!$B$8="出让",SUMPRODUCT(PRODUCT(1+N27:N$30)),SUMPRODUCT(PRODUCT(1+N27:N$29))),4)</f>
        <v>1.0270999999999999</v>
      </c>
      <c r="V27" s="3183"/>
      <c r="W27" s="3183">
        <f t="shared" si="22"/>
        <v>1.0082</v>
      </c>
      <c r="X27" s="3181"/>
      <c r="Y27" s="3184"/>
      <c r="Z27" s="3213">
        <f t="shared" si="23"/>
        <v>4.8999999999999998E-3</v>
      </c>
      <c r="AA27" s="3215">
        <f t="shared" si="23"/>
        <v>3.3E-3</v>
      </c>
      <c r="AB27" s="3184">
        <f t="shared" si="23"/>
        <v>9.1999999999999998E-3</v>
      </c>
      <c r="AC27" s="3214"/>
      <c r="AD27" s="3184">
        <f t="shared" si="23"/>
        <v>3.3E-3</v>
      </c>
    </row>
    <row r="28" spans="1:30" s="3185" customFormat="1" ht="12.75">
      <c r="A28" s="3176" t="s">
        <v>2836</v>
      </c>
      <c r="B28" s="3177">
        <v>2021</v>
      </c>
      <c r="C28" s="3178">
        <v>3</v>
      </c>
      <c r="D28" s="3179"/>
      <c r="E28" s="3179">
        <v>0.47</v>
      </c>
      <c r="F28" s="3179">
        <v>0.28000000000000003</v>
      </c>
      <c r="G28" s="3179">
        <v>0.91</v>
      </c>
      <c r="H28" s="3197"/>
      <c r="I28" s="3180">
        <f t="shared" si="19"/>
        <v>0.28000000000000003</v>
      </c>
      <c r="J28" s="3181"/>
      <c r="K28" s="3182"/>
      <c r="L28" s="3172">
        <f t="shared" si="20"/>
        <v>4.6999999999999993E-3</v>
      </c>
      <c r="M28" s="3172">
        <f t="shared" si="20"/>
        <v>2.8000000000000004E-3</v>
      </c>
      <c r="N28" s="3172">
        <f t="shared" si="20"/>
        <v>9.1000000000000004E-3</v>
      </c>
      <c r="O28" s="3172"/>
      <c r="P28" s="3172">
        <f t="shared" si="21"/>
        <v>2.8000000000000004E-3</v>
      </c>
      <c r="Q28" s="3181"/>
      <c r="R28" s="3183"/>
      <c r="S28" s="3183">
        <f>ROUND(IF([2]项目基本情况!$B$8="出让",SUMPRODUCT(PRODUCT(1+L28:L$30)),SUMPRODUCT(PRODUCT(1+L28:L$29))),4)</f>
        <v>1.0102</v>
      </c>
      <c r="T28" s="3183">
        <f>ROUND(IF([2]项目基本情况!$B$8="出让",SUMPRODUCT(PRODUCT(1+M28:M$30)),SUMPRODUCT(PRODUCT(1+M28:M$29))),4)</f>
        <v>1.0074000000000001</v>
      </c>
      <c r="U28" s="3183">
        <f>ROUND(IF([2]项目基本情况!$B$8="出让",SUMPRODUCT(PRODUCT(1+N28:N$30)),SUMPRODUCT(PRODUCT(1+N28:N$29))),4)</f>
        <v>1.0202</v>
      </c>
      <c r="V28" s="3183"/>
      <c r="W28" s="3183">
        <f t="shared" si="22"/>
        <v>1.0074000000000001</v>
      </c>
      <c r="X28" s="3181"/>
      <c r="Y28" s="3184"/>
      <c r="Z28" s="3213">
        <f t="shared" si="23"/>
        <v>4.5999999999999999E-3</v>
      </c>
      <c r="AA28" s="3215">
        <f t="shared" si="23"/>
        <v>4.1000000000000003E-3</v>
      </c>
      <c r="AB28" s="3184">
        <f t="shared" si="23"/>
        <v>0.01</v>
      </c>
      <c r="AC28" s="3214"/>
      <c r="AD28" s="3184">
        <f t="shared" si="23"/>
        <v>4.1000000000000003E-3</v>
      </c>
    </row>
    <row r="29" spans="1:30" s="3185" customFormat="1" ht="12.75">
      <c r="A29" s="3176" t="s">
        <v>2837</v>
      </c>
      <c r="B29" s="3177">
        <v>2021</v>
      </c>
      <c r="C29" s="3178">
        <v>2</v>
      </c>
      <c r="D29" s="3179"/>
      <c r="E29" s="3179">
        <v>0.55000000000000004</v>
      </c>
      <c r="F29" s="3179">
        <v>0.46</v>
      </c>
      <c r="G29" s="3179">
        <v>1.1000000000000001</v>
      </c>
      <c r="H29" s="3197"/>
      <c r="I29" s="3180">
        <f t="shared" si="19"/>
        <v>0.46</v>
      </c>
      <c r="J29" s="3181"/>
      <c r="K29" s="3182"/>
      <c r="L29" s="3172">
        <f t="shared" si="20"/>
        <v>5.5000000000000005E-3</v>
      </c>
      <c r="M29" s="3172">
        <f t="shared" si="20"/>
        <v>4.5999999999999999E-3</v>
      </c>
      <c r="N29" s="3172">
        <f t="shared" si="20"/>
        <v>1.1000000000000001E-2</v>
      </c>
      <c r="O29" s="3172"/>
      <c r="P29" s="3172">
        <f t="shared" si="21"/>
        <v>4.5999999999999999E-3</v>
      </c>
      <c r="Q29" s="3181"/>
      <c r="R29" s="3183"/>
      <c r="S29" s="3183">
        <f>ROUND(IF([2]项目基本情况!$B$8="出让",SUMPRODUCT(PRODUCT(1+L29:L$30)),SUMPRODUCT(PRODUCT(1+L29:L$29))),4)</f>
        <v>1.0055000000000001</v>
      </c>
      <c r="T29" s="3183">
        <f>ROUND(IF([2]项目基本情况!$B$8="出让",SUMPRODUCT(PRODUCT(1+M29:M$30)),SUMPRODUCT(PRODUCT(1+M29:M$29))),4)</f>
        <v>1.0045999999999999</v>
      </c>
      <c r="U29" s="3183">
        <f>ROUND(IF([2]项目基本情况!$B$8="出让",SUMPRODUCT(PRODUCT(1+N29:N$30)),SUMPRODUCT(PRODUCT(1+N29:N$29))),4)</f>
        <v>1.0109999999999999</v>
      </c>
      <c r="V29" s="3183"/>
      <c r="W29" s="3183">
        <f t="shared" si="22"/>
        <v>1.0045999999999999</v>
      </c>
      <c r="X29" s="3181"/>
      <c r="Y29" s="3184"/>
      <c r="Z29" s="3213">
        <f t="shared" si="23"/>
        <v>4.4999999999999997E-3</v>
      </c>
      <c r="AA29" s="3215">
        <f t="shared" si="23"/>
        <v>4.7000000000000002E-3</v>
      </c>
      <c r="AB29" s="3184">
        <f t="shared" si="23"/>
        <v>1.04E-2</v>
      </c>
      <c r="AC29" s="3214"/>
      <c r="AD29" s="3184">
        <f t="shared" si="23"/>
        <v>4.7000000000000002E-3</v>
      </c>
    </row>
    <row r="30" spans="1:30" s="3208" customFormat="1" thickBot="1">
      <c r="A30" s="3198" t="s">
        <v>2820</v>
      </c>
      <c r="B30" s="3199">
        <v>2021</v>
      </c>
      <c r="C30" s="3200">
        <v>1</v>
      </c>
      <c r="D30" s="3201"/>
      <c r="E30" s="3201">
        <v>0.35</v>
      </c>
      <c r="F30" s="3201">
        <v>0.48</v>
      </c>
      <c r="G30" s="3201">
        <v>0.98</v>
      </c>
      <c r="H30" s="3202"/>
      <c r="I30" s="3203">
        <f t="shared" si="19"/>
        <v>0.48</v>
      </c>
      <c r="J30" s="3204"/>
      <c r="K30" s="3205"/>
      <c r="L30" s="3206">
        <f t="shared" si="20"/>
        <v>3.4999999999999996E-3</v>
      </c>
      <c r="M30" s="3206">
        <f>F30/100</f>
        <v>4.7999999999999996E-3</v>
      </c>
      <c r="N30" s="3206">
        <f t="shared" si="20"/>
        <v>9.7999999999999997E-3</v>
      </c>
      <c r="O30" s="3206"/>
      <c r="P30" s="3206">
        <f t="shared" si="21"/>
        <v>4.7999999999999996E-3</v>
      </c>
      <c r="Q30" s="3204"/>
      <c r="R30" s="3207"/>
      <c r="S30" s="3207">
        <v>1</v>
      </c>
      <c r="T30" s="3207">
        <v>1</v>
      </c>
      <c r="U30" s="3207">
        <v>1</v>
      </c>
      <c r="V30" s="3207"/>
      <c r="W30" s="3207">
        <f t="shared" si="22"/>
        <v>1</v>
      </c>
      <c r="X30" s="3204"/>
      <c r="Y30" s="3206"/>
      <c r="Z30" s="3219">
        <f t="shared" si="23"/>
        <v>3.5000000000000001E-3</v>
      </c>
      <c r="AA30" s="3220">
        <f t="shared" si="23"/>
        <v>4.7999999999999996E-3</v>
      </c>
      <c r="AB30" s="3206">
        <f t="shared" si="23"/>
        <v>9.7999999999999997E-3</v>
      </c>
      <c r="AC30" s="3221"/>
      <c r="AD30" s="3206">
        <f t="shared" si="23"/>
        <v>4.7999999999999996E-3</v>
      </c>
    </row>
    <row r="31" spans="1:30" ht="14.25" thickTop="1"/>
  </sheetData>
  <sheetProtection password="CEE9" sheet="1" objects="1" scenarios="1"/>
  <mergeCells count="4">
    <mergeCell ref="R18:W18"/>
    <mergeCell ref="Y18:AD18"/>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1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1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0" t="s">
        <v>452</v>
      </c>
      <c r="C1" s="3790"/>
      <c r="D1" s="3790"/>
      <c r="E1" s="3790"/>
      <c r="F1" s="3790"/>
      <c r="G1" s="3786" t="s">
        <v>453</v>
      </c>
      <c r="H1" s="3786"/>
      <c r="I1" s="3786"/>
      <c r="J1" s="3786"/>
      <c r="K1" s="3786"/>
      <c r="L1" s="3786"/>
      <c r="N1" s="3786" t="s">
        <v>454</v>
      </c>
      <c r="O1" s="3786"/>
      <c r="P1" s="3786"/>
      <c r="Q1" s="3786"/>
      <c r="S1" s="3786" t="s">
        <v>455</v>
      </c>
      <c r="T1" s="3786"/>
      <c r="U1" s="3786"/>
      <c r="V1" s="3786"/>
      <c r="X1" s="3785" t="s">
        <v>456</v>
      </c>
      <c r="Y1" s="3786"/>
      <c r="Z1" s="3786"/>
      <c r="AA1" s="3786"/>
      <c r="AB1" s="3786"/>
      <c r="AD1" s="3785" t="s">
        <v>457</v>
      </c>
      <c r="AE1" s="3786"/>
      <c r="AF1" s="3786"/>
      <c r="AG1" s="3786"/>
      <c r="AH1" s="3786"/>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3365</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9">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3362</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9">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3363</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9">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3364</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9">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2307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2306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2305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2303</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2302</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8">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8"/>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8"/>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5"/>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91">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8"/>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8"/>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5"/>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91">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8"/>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8"/>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9"/>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7">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8"/>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8"/>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9"/>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7">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8"/>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8"/>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9"/>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92">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3"/>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3"/>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4"/>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7">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8"/>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8"/>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9"/>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7">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8">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8">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9">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7">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8">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8">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9">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7">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8">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8">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9">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7">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8">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8">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9">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7">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8">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8">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9">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7">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8">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8">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9">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7">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8">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8">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9">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7">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8">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8">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9">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7">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8">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8">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9">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7">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8">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8">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9">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8.875" defaultRowHeight="13.5"/>
  <cols>
    <col min="1" max="1" width="4.875" style="1242" customWidth="1"/>
    <col min="2" max="2" width="13.1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125" style="1248" customWidth="1"/>
    <col min="9" max="9" width="9" style="1248"/>
    <col min="10" max="10" width="9.375" style="1248" bestFit="1" customWidth="1"/>
    <col min="11" max="11" width="4" style="1242" customWidth="1"/>
    <col min="12" max="12" width="5.125" style="1248" customWidth="1"/>
    <col min="13" max="13" width="13.625" style="1248" customWidth="1"/>
    <col min="14" max="256" width="9" style="1248"/>
    <col min="257" max="257" width="4.875" style="1239" customWidth="1"/>
    <col min="258" max="258" width="13.1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625" style="1239" customWidth="1"/>
    <col min="270" max="512" width="9" style="1239"/>
    <col min="513" max="513" width="4.875" style="1239" customWidth="1"/>
    <col min="514" max="514" width="13.1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625" style="1239" customWidth="1"/>
    <col min="526" max="768" width="9" style="1239"/>
    <col min="769" max="769" width="4.875" style="1239" customWidth="1"/>
    <col min="770" max="770" width="13.1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625" style="1239" customWidth="1"/>
    <col min="782" max="1024" width="9" style="1239"/>
    <col min="1025" max="1025" width="4.875" style="1239" customWidth="1"/>
    <col min="1026" max="1026" width="13.1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625" style="1239" customWidth="1"/>
    <col min="1038" max="1280" width="9" style="1239"/>
    <col min="1281" max="1281" width="4.875" style="1239" customWidth="1"/>
    <col min="1282" max="1282" width="13.1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625" style="1239" customWidth="1"/>
    <col min="1294" max="1536" width="9" style="1239"/>
    <col min="1537" max="1537" width="4.875" style="1239" customWidth="1"/>
    <col min="1538" max="1538" width="13.1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625" style="1239" customWidth="1"/>
    <col min="1550" max="1792" width="9" style="1239"/>
    <col min="1793" max="1793" width="4.875" style="1239" customWidth="1"/>
    <col min="1794" max="1794" width="13.1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625" style="1239" customWidth="1"/>
    <col min="1806" max="2048" width="9" style="1239"/>
    <col min="2049" max="2049" width="4.875" style="1239" customWidth="1"/>
    <col min="2050" max="2050" width="13.1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625" style="1239" customWidth="1"/>
    <col min="2062" max="2304" width="9" style="1239"/>
    <col min="2305" max="2305" width="4.875" style="1239" customWidth="1"/>
    <col min="2306" max="2306" width="13.1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625" style="1239" customWidth="1"/>
    <col min="2318" max="2560" width="9" style="1239"/>
    <col min="2561" max="2561" width="4.875" style="1239" customWidth="1"/>
    <col min="2562" max="2562" width="13.1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625" style="1239" customWidth="1"/>
    <col min="2574" max="2816" width="9" style="1239"/>
    <col min="2817" max="2817" width="4.875" style="1239" customWidth="1"/>
    <col min="2818" max="2818" width="13.1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625" style="1239" customWidth="1"/>
    <col min="2830" max="3072" width="9" style="1239"/>
    <col min="3073" max="3073" width="4.875" style="1239" customWidth="1"/>
    <col min="3074" max="3074" width="13.1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625" style="1239" customWidth="1"/>
    <col min="3086" max="3328" width="9" style="1239"/>
    <col min="3329" max="3329" width="4.875" style="1239" customWidth="1"/>
    <col min="3330" max="3330" width="13.1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625" style="1239" customWidth="1"/>
    <col min="3342" max="3584" width="9" style="1239"/>
    <col min="3585" max="3585" width="4.875" style="1239" customWidth="1"/>
    <col min="3586" max="3586" width="13.1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625" style="1239" customWidth="1"/>
    <col min="3598" max="3840" width="9" style="1239"/>
    <col min="3841" max="3841" width="4.875" style="1239" customWidth="1"/>
    <col min="3842" max="3842" width="13.1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625" style="1239" customWidth="1"/>
    <col min="3854" max="4096" width="9" style="1239"/>
    <col min="4097" max="4097" width="4.875" style="1239" customWidth="1"/>
    <col min="4098" max="4098" width="13.1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625" style="1239" customWidth="1"/>
    <col min="4110" max="4352" width="9" style="1239"/>
    <col min="4353" max="4353" width="4.875" style="1239" customWidth="1"/>
    <col min="4354" max="4354" width="13.1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625" style="1239" customWidth="1"/>
    <col min="4366" max="4608" width="9" style="1239"/>
    <col min="4609" max="4609" width="4.875" style="1239" customWidth="1"/>
    <col min="4610" max="4610" width="13.1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625" style="1239" customWidth="1"/>
    <col min="4622" max="4864" width="9" style="1239"/>
    <col min="4865" max="4865" width="4.875" style="1239" customWidth="1"/>
    <col min="4866" max="4866" width="13.1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625" style="1239" customWidth="1"/>
    <col min="4878" max="5120" width="9" style="1239"/>
    <col min="5121" max="5121" width="4.875" style="1239" customWidth="1"/>
    <col min="5122" max="5122" width="13.1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625" style="1239" customWidth="1"/>
    <col min="5134" max="5376" width="9" style="1239"/>
    <col min="5377" max="5377" width="4.875" style="1239" customWidth="1"/>
    <col min="5378" max="5378" width="13.1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625" style="1239" customWidth="1"/>
    <col min="5390" max="5632" width="9" style="1239"/>
    <col min="5633" max="5633" width="4.875" style="1239" customWidth="1"/>
    <col min="5634" max="5634" width="13.1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625" style="1239" customWidth="1"/>
    <col min="5646" max="5888" width="9" style="1239"/>
    <col min="5889" max="5889" width="4.875" style="1239" customWidth="1"/>
    <col min="5890" max="5890" width="13.1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625" style="1239" customWidth="1"/>
    <col min="5902" max="6144" width="9" style="1239"/>
    <col min="6145" max="6145" width="4.875" style="1239" customWidth="1"/>
    <col min="6146" max="6146" width="13.1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625" style="1239" customWidth="1"/>
    <col min="6158" max="6400" width="9" style="1239"/>
    <col min="6401" max="6401" width="4.875" style="1239" customWidth="1"/>
    <col min="6402" max="6402" width="13.1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625" style="1239" customWidth="1"/>
    <col min="6414" max="6656" width="9" style="1239"/>
    <col min="6657" max="6657" width="4.875" style="1239" customWidth="1"/>
    <col min="6658" max="6658" width="13.1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625" style="1239" customWidth="1"/>
    <col min="6670" max="6912" width="9" style="1239"/>
    <col min="6913" max="6913" width="4.875" style="1239" customWidth="1"/>
    <col min="6914" max="6914" width="13.1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625" style="1239" customWidth="1"/>
    <col min="6926" max="7168" width="9" style="1239"/>
    <col min="7169" max="7169" width="4.875" style="1239" customWidth="1"/>
    <col min="7170" max="7170" width="13.1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625" style="1239" customWidth="1"/>
    <col min="7182" max="7424" width="9" style="1239"/>
    <col min="7425" max="7425" width="4.875" style="1239" customWidth="1"/>
    <col min="7426" max="7426" width="13.1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625" style="1239" customWidth="1"/>
    <col min="7438" max="7680" width="9" style="1239"/>
    <col min="7681" max="7681" width="4.875" style="1239" customWidth="1"/>
    <col min="7682" max="7682" width="13.1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625" style="1239" customWidth="1"/>
    <col min="7694" max="7936" width="9" style="1239"/>
    <col min="7937" max="7937" width="4.875" style="1239" customWidth="1"/>
    <col min="7938" max="7938" width="13.1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625" style="1239" customWidth="1"/>
    <col min="7950" max="8192" width="9" style="1239"/>
    <col min="8193" max="8193" width="4.875" style="1239" customWidth="1"/>
    <col min="8194" max="8194" width="13.1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625" style="1239" customWidth="1"/>
    <col min="8206" max="8448" width="9" style="1239"/>
    <col min="8449" max="8449" width="4.875" style="1239" customWidth="1"/>
    <col min="8450" max="8450" width="13.1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625" style="1239" customWidth="1"/>
    <col min="8462" max="8704" width="9" style="1239"/>
    <col min="8705" max="8705" width="4.875" style="1239" customWidth="1"/>
    <col min="8706" max="8706" width="13.1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625" style="1239" customWidth="1"/>
    <col min="8718" max="8960" width="9" style="1239"/>
    <col min="8961" max="8961" width="4.875" style="1239" customWidth="1"/>
    <col min="8962" max="8962" width="13.1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625" style="1239" customWidth="1"/>
    <col min="8974" max="9216" width="9" style="1239"/>
    <col min="9217" max="9217" width="4.875" style="1239" customWidth="1"/>
    <col min="9218" max="9218" width="13.1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625" style="1239" customWidth="1"/>
    <col min="9230" max="9472" width="9" style="1239"/>
    <col min="9473" max="9473" width="4.875" style="1239" customWidth="1"/>
    <col min="9474" max="9474" width="13.1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625" style="1239" customWidth="1"/>
    <col min="9486" max="9728" width="9" style="1239"/>
    <col min="9729" max="9729" width="4.875" style="1239" customWidth="1"/>
    <col min="9730" max="9730" width="13.1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625" style="1239" customWidth="1"/>
    <col min="9742" max="9984" width="9" style="1239"/>
    <col min="9985" max="9985" width="4.875" style="1239" customWidth="1"/>
    <col min="9986" max="9986" width="13.1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625" style="1239" customWidth="1"/>
    <col min="9998" max="10240" width="9" style="1239"/>
    <col min="10241" max="10241" width="4.875" style="1239" customWidth="1"/>
    <col min="10242" max="10242" width="13.1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625" style="1239" customWidth="1"/>
    <col min="10254" max="10496" width="9" style="1239"/>
    <col min="10497" max="10497" width="4.875" style="1239" customWidth="1"/>
    <col min="10498" max="10498" width="13.1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625" style="1239" customWidth="1"/>
    <col min="10510" max="10752" width="9" style="1239"/>
    <col min="10753" max="10753" width="4.875" style="1239" customWidth="1"/>
    <col min="10754" max="10754" width="13.1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625" style="1239" customWidth="1"/>
    <col min="10766" max="11008" width="9" style="1239"/>
    <col min="11009" max="11009" width="4.875" style="1239" customWidth="1"/>
    <col min="11010" max="11010" width="13.1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625" style="1239" customWidth="1"/>
    <col min="11022" max="11264" width="9" style="1239"/>
    <col min="11265" max="11265" width="4.875" style="1239" customWidth="1"/>
    <col min="11266" max="11266" width="13.1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625" style="1239" customWidth="1"/>
    <col min="11278" max="11520" width="9" style="1239"/>
    <col min="11521" max="11521" width="4.875" style="1239" customWidth="1"/>
    <col min="11522" max="11522" width="13.1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625" style="1239" customWidth="1"/>
    <col min="11534" max="11776" width="9" style="1239"/>
    <col min="11777" max="11777" width="4.875" style="1239" customWidth="1"/>
    <col min="11778" max="11778" width="13.1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625" style="1239" customWidth="1"/>
    <col min="11790" max="12032" width="9" style="1239"/>
    <col min="12033" max="12033" width="4.875" style="1239" customWidth="1"/>
    <col min="12034" max="12034" width="13.1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625" style="1239" customWidth="1"/>
    <col min="12046" max="12288" width="9" style="1239"/>
    <col min="12289" max="12289" width="4.875" style="1239" customWidth="1"/>
    <col min="12290" max="12290" width="13.1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625" style="1239" customWidth="1"/>
    <col min="12302" max="12544" width="9" style="1239"/>
    <col min="12545" max="12545" width="4.875" style="1239" customWidth="1"/>
    <col min="12546" max="12546" width="13.1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625" style="1239" customWidth="1"/>
    <col min="12558" max="12800" width="9" style="1239"/>
    <col min="12801" max="12801" width="4.875" style="1239" customWidth="1"/>
    <col min="12802" max="12802" width="13.1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625" style="1239" customWidth="1"/>
    <col min="12814" max="13056" width="9" style="1239"/>
    <col min="13057" max="13057" width="4.875" style="1239" customWidth="1"/>
    <col min="13058" max="13058" width="13.1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625" style="1239" customWidth="1"/>
    <col min="13070" max="13312" width="9" style="1239"/>
    <col min="13313" max="13313" width="4.875" style="1239" customWidth="1"/>
    <col min="13314" max="13314" width="13.1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625" style="1239" customWidth="1"/>
    <col min="13326" max="13568" width="9" style="1239"/>
    <col min="13569" max="13569" width="4.875" style="1239" customWidth="1"/>
    <col min="13570" max="13570" width="13.1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625" style="1239" customWidth="1"/>
    <col min="13582" max="13824" width="9" style="1239"/>
    <col min="13825" max="13825" width="4.875" style="1239" customWidth="1"/>
    <col min="13826" max="13826" width="13.1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625" style="1239" customWidth="1"/>
    <col min="13838" max="14080" width="9" style="1239"/>
    <col min="14081" max="14081" width="4.875" style="1239" customWidth="1"/>
    <col min="14082" max="14082" width="13.1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625" style="1239" customWidth="1"/>
    <col min="14094" max="14336" width="9" style="1239"/>
    <col min="14337" max="14337" width="4.875" style="1239" customWidth="1"/>
    <col min="14338" max="14338" width="13.1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625" style="1239" customWidth="1"/>
    <col min="14350" max="14592" width="9" style="1239"/>
    <col min="14593" max="14593" width="4.875" style="1239" customWidth="1"/>
    <col min="14594" max="14594" width="13.1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625" style="1239" customWidth="1"/>
    <col min="14606" max="14848" width="9" style="1239"/>
    <col min="14849" max="14849" width="4.875" style="1239" customWidth="1"/>
    <col min="14850" max="14850" width="13.1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625" style="1239" customWidth="1"/>
    <col min="14862" max="15104" width="9" style="1239"/>
    <col min="15105" max="15105" width="4.875" style="1239" customWidth="1"/>
    <col min="15106" max="15106" width="13.1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625" style="1239" customWidth="1"/>
    <col min="15118" max="15360" width="9" style="1239"/>
    <col min="15361" max="15361" width="4.875" style="1239" customWidth="1"/>
    <col min="15362" max="15362" width="13.1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625" style="1239" customWidth="1"/>
    <col min="15374" max="15616" width="9" style="1239"/>
    <col min="15617" max="15617" width="4.875" style="1239" customWidth="1"/>
    <col min="15618" max="15618" width="13.1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625" style="1239" customWidth="1"/>
    <col min="15630" max="15872" width="9" style="1239"/>
    <col min="15873" max="15873" width="4.875" style="1239" customWidth="1"/>
    <col min="15874" max="15874" width="13.1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625" style="1239" customWidth="1"/>
    <col min="15886" max="16128" width="9" style="1239"/>
    <col min="16129" max="16129" width="4.875" style="1239" customWidth="1"/>
    <col min="16130" max="16130" width="13.1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625" style="1239" customWidth="1"/>
    <col min="16142" max="16384" width="9" style="1239"/>
  </cols>
  <sheetData>
    <row r="1" spans="1:257" s="1301" customFormat="1" ht="14.25" thickBot="1">
      <c r="A1" s="1295"/>
      <c r="B1" s="1302" t="s">
        <v>602</v>
      </c>
      <c r="C1" s="1296">
        <f>项目基本情况!D3</f>
        <v>44916</v>
      </c>
      <c r="D1" s="1302" t="s">
        <v>603</v>
      </c>
      <c r="E1" s="1297">
        <f>'数据-取费表'!B22</f>
        <v>1.5</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44795</v>
      </c>
      <c r="D13" s="2822">
        <v>3.65</v>
      </c>
      <c r="E13" s="2822">
        <f>D13</f>
        <v>3.65</v>
      </c>
      <c r="F13" s="2822">
        <f>D13</f>
        <v>3.65</v>
      </c>
      <c r="G13" s="2822">
        <f>D13</f>
        <v>3.65</v>
      </c>
      <c r="H13" s="2822">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44701</v>
      </c>
      <c r="D14" s="2817">
        <v>3.7</v>
      </c>
      <c r="E14" s="2817">
        <f>D14</f>
        <v>3.7</v>
      </c>
      <c r="F14" s="2817">
        <f>D14</f>
        <v>3.7</v>
      </c>
      <c r="G14" s="2817">
        <f>D14</f>
        <v>3.7</v>
      </c>
      <c r="H14" s="2817">
        <v>4.45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44581</v>
      </c>
      <c r="D15" s="2817">
        <v>3.7</v>
      </c>
      <c r="E15" s="2817">
        <f>D15</f>
        <v>3.7</v>
      </c>
      <c r="F15" s="2817">
        <f>D15</f>
        <v>3.7</v>
      </c>
      <c r="G15" s="2817">
        <f>D15</f>
        <v>3.7</v>
      </c>
      <c r="H15" s="2817">
        <v>4.5999999999999996</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7"/>
      <c r="C16" s="2818">
        <v>44550</v>
      </c>
      <c r="D16" s="2817">
        <v>3.8</v>
      </c>
      <c r="E16" s="2817">
        <f>D16</f>
        <v>3.8</v>
      </c>
      <c r="F16" s="2817">
        <f>D16</f>
        <v>3.8</v>
      </c>
      <c r="G16" s="2817">
        <f>D16</f>
        <v>3.8</v>
      </c>
      <c r="H16" s="2817">
        <v>4.6500000000000004</v>
      </c>
      <c r="I16" s="2817"/>
      <c r="J16" s="2822"/>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43941</v>
      </c>
      <c r="D17" s="2817">
        <v>3.85</v>
      </c>
      <c r="E17" s="2817">
        <v>3.85</v>
      </c>
      <c r="F17" s="2817">
        <v>3.85</v>
      </c>
      <c r="G17" s="2817">
        <v>3.85</v>
      </c>
      <c r="H17" s="2817">
        <v>4.6500000000000004</v>
      </c>
      <c r="I17" s="2817"/>
      <c r="J17" s="2817"/>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43881</v>
      </c>
      <c r="D18" s="2817">
        <v>4.05</v>
      </c>
      <c r="E18" s="2817">
        <v>4.05</v>
      </c>
      <c r="F18" s="2817">
        <v>4.05</v>
      </c>
      <c r="G18" s="2817">
        <v>4.05</v>
      </c>
      <c r="H18" s="2817">
        <v>4.75</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43789</v>
      </c>
      <c r="D19" s="2817">
        <v>4.1500000000000004</v>
      </c>
      <c r="E19" s="2817">
        <v>4.1500000000000004</v>
      </c>
      <c r="F19" s="2817">
        <v>4.1500000000000004</v>
      </c>
      <c r="G19" s="2817">
        <v>4.1500000000000004</v>
      </c>
      <c r="H19" s="2817">
        <v>4.8</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43728</v>
      </c>
      <c r="D20" s="2817">
        <v>4.2</v>
      </c>
      <c r="E20" s="2817">
        <v>4.2</v>
      </c>
      <c r="F20" s="2817">
        <v>4.2</v>
      </c>
      <c r="G20" s="2817">
        <v>4.2</v>
      </c>
      <c r="H20" s="2817">
        <v>4.8499999999999996</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t="s">
        <v>2304</v>
      </c>
      <c r="C21" s="2819">
        <v>43697</v>
      </c>
      <c r="D21" s="2820">
        <v>4.25</v>
      </c>
      <c r="E21" s="2820">
        <v>4.25</v>
      </c>
      <c r="F21" s="2820">
        <v>4.25</v>
      </c>
      <c r="G21" s="2820">
        <v>4.25</v>
      </c>
      <c r="H21" s="2820">
        <v>4.8499999999999996</v>
      </c>
      <c r="I21" s="2820"/>
      <c r="J21" s="2820"/>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3"/>
      <c r="B22" s="2824"/>
      <c r="C22" s="2825">
        <v>42301</v>
      </c>
      <c r="D22" s="2826">
        <v>4.3499999999999996</v>
      </c>
      <c r="E22" s="2826">
        <v>4.3499999999999996</v>
      </c>
      <c r="F22" s="2826">
        <v>4.75</v>
      </c>
      <c r="G22" s="2826">
        <v>4.75</v>
      </c>
      <c r="H22" s="2826">
        <v>4.9000000000000004</v>
      </c>
      <c r="I22" s="2826"/>
      <c r="J22" s="2826"/>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8" t="str">
        <f>IF(项目基本情况!B9="房地产市场价值","估价结果一览表","结果表-2")</f>
        <v>结果表-2</v>
      </c>
      <c r="B1" s="3468"/>
      <c r="C1" s="3468"/>
      <c r="D1" s="3468"/>
      <c r="E1" s="3468"/>
      <c r="F1" s="3468"/>
      <c r="G1" s="3468"/>
      <c r="H1" s="3468"/>
      <c r="I1" s="3468"/>
    </row>
    <row r="2" spans="1:9" ht="30" customHeight="1" thickTop="1">
      <c r="A2" s="3469" t="s">
        <v>928</v>
      </c>
      <c r="B2" s="3469" t="s">
        <v>929</v>
      </c>
      <c r="C2" s="3469" t="s">
        <v>930</v>
      </c>
      <c r="D2" s="3469" t="str">
        <f>结果表!D116</f>
        <v>出让国有建设用地使用权价值</v>
      </c>
      <c r="E2" s="3469"/>
      <c r="F2" s="3469" t="str">
        <f>结果表!F116</f>
        <v>在建建筑物价值</v>
      </c>
      <c r="G2" s="3469"/>
      <c r="H2" s="3469" t="str">
        <f>IF(项目基本情况!B9="房地产市场价值","房地产市场价值","房地产价值")</f>
        <v>房地产价值</v>
      </c>
      <c r="I2" s="3469"/>
    </row>
    <row r="3" spans="1:9" ht="15">
      <c r="A3" s="3470"/>
      <c r="B3" s="3470"/>
      <c r="C3" s="3470"/>
      <c r="D3" s="854" t="s">
        <v>925</v>
      </c>
      <c r="E3" s="854" t="s">
        <v>931</v>
      </c>
      <c r="F3" s="854" t="s">
        <v>925</v>
      </c>
      <c r="G3" s="854" t="s">
        <v>926</v>
      </c>
      <c r="H3" s="854" t="s">
        <v>925</v>
      </c>
      <c r="I3" s="854" t="s">
        <v>926</v>
      </c>
    </row>
    <row r="4" spans="1:9" ht="15">
      <c r="A4" s="1505" t="str">
        <f>项目基本情况!S2</f>
        <v>北京市房地产</v>
      </c>
      <c r="B4" s="854">
        <f>项目基本情况!C17</f>
        <v>25739.82</v>
      </c>
      <c r="C4" s="854">
        <f>项目基本情况!C18</f>
        <v>74231.63</v>
      </c>
      <c r="D4" s="854">
        <f ca="1">结果表!D118</f>
        <v>6674</v>
      </c>
      <c r="E4" s="854">
        <f ca="1">结果表!E118</f>
        <v>2593</v>
      </c>
      <c r="F4" s="854">
        <f ca="1">结果表!F118</f>
        <v>5181</v>
      </c>
      <c r="G4" s="854">
        <f ca="1">结果表!G118</f>
        <v>2013</v>
      </c>
      <c r="H4" s="854">
        <f ca="1">结果表!H118</f>
        <v>11855</v>
      </c>
      <c r="I4" s="854">
        <f ca="1">结果表!I118</f>
        <v>4606</v>
      </c>
    </row>
    <row r="5" spans="1:9" ht="30" customHeight="1">
      <c r="A5" s="3470" t="s">
        <v>927</v>
      </c>
      <c r="B5" s="3470"/>
      <c r="C5" s="3470"/>
      <c r="D5" s="3470" t="str">
        <f ca="1">结果表!D119</f>
        <v>陆仟陆佰柒拾肆万元整</v>
      </c>
      <c r="E5" s="3470"/>
      <c r="F5" s="3470" t="str">
        <f ca="1">结果表!F119</f>
        <v>伍仟壹佰捌拾壹万元整</v>
      </c>
      <c r="G5" s="3470"/>
      <c r="H5" s="3470" t="str">
        <f ca="1">结果表!H119</f>
        <v>壹亿壹仟捌佰伍拾伍万元整</v>
      </c>
      <c r="I5" s="3470"/>
    </row>
    <row r="6" spans="1:9" ht="15.75">
      <c r="A6" s="3471" t="str">
        <f>结果表!A120</f>
        <v>估价师知悉的法定优先受偿款</v>
      </c>
      <c r="B6" s="3471"/>
      <c r="C6" s="3471"/>
      <c r="D6" s="3471">
        <f>结果表!D120</f>
        <v>0</v>
      </c>
      <c r="E6" s="3471"/>
      <c r="F6" s="3471"/>
      <c r="G6" s="3471"/>
      <c r="H6" s="3471"/>
      <c r="I6" s="3471"/>
    </row>
    <row r="7" spans="1:9" ht="15">
      <c r="A7" s="3470" t="s">
        <v>927</v>
      </c>
      <c r="B7" s="3470"/>
      <c r="C7" s="3470"/>
      <c r="D7" s="3472" t="str">
        <f>结果表!D121</f>
        <v>零元整</v>
      </c>
      <c r="E7" s="3473"/>
      <c r="F7" s="3473"/>
      <c r="G7" s="3473"/>
      <c r="H7" s="3473"/>
      <c r="I7" s="3474"/>
    </row>
    <row r="8" spans="1:9" ht="15.75">
      <c r="A8" s="3471" t="str">
        <f>结果表!A122</f>
        <v>房地产抵押价值</v>
      </c>
      <c r="B8" s="3471"/>
      <c r="C8" s="3471"/>
      <c r="D8" s="3471">
        <f ca="1">结果表!D122</f>
        <v>11855</v>
      </c>
      <c r="E8" s="3471"/>
      <c r="F8" s="3471"/>
      <c r="G8" s="3471"/>
      <c r="H8" s="3471"/>
      <c r="I8" s="3471"/>
    </row>
    <row r="9" spans="1:9" ht="15">
      <c r="A9" s="3470" t="s">
        <v>927</v>
      </c>
      <c r="B9" s="3470"/>
      <c r="C9" s="3470"/>
      <c r="D9" s="3470" t="str">
        <f ca="1">结果表!D123</f>
        <v>壹亿壹仟捌佰伍拾伍万元整</v>
      </c>
      <c r="E9" s="3470"/>
      <c r="F9" s="3470"/>
      <c r="G9" s="3470"/>
      <c r="H9" s="3470"/>
      <c r="I9" s="3470"/>
    </row>
    <row r="10" spans="1:9" ht="15.75">
      <c r="A10" s="3471" t="str">
        <f>结果表!A124</f>
        <v/>
      </c>
      <c r="B10" s="3471"/>
      <c r="C10" s="3471"/>
      <c r="D10" s="3471" t="str">
        <f>结果表!D124</f>
        <v>——</v>
      </c>
      <c r="E10" s="3471"/>
      <c r="F10" s="3471"/>
      <c r="G10" s="3471"/>
      <c r="H10" s="3471"/>
      <c r="I10" s="3471"/>
    </row>
    <row r="11" spans="1:9" ht="15">
      <c r="A11" s="3470" t="s">
        <v>927</v>
      </c>
      <c r="B11" s="3470"/>
      <c r="C11" s="3470"/>
      <c r="D11" s="3470" t="e">
        <f>结果表!D125</f>
        <v>#VALUE!</v>
      </c>
      <c r="E11" s="3470"/>
      <c r="F11" s="3470"/>
      <c r="G11" s="3470"/>
      <c r="H11" s="3470"/>
      <c r="I11" s="3470"/>
    </row>
    <row r="12" spans="1:9" ht="15.75">
      <c r="A12" s="3471" t="str">
        <f>结果表!A126</f>
        <v/>
      </c>
      <c r="B12" s="3471"/>
      <c r="C12" s="3471"/>
      <c r="D12" s="3471" t="str">
        <f>结果表!D126</f>
        <v>——</v>
      </c>
      <c r="E12" s="3471"/>
      <c r="F12" s="3471"/>
      <c r="G12" s="3471"/>
      <c r="H12" s="3471"/>
      <c r="I12" s="3471"/>
    </row>
    <row r="13" spans="1:9" ht="15.75" thickBot="1">
      <c r="A13" s="3475" t="s">
        <v>927</v>
      </c>
      <c r="B13" s="3475"/>
      <c r="C13" s="3475"/>
      <c r="D13" s="3475" t="e">
        <f>结果表!D127</f>
        <v>#VALUE!</v>
      </c>
      <c r="E13" s="3475"/>
      <c r="F13" s="3475"/>
      <c r="G13" s="3475"/>
      <c r="H13" s="3475"/>
      <c r="I13" s="3475"/>
    </row>
    <row r="14" spans="1:9" ht="15" thickTop="1">
      <c r="A14" s="3476" t="s">
        <v>932</v>
      </c>
      <c r="B14" s="3476"/>
      <c r="C14" s="3476"/>
      <c r="D14" s="3476"/>
      <c r="E14" s="3476"/>
      <c r="F14" s="3476"/>
      <c r="G14" s="3476"/>
      <c r="H14" s="3476"/>
      <c r="I14" s="3476"/>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7" t="s">
        <v>949</v>
      </c>
      <c r="B1" s="3477"/>
      <c r="C1" s="3477"/>
      <c r="D1" s="3477"/>
    </row>
    <row r="2" spans="1:4" ht="18">
      <c r="A2" s="3478" t="s">
        <v>933</v>
      </c>
      <c r="B2" s="3478"/>
      <c r="C2" s="3478"/>
      <c r="D2" s="3478"/>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8" t="s">
        <v>939</v>
      </c>
      <c r="B6" s="3478"/>
      <c r="C6" s="3478"/>
      <c r="D6" s="347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9" t="s">
        <v>942</v>
      </c>
      <c r="B11" s="3480"/>
      <c r="C11" s="3480"/>
      <c r="D11" s="3480"/>
    </row>
    <row r="12" spans="1:4" ht="15.75">
      <c r="A12" s="348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1"/>
      <c r="C12" s="3481"/>
      <c r="D12" s="3481"/>
    </row>
    <row r="13" spans="1:4" ht="30" customHeight="1">
      <c r="A13" s="348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1"/>
      <c r="C13" s="3481"/>
      <c r="D13" s="3481"/>
    </row>
    <row r="14" spans="1:4" ht="15.75" customHeight="1">
      <c r="A14" s="3480" t="str">
        <f>IF(项目基本情况!B8="抵押","4.本次评估估价师所知悉的法定优先受偿款情况说明如下：","——")</f>
        <v>4.本次评估估价师所知悉的法定优先受偿款情况说明如下：</v>
      </c>
      <c r="B14" s="3481"/>
      <c r="C14" s="3481"/>
      <c r="D14" s="3481"/>
    </row>
    <row r="15" spans="1:4" ht="42" customHeight="1">
      <c r="A15" s="348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0"/>
      <c r="C15" s="3480"/>
      <c r="D15" s="3480"/>
    </row>
    <row r="16" spans="1:4" ht="30" customHeight="1">
      <c r="A16" s="3483" t="s">
        <v>943</v>
      </c>
      <c r="B16" s="3483"/>
      <c r="C16" s="3483"/>
      <c r="D16" s="3483"/>
    </row>
    <row r="17" spans="1:4" ht="144" customHeight="1">
      <c r="A17" s="3483" t="s">
        <v>944</v>
      </c>
      <c r="B17" s="3483"/>
      <c r="C17" s="3483"/>
      <c r="D17" s="3483"/>
    </row>
    <row r="18" spans="1:4" ht="15.75" customHeight="1">
      <c r="A18" s="3480" t="str">
        <f>IF(项目基本情况!B8="抵押",结果表!K120,"——")</f>
        <v>故，本次评估不存在估价师知悉的法定优先受偿款</v>
      </c>
      <c r="B18" s="3480"/>
      <c r="C18" s="3480"/>
      <c r="D18" s="3480"/>
    </row>
    <row r="19" spans="1:4" ht="46.5" customHeight="1">
      <c r="A19" s="348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0"/>
      <c r="C19" s="3480"/>
      <c r="D19" s="3480"/>
    </row>
    <row r="20" spans="1:4" ht="57.75" customHeight="1">
      <c r="A20" s="348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80"/>
      <c r="C20" s="3480"/>
      <c r="D20" s="3480"/>
    </row>
    <row r="21" spans="1:4" ht="57.75" customHeight="1">
      <c r="A21" s="34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84"/>
      <c r="C21" s="3484"/>
      <c r="D21" s="3484"/>
    </row>
    <row r="22" spans="1:4" ht="18.75" customHeight="1">
      <c r="A22" s="3485" t="s">
        <v>945</v>
      </c>
      <c r="B22" s="3485"/>
      <c r="C22" s="3485"/>
      <c r="D22" s="348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2">
        <v>42551</v>
      </c>
      <c r="D31" s="348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1" t="s">
        <v>956</v>
      </c>
      <c r="B15" s="3486" t="s">
        <v>109</v>
      </c>
      <c r="C15" s="3487"/>
    </row>
    <row r="16" spans="1:7" ht="13.5">
      <c r="A16" s="3492"/>
      <c r="B16" s="3486" t="s">
        <v>42</v>
      </c>
      <c r="C16" s="3487"/>
    </row>
    <row r="17" spans="1:3" ht="13.5">
      <c r="A17" s="3492"/>
      <c r="B17" s="3489" t="s">
        <v>957</v>
      </c>
      <c r="C17" s="1532" t="s">
        <v>956</v>
      </c>
    </row>
    <row r="18" spans="1:3" ht="13.5">
      <c r="A18" s="3492"/>
      <c r="B18" s="3489"/>
      <c r="C18" s="1532" t="s">
        <v>958</v>
      </c>
    </row>
    <row r="19" spans="1:3" ht="13.5">
      <c r="A19" s="3492"/>
      <c r="B19" s="3489"/>
      <c r="C19" s="1532" t="s">
        <v>959</v>
      </c>
    </row>
    <row r="20" spans="1:3" ht="13.5">
      <c r="A20" s="3493"/>
      <c r="B20" s="3488" t="s">
        <v>960</v>
      </c>
      <c r="C20" s="3487"/>
    </row>
    <row r="21" spans="1:3" ht="13.5">
      <c r="A21" s="1533" t="s">
        <v>961</v>
      </c>
      <c r="B21" s="1534"/>
      <c r="C21" s="1535"/>
    </row>
    <row r="22" spans="1:3" ht="13.5">
      <c r="A22" s="3490" t="s">
        <v>962</v>
      </c>
      <c r="B22" s="3488" t="s">
        <v>963</v>
      </c>
      <c r="C22" s="3487"/>
    </row>
    <row r="23" spans="1:3" ht="13.5">
      <c r="A23" s="3490"/>
      <c r="B23" s="3488" t="s">
        <v>964</v>
      </c>
      <c r="C23" s="3487"/>
    </row>
    <row r="24" spans="1:3" ht="13.5">
      <c r="A24" s="3490"/>
      <c r="B24" s="3488" t="s">
        <v>965</v>
      </c>
      <c r="C24" s="3487"/>
    </row>
    <row r="25" spans="1:3" ht="13.5">
      <c r="A25" s="3490"/>
      <c r="B25" s="3489" t="s">
        <v>966</v>
      </c>
      <c r="C25" s="1532" t="s">
        <v>967</v>
      </c>
    </row>
    <row r="26" spans="1:3" ht="13.5">
      <c r="A26" s="3490"/>
      <c r="B26" s="3489"/>
      <c r="C26" s="1532" t="s">
        <v>968</v>
      </c>
    </row>
    <row r="27" spans="1:3" ht="13.5">
      <c r="A27" s="3490"/>
      <c r="B27" s="3489"/>
      <c r="C27" s="1532" t="s">
        <v>969</v>
      </c>
    </row>
    <row r="28" spans="1:3" ht="13.5">
      <c r="A28" s="3490"/>
      <c r="B28" s="3489"/>
      <c r="C28" s="1532" t="s">
        <v>970</v>
      </c>
    </row>
    <row r="29" spans="1:3" ht="13.5">
      <c r="A29" s="3490"/>
      <c r="B29" s="3489"/>
      <c r="C29" s="1532" t="s">
        <v>971</v>
      </c>
    </row>
    <row r="30" spans="1:3" ht="13.5">
      <c r="A30" s="3490"/>
      <c r="B30" s="3489"/>
      <c r="C30" s="1532" t="s">
        <v>972</v>
      </c>
    </row>
    <row r="31" spans="1:3" ht="13.5">
      <c r="A31" s="3490"/>
      <c r="B31" s="3489"/>
      <c r="C31" s="1532" t="s">
        <v>973</v>
      </c>
    </row>
    <row r="32" spans="1:3" ht="13.5">
      <c r="A32" s="3490"/>
      <c r="B32" s="3489"/>
      <c r="C32" s="1532" t="s">
        <v>974</v>
      </c>
    </row>
    <row r="33" spans="1:3" ht="13.5">
      <c r="A33" s="3490"/>
      <c r="B33" s="3489"/>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44918</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f ca="1">IF(C14&lt;B2,"已过期",1119980106)</f>
        <v>1119980106</v>
      </c>
      <c r="C14" s="2350">
        <v>44969</v>
      </c>
      <c r="D14" s="2346" t="str">
        <f t="shared" ca="1" si="0"/>
        <v>刘俊财（注册号：1119980106）</v>
      </c>
      <c r="E14" s="2347" t="s">
        <v>2158</v>
      </c>
      <c r="F14" s="1304">
        <f ca="1">IF(G14&lt;B2,"已过期",96010063)</f>
        <v>96010063</v>
      </c>
      <c r="G14" s="2348">
        <v>47483</v>
      </c>
      <c r="H14" s="2349" t="str">
        <f t="shared" ca="1" si="1"/>
        <v>刘俊财（注册号：96010063）</v>
      </c>
    </row>
    <row r="15" spans="1:8" ht="24" customHeight="1">
      <c r="A15" s="1304" t="s">
        <v>2431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4" t="s">
        <v>2160</v>
      </c>
      <c r="B17" s="3494"/>
      <c r="C17" s="3494"/>
      <c r="D17" s="3494"/>
      <c r="E17" s="3494"/>
      <c r="F17" s="3494"/>
      <c r="G17" s="3494"/>
      <c r="H17" s="3494"/>
    </row>
    <row r="18" spans="1:8" ht="24" customHeight="1">
      <c r="A18" s="3495" t="s">
        <v>2161</v>
      </c>
      <c r="B18" s="3495"/>
      <c r="C18" s="3495"/>
      <c r="D18" s="2343"/>
      <c r="E18" s="3496" t="s">
        <v>2162</v>
      </c>
      <c r="F18" s="3495"/>
      <c r="G18" s="3495"/>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2017-03-01T09:15:43Z</cp:lastPrinted>
  <dcterms:created xsi:type="dcterms:W3CDTF">2015-07-13T07:17:23Z</dcterms:created>
  <dcterms:modified xsi:type="dcterms:W3CDTF">2022-12-23T07:29:49Z</dcterms:modified>
</cp:coreProperties>
</file>